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1'!$A$1:$AV$964</definedName>
  </definedNames>
  <calcPr/>
</workbook>
</file>

<file path=xl/sharedStrings.xml><?xml version="1.0" encoding="utf-8"?>
<sst xmlns="http://schemas.openxmlformats.org/spreadsheetml/2006/main" count="16258" uniqueCount="4727">
  <si>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</si>
  <si>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</si>
  <si>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</si>
  <si>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</si>
  <si>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</si>
  <si>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</si>
  <si>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</si>
  <si>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</si>
  <si>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</si>
  <si>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</si>
  <si>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</si>
  <si>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</si>
  <si>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</si>
  <si>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</si>
  <si>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</si>
  <si>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</si>
  <si>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</si>
  <si>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</si>
  <si>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</si>
  <si>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</si>
  <si>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</si>
  <si>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</si>
  <si>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</si>
  <si>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</si>
  <si>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</si>
  <si>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</si>
  <si>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</si>
  <si>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</si>
  <si>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</si>
  <si>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</si>
  <si>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</si>
  <si>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</si>
  <si>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</si>
  <si>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</si>
  <si>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</si>
  <si>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</si>
  <si>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</si>
  <si>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</si>
  <si>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</si>
  <si>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</si>
  <si>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</si>
  <si>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</si>
  <si>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</si>
  <si>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</si>
  <si>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</si>
  <si>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AIL94761539</t>
  </si>
  <si>
    <t>Gbanti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</si>
  <si>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</si>
  <si>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</si>
  <si>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>Private</t>
  </si>
  <si>
    <t>Class 1</t>
  </si>
  <si>
    <t>Class 2</t>
  </si>
  <si>
    <t>Class 3</t>
  </si>
  <si>
    <t>Class 4</t>
  </si>
  <si>
    <t>Class 5</t>
  </si>
  <si>
    <t>0</t>
  </si>
  <si>
    <t xml:space="preserve">Sarah K jawara </t>
  </si>
  <si>
    <t xml:space="preserve">Zainab K kamara </t>
  </si>
  <si>
    <t xml:space="preserve">Nilson J Bangura </t>
  </si>
  <si>
    <t>JDR59605335</t>
  </si>
  <si>
    <t>training@clappia.com</t>
  </si>
  <si>
    <t>04-07-2025 06:42 AM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</si>
  <si>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</si>
  <si>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</si>
  <si>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Public</t>
  </si>
  <si>
    <t xml:space="preserve">Alhaji FB Sesay </t>
  </si>
  <si>
    <t xml:space="preserve">Kadiatu kanu </t>
  </si>
  <si>
    <t xml:space="preserve">Samuel samba Bangura </t>
  </si>
  <si>
    <t>TKH81609744</t>
  </si>
  <si>
    <t>Makaria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</si>
  <si>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</si>
  <si>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</si>
  <si>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</si>
  <si>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</si>
  <si>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KYY83221416</t>
  </si>
  <si>
    <t>Ngowahun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</si>
  <si>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</si>
  <si>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</si>
  <si>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</si>
  <si>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</si>
  <si>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</si>
  <si>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bocity@clappia.com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</si>
  <si>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</si>
  <si>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</si>
  <si>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</si>
  <si>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</si>
  <si>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</si>
  <si>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</si>
  <si>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</si>
  <si>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</si>
  <si>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</si>
  <si>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</si>
  <si>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</si>
  <si>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</si>
  <si>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lugbu@clappia.com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</si>
  <si>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</si>
  <si>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</si>
  <si>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</si>
  <si>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</si>
  <si>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</si>
  <si>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</si>
  <si>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</si>
  <si>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Biriwa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</si>
  <si>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</si>
  <si>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0</t>
  </si>
  <si>
    <t xml:space="preserve">Bunty Jimmy </t>
  </si>
  <si>
    <t xml:space="preserve">Saidu M Koroma </t>
  </si>
  <si>
    <t xml:space="preserve">Abdulai Jawara 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</si>
  <si>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</si>
  <si>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</si>
  <si>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</si>
  <si>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</si>
  <si>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</si>
  <si>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</si>
  <si>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</si>
  <si>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</si>
  <si>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</si>
  <si>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</si>
  <si>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</si>
  <si>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</si>
  <si>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</si>
  <si>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</si>
  <si>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</si>
  <si>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</si>
  <si>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</si>
  <si>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Bintu I mansaray </t>
  </si>
  <si>
    <t xml:space="preserve">Aminata Kanneh </t>
  </si>
  <si>
    <t xml:space="preserve">Alex m Amara </t>
  </si>
  <si>
    <t>FKG60065414</t>
  </si>
  <si>
    <t>selenga@clappia.com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</si>
  <si>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</si>
  <si>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</si>
  <si>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</si>
  <si>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</si>
  <si>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</si>
  <si>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</si>
  <si>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</si>
  <si>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</si>
  <si>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</si>
  <si>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</si>
  <si>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</si>
  <si>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</si>
  <si>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bumpeh@clappia.com</t>
  </si>
  <si>
    <t>04-07-2025 06:16 AM</t>
  </si>
  <si>
    <t>District: Bo
Chiefdom: Bumpeh
PHU name: Taninahun CHP
Community name: Mogiba
Name of school: New Harvest Primary School
Enrollment: 58</t>
  </si>
  <si>
    <t xml:space="preserve">Christian George Sarmoh </t>
  </si>
  <si>
    <t xml:space="preserve">Francis Lahai Kanneh </t>
  </si>
  <si>
    <t xml:space="preserve">Lamin Kalilu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</si>
  <si>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</si>
  <si>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</si>
  <si>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</si>
  <si>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</si>
  <si>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</si>
  <si>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</si>
  <si>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</si>
  <si>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Pakimasabong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</si>
  <si>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</si>
  <si>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0</t>
  </si>
  <si>
    <t>Janer Decker</t>
  </si>
  <si>
    <t>Ibrahim s kamara</t>
  </si>
  <si>
    <t>FYV98715146</t>
  </si>
  <si>
    <t>kakua@clappia.com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</si>
  <si>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</si>
  <si>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</si>
  <si>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</si>
  <si>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</si>
  <si>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</si>
  <si>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Tinkoko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</si>
  <si>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</si>
  <si>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</si>
  <si>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</si>
  <si>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</si>
  <si>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</si>
  <si>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</si>
  <si>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</si>
  <si>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</si>
  <si>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</si>
  <si>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</si>
  <si>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</si>
  <si>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</si>
  <si>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</si>
  <si>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</si>
  <si>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</si>
  <si>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</si>
  <si>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</si>
  <si>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</si>
  <si>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Mohamed kamara</t>
  </si>
  <si>
    <t xml:space="preserve">Alpha A Barrie </t>
  </si>
  <si>
    <t>IKN79803479</t>
  </si>
  <si>
    <t>Makenicity</t>
  </si>
  <si>
    <t>04-07-2025 05:51 AM</t>
  </si>
  <si>
    <t>District: Bombali
Chiefdom: Makeni City
PHU name: Masuba CHP
Community name: Back off Masuba lane 
Name of school: Destiny primary school 
Enrollment: 0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</si>
  <si>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</si>
  <si>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</si>
  <si>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</si>
  <si>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</si>
  <si>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</si>
  <si>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</si>
  <si>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</si>
  <si>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</si>
  <si>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</si>
  <si>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</si>
  <si>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</si>
  <si>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</si>
  <si>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</si>
  <si>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</si>
  <si>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</si>
  <si>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</si>
  <si>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</si>
  <si>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</si>
  <si>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</si>
  <si>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</si>
  <si>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</si>
  <si>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</si>
  <si>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</si>
  <si>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Mara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</si>
  <si>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</si>
  <si>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</si>
  <si>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</si>
  <si>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</si>
  <si>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</si>
  <si>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</si>
  <si>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</si>
  <si>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Isatu kamara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</si>
  <si>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</si>
  <si>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</si>
  <si>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</si>
  <si>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</si>
  <si>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</si>
  <si>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</si>
  <si>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</si>
  <si>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</si>
  <si>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</si>
  <si>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</si>
  <si>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</si>
  <si>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</si>
  <si>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</si>
  <si>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</si>
  <si>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</si>
  <si>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</si>
  <si>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</si>
  <si>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</si>
  <si>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</si>
  <si>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</si>
  <si>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</si>
  <si>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</si>
  <si>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</si>
  <si>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</si>
  <si>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baoma@clappia.com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</si>
  <si>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</si>
  <si>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</si>
  <si>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</si>
  <si>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</si>
  <si>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</si>
  <si>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</si>
  <si>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</si>
  <si>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</si>
  <si>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</si>
  <si>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Fatmata Turay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</si>
  <si>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</si>
  <si>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</si>
  <si>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</si>
  <si>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</si>
  <si>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</si>
  <si>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</si>
  <si>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</si>
  <si>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</si>
  <si>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</si>
  <si>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</si>
  <si>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</si>
  <si>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</si>
  <si>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</si>
  <si>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</si>
  <si>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</si>
  <si>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</si>
  <si>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</si>
  <si>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</si>
  <si>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</si>
  <si>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Kamaranka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</si>
  <si>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</si>
  <si>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</si>
  <si>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</si>
  <si>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James koroma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</si>
  <si>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</si>
  <si>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</si>
  <si>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</si>
  <si>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</si>
  <si>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</si>
  <si>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</si>
  <si>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</si>
  <si>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</si>
  <si>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</si>
  <si>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</si>
  <si>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</si>
  <si>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</si>
  <si>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</si>
  <si>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</si>
  <si>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</si>
  <si>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0</t>
  </si>
  <si>
    <t>Ibrahim skamara</t>
  </si>
  <si>
    <t>Philip kargbo</t>
  </si>
  <si>
    <t>UZI18513491</t>
  </si>
  <si>
    <t>BobaliSiari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</si>
  <si>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</si>
  <si>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</si>
  <si>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</si>
  <si>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</si>
  <si>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</si>
  <si>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</si>
  <si>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</si>
  <si>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</si>
  <si>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</si>
  <si>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</si>
  <si>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</si>
  <si>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</si>
  <si>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</si>
  <si>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</si>
  <si>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</si>
  <si>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</si>
  <si>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</si>
  <si>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</si>
  <si>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</si>
  <si>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</si>
  <si>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</si>
  <si>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</si>
  <si>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</si>
  <si>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</si>
  <si>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</si>
  <si>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</si>
  <si>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</si>
  <si>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</si>
  <si>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</si>
  <si>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</si>
  <si>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</si>
  <si>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</si>
  <si>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niawalenga@clappia.com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</si>
  <si>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</si>
  <si>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</si>
  <si>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</si>
  <si>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</si>
  <si>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</si>
  <si>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</si>
  <si>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Gbendembu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</si>
  <si>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</si>
  <si>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</si>
  <si>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</si>
  <si>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</si>
  <si>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</si>
  <si>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</si>
  <si>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Safroko Limba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</si>
  <si>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</si>
  <si>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</si>
  <si>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</si>
  <si>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</si>
  <si>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</si>
  <si>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</si>
  <si>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valunia@clappia.com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</si>
  <si>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</si>
  <si>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</si>
  <si>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</si>
  <si>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</si>
  <si>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</si>
  <si>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</si>
  <si>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</si>
  <si>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</si>
  <si>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</si>
  <si>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</si>
  <si>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</si>
  <si>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</si>
  <si>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</si>
  <si>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</si>
  <si>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</si>
  <si>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</si>
  <si>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</si>
  <si>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</si>
  <si>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</si>
  <si>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</si>
  <si>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</si>
  <si>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</si>
  <si>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</si>
  <si>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</si>
  <si>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</si>
  <si>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</si>
  <si>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02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</si>
  <si>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</si>
  <si>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</si>
  <si>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</si>
  <si>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</si>
  <si>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</si>
  <si>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</si>
  <si>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</si>
  <si>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</si>
  <si>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</si>
  <si>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</si>
  <si>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</si>
  <si>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</si>
  <si>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</si>
  <si>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</si>
  <si>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</si>
  <si>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</si>
  <si>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</si>
  <si>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</si>
  <si>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>04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</si>
  <si>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</si>
  <si>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</si>
  <si>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</si>
  <si>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</si>
  <si>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</si>
  <si>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</si>
  <si>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JBB84731463</t>
  </si>
  <si>
    <t>03-07-2025 12:28 PM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</si>
  <si>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</si>
  <si>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</si>
  <si>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</si>
  <si>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</si>
  <si>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</si>
  <si>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</si>
  <si>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</si>
  <si>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</si>
  <si>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</si>
  <si>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</si>
  <si>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</si>
  <si>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</si>
  <si>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</si>
  <si>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</si>
  <si>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</si>
  <si>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</si>
  <si>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</si>
  <si>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</si>
  <si>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</si>
  <si>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</si>
  <si>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</si>
  <si>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</si>
  <si>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</si>
  <si>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</si>
  <si>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</si>
  <si>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</si>
  <si>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</si>
  <si>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bargbo@clappia.com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</si>
  <si>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</si>
  <si>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</si>
  <si>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</si>
  <si>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</si>
  <si>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</si>
  <si>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</si>
  <si>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</si>
  <si>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</si>
  <si>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</si>
  <si>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</si>
  <si>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</si>
  <si>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</si>
  <si>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</si>
  <si>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</si>
  <si>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</si>
  <si>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</si>
  <si>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</si>
  <si>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</si>
  <si>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</si>
  <si>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</si>
  <si>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</si>
  <si>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</si>
  <si>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</si>
  <si>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</si>
  <si>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</si>
  <si>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</si>
  <si>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</si>
  <si>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</si>
  <si>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</si>
  <si>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</si>
  <si>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</si>
  <si>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</si>
  <si>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</si>
  <si>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</si>
  <si>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</si>
  <si>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Mark Jabaty </t>
  </si>
  <si>
    <t xml:space="preserve">SENESIE A B CHAllE </t>
  </si>
  <si>
    <t xml:space="preserve">Isata Maria Koroma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</si>
  <si>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</si>
  <si>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</si>
  <si>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</si>
  <si>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 xml:space="preserve">Hawanatu Ngevao </t>
  </si>
  <si>
    <t xml:space="preserve">Iye kanu </t>
  </si>
  <si>
    <t xml:space="preserve">Mohamed MB Fofanah 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</si>
  <si>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</si>
  <si>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</si>
  <si>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</si>
  <si>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</si>
  <si>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</si>
  <si>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</si>
  <si>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</si>
  <si>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</si>
  <si>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</si>
  <si>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</si>
  <si>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</si>
  <si>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</si>
  <si>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</si>
  <si>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</si>
  <si>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</si>
  <si>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</si>
  <si>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</si>
  <si>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</si>
  <si>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</si>
  <si>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</si>
  <si>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</si>
  <si>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</si>
  <si>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</si>
  <si>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</si>
  <si>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</si>
  <si>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</si>
  <si>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</si>
  <si>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</si>
  <si>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</si>
  <si>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</si>
  <si>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</si>
  <si>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</si>
  <si>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</si>
  <si>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</si>
  <si>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</si>
  <si>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</si>
  <si>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 xml:space="preserve">Rashid Nyande 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</si>
  <si>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</si>
  <si>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</si>
  <si>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</si>
  <si>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</si>
  <si>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</si>
  <si>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</si>
  <si>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</si>
  <si>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</si>
  <si>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jaiama@clappia.com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</si>
  <si>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</si>
  <si>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</si>
  <si>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</si>
  <si>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 xml:space="preserve">Susan Collier </t>
  </si>
  <si>
    <t xml:space="preserve">Ramatu Tengbeh </t>
  </si>
  <si>
    <t>Brian Mohammed Sowa</t>
  </si>
  <si>
    <t>JJX92980672</t>
  </si>
  <si>
    <t>Magbaimba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</si>
  <si>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</si>
  <si>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</si>
  <si>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</si>
  <si>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</si>
  <si>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</si>
  <si>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</si>
  <si>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</si>
  <si>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</si>
  <si>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</si>
  <si>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</si>
  <si>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</si>
  <si>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</si>
  <si>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</si>
  <si>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</si>
  <si>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</si>
  <si>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</si>
  <si>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</si>
  <si>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</si>
  <si>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</si>
  <si>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</si>
  <si>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</si>
  <si>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</si>
  <si>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</si>
  <si>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</si>
  <si>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</si>
  <si>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</si>
  <si>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03-07-2025 06:52 AM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</si>
  <si>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</si>
  <si>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</si>
  <si>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</si>
  <si>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</si>
  <si>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</si>
  <si>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</si>
  <si>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</si>
  <si>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</si>
  <si>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</si>
  <si>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</si>
  <si>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</si>
  <si>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</si>
  <si>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</si>
  <si>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</si>
  <si>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</si>
  <si>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</si>
  <si>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bagbwe@clappia.com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</si>
  <si>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</si>
  <si>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</si>
  <si>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</si>
  <si>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</si>
  <si>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</si>
  <si>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</si>
  <si>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</si>
  <si>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</si>
  <si>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</si>
  <si>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</si>
  <si>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</si>
  <si>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</si>
  <si>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</si>
  <si>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</si>
  <si>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</si>
  <si>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</si>
  <si>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</si>
  <si>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</si>
  <si>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</si>
  <si>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</si>
  <si>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</si>
  <si>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</si>
  <si>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</si>
  <si>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</si>
  <si>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</si>
  <si>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</si>
  <si>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</si>
  <si>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RFW97363834</t>
  </si>
  <si>
    <t>03-07-2025 09:16 AM</t>
  </si>
  <si>
    <t>District: Bo
Chiefdom: Bo City
PHU name: Brima Town
Community name: Gbaiima Road
Name of school: B D E C Primary School Upper
Enrollment: 508</t>
  </si>
  <si>
    <t>-</t>
  </si>
  <si>
    <t>NaN</t>
  </si>
  <si>
    <t xml:space="preserve">Mary Rose Moriba </t>
  </si>
  <si>
    <t xml:space="preserve">Maria Etta saidu </t>
  </si>
  <si>
    <t xml:space="preserve">Raymond Abdulla Kassay 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</si>
  <si>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</si>
  <si>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</si>
  <si>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</si>
  <si>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</si>
  <si>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</si>
  <si>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</si>
  <si>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</si>
  <si>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</si>
  <si>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</si>
  <si>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</si>
  <si>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</si>
  <si>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</si>
  <si>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</si>
  <si>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</si>
  <si>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</si>
  <si>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</si>
  <si>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</si>
  <si>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</si>
  <si>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</si>
  <si>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</si>
  <si>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</si>
  <si>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</si>
  <si>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</si>
  <si>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</si>
  <si>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</si>
  <si>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</si>
  <si>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</si>
  <si>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</si>
  <si>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</si>
  <si>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</si>
  <si>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</si>
  <si>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</si>
  <si>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</si>
  <si>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</si>
  <si>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</si>
  <si>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</si>
  <si>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</si>
  <si>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</si>
  <si>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</si>
  <si>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</si>
  <si>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</si>
  <si>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</si>
  <si>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</si>
  <si>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</si>
  <si>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</si>
  <si>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</si>
  <si>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</si>
  <si>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</si>
  <si>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</si>
  <si>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</si>
  <si>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</si>
  <si>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</si>
  <si>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</si>
  <si>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</si>
  <si>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</si>
  <si>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</si>
  <si>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</si>
  <si>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</si>
  <si>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</si>
  <si>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</si>
  <si>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03-07-2025 08:56 AM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</si>
  <si>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</si>
  <si>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</si>
  <si>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</si>
  <si>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</si>
  <si>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</si>
  <si>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</si>
  <si>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</si>
  <si>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</si>
  <si>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 xml:space="preserve">Ann Marie Libbie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</si>
  <si>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</si>
  <si>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</si>
  <si>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</si>
  <si>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</si>
  <si>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BombaliShebora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</si>
  <si>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</si>
  <si>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</si>
  <si>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</si>
  <si>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</si>
  <si>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</si>
  <si>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</si>
  <si>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</si>
  <si>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</si>
  <si>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</si>
  <si>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</si>
  <si>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0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</si>
  <si>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</si>
  <si>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</si>
  <si>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</si>
  <si>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</si>
  <si>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</si>
  <si>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</si>
  <si>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</si>
  <si>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</si>
  <si>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</si>
  <si>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</si>
  <si>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</si>
  <si>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</si>
  <si>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</si>
  <si>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</si>
  <si>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</si>
  <si>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</si>
  <si>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</si>
  <si>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</si>
  <si>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</si>
  <si>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</si>
  <si>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</si>
  <si>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</si>
  <si>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</si>
  <si>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</si>
  <si>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</si>
  <si>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</si>
  <si>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</si>
  <si>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</si>
  <si>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</si>
  <si>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</si>
  <si>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</si>
  <si>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</si>
  <si>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</si>
  <si>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</si>
  <si>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</si>
  <si>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</si>
  <si>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Brima jr momodu</t>
  </si>
  <si>
    <t>Paul lahai</t>
  </si>
  <si>
    <t>Brima jobo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</si>
  <si>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</si>
  <si>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</si>
  <si>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0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</si>
  <si>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</si>
  <si>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</si>
  <si>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</si>
  <si>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</si>
  <si>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</si>
  <si>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</si>
  <si>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</si>
  <si>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</si>
  <si>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</si>
  <si>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</si>
  <si>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</si>
  <si>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</si>
  <si>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</si>
  <si>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</si>
  <si>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Sento M Kargbo </t>
  </si>
  <si>
    <t xml:space="preserve">Alice conteh </t>
  </si>
  <si>
    <t xml:space="preserve">Adorah Alfred Kamara </t>
  </si>
  <si>
    <t>YVC12907389</t>
  </si>
  <si>
    <t>03-07-2025 08:18 AM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</si>
  <si>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</si>
  <si>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</si>
  <si>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</si>
  <si>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</si>
  <si>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</si>
  <si>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</si>
  <si>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</si>
  <si>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</si>
  <si>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</si>
  <si>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</si>
  <si>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</si>
  <si>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</si>
  <si>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</si>
  <si>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</si>
  <si>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</si>
  <si>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bongor@clappia.com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</si>
  <si>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</si>
  <si>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</si>
  <si>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</si>
  <si>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</si>
  <si>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</si>
  <si>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</si>
  <si>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</si>
  <si>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</si>
  <si>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</si>
  <si>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</si>
  <si>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</si>
  <si>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</si>
  <si>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</si>
  <si>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</si>
  <si>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</si>
  <si>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</si>
  <si>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</si>
  <si>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</si>
  <si>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</si>
  <si>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</si>
  <si>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</si>
  <si>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</si>
  <si>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</si>
  <si>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wonde@clappia.com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</si>
  <si>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</si>
  <si>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</si>
  <si>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</si>
  <si>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</si>
  <si>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</si>
  <si>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</si>
  <si>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</si>
  <si>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</si>
  <si>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</si>
  <si>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</si>
  <si>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</si>
  <si>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</si>
  <si>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</si>
  <si>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</si>
  <si>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</si>
  <si>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</si>
  <si>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</si>
  <si>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</si>
  <si>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</si>
  <si>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</si>
  <si>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</si>
  <si>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</si>
  <si>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</si>
  <si>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</si>
  <si>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</si>
  <si>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</si>
  <si>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</si>
  <si>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</si>
  <si>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</si>
  <si>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</si>
  <si>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</si>
  <si>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</si>
  <si>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</si>
  <si>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Theresa Boima</t>
  </si>
  <si>
    <t>Fatmata sesay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</si>
  <si>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</si>
  <si>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</si>
  <si>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</si>
  <si>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</si>
  <si>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</si>
  <si>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</si>
  <si>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</si>
  <si>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</si>
  <si>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 xml:space="preserve">Yayah Abdulai Bangura </t>
  </si>
  <si>
    <t>HCG03006180</t>
  </si>
  <si>
    <t>02-07-2025 04:46 AM</t>
  </si>
  <si>
    <t>District: Bombali
Chiefdom: Safroko Limba
PHU name: xxx
Community name: xxx
Name of school: xxx
Enrollment: xxx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</si>
  <si>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</si>
  <si>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</si>
  <si>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</si>
  <si>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</si>
  <si>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</si>
  <si>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</si>
  <si>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</si>
  <si>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</si>
  <si>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</si>
  <si>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</si>
  <si>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</si>
  <si>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</si>
  <si>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</si>
  <si>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</si>
  <si>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</si>
  <si>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</si>
  <si>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</si>
  <si>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</si>
  <si>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</si>
  <si>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</si>
  <si>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</si>
  <si>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 xml:space="preserve">Augustine Lahai </t>
  </si>
  <si>
    <t xml:space="preserve">Francess Luseni </t>
  </si>
  <si>
    <t>Edna Musa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</si>
  <si>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</si>
  <si>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</si>
  <si>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</si>
  <si>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</si>
  <si>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</si>
  <si>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</si>
  <si>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</si>
  <si>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</si>
  <si>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</si>
  <si>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</si>
  <si>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</si>
  <si>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</si>
  <si>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</si>
  <si>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</si>
  <si>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</si>
  <si>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</si>
  <si>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</si>
  <si>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 xml:space="preserve">Millicent Nancy Bundu </t>
  </si>
  <si>
    <t xml:space="preserve">Assiatu Sarah Kabba </t>
  </si>
  <si>
    <t xml:space="preserve">Madiana Tucker 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</si>
  <si>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</si>
  <si>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</si>
  <si>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</si>
  <si>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</si>
  <si>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Angela kpolie 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</si>
  <si>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</si>
  <si>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</si>
  <si>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</si>
  <si>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0</t>
  </si>
  <si>
    <t xml:space="preserve">Alimamy Abdulai Bangura </t>
  </si>
  <si>
    <t xml:space="preserve">Kadiatu Jalloh </t>
  </si>
  <si>
    <t xml:space="preserve">Madie Mansaray 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</si>
  <si>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</si>
  <si>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</si>
  <si>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</si>
  <si>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</si>
  <si>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</si>
  <si>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</si>
  <si>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</si>
  <si>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</si>
  <si>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</si>
  <si>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</si>
  <si>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</si>
  <si>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</si>
  <si>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</si>
  <si>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</si>
  <si>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08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</si>
  <si>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</si>
  <si>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</si>
  <si>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</si>
  <si>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</si>
  <si>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</si>
  <si>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</si>
  <si>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Mabinty B Turay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</si>
  <si>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</si>
  <si>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</si>
  <si>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</si>
  <si>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</si>
  <si>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</si>
  <si>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</si>
  <si>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</si>
  <si>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</si>
  <si>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</si>
  <si>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</si>
  <si>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</si>
  <si>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</si>
  <si>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</si>
  <si>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</si>
  <si>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</si>
  <si>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</si>
  <si>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</si>
  <si>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</si>
  <si>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</si>
  <si>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</si>
  <si>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</si>
  <si>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</si>
  <si>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</si>
  <si>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 xml:space="preserve">Josephine S Simbo </t>
  </si>
  <si>
    <t xml:space="preserve">Mohamed Lamin Ngegba 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</si>
  <si>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</si>
  <si>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</si>
  <si>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</si>
  <si>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</si>
  <si>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</si>
  <si>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</si>
  <si>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</si>
  <si>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</si>
  <si>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</si>
  <si>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 xml:space="preserve">Josephine Harding </t>
  </si>
  <si>
    <t xml:space="preserve">Aminata mbayoh </t>
  </si>
  <si>
    <t>Simeon D sandy</t>
  </si>
  <si>
    <t>GXR72735746</t>
  </si>
  <si>
    <t>03-07-2025 06:53 AM</t>
  </si>
  <si>
    <t>District: Bombali
Chiefdom: Paki Masabong 
PHU name: Makeni Lol MCHP
Community name: Mathullah (Paki Masabong)
Name of school: Maranatha Pentecostal Mission (2111-2-04635)(Mathullah (Paki Masabong), Makeni Lol MCHP)
Enrollment: 0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</si>
  <si>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</si>
  <si>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</si>
  <si>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</si>
  <si>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</si>
  <si>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</si>
  <si>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</si>
  <si>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</si>
  <si>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</si>
  <si>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</si>
  <si>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</si>
  <si>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</si>
  <si>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</si>
  <si>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</si>
  <si>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</si>
  <si>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</si>
  <si>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 xml:space="preserve">Hassan conteh </t>
  </si>
  <si>
    <t xml:space="preserve">Mohamed G Mansaray </t>
  </si>
  <si>
    <t xml:space="preserve">Mattu Sillah 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</si>
  <si>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</si>
  <si>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</si>
  <si>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</si>
  <si>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</si>
  <si>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</si>
  <si>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</si>
  <si>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</si>
  <si>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</si>
  <si>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</si>
  <si>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</si>
  <si>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</si>
  <si>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</si>
  <si>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</si>
  <si>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</si>
  <si>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</si>
  <si>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</si>
  <si>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</si>
  <si>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</si>
  <si>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</si>
  <si>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</si>
  <si>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</si>
  <si>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</si>
  <si>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</si>
  <si>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</si>
  <si>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</si>
  <si>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</si>
  <si>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</si>
  <si>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</si>
  <si>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</si>
  <si>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</si>
  <si>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</si>
  <si>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</si>
  <si>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</si>
  <si>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</si>
  <si>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</si>
  <si>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</si>
  <si>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</si>
  <si>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03-07-2025 06:29 AM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</si>
  <si>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</si>
  <si>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</si>
  <si>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</si>
  <si>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</si>
  <si>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</si>
  <si>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</si>
  <si>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</si>
  <si>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</si>
  <si>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</si>
  <si>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</si>
  <si>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</si>
  <si>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</si>
  <si>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</si>
  <si>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</si>
  <si>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</si>
  <si>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</si>
  <si>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</si>
  <si>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</si>
  <si>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</si>
  <si>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</si>
  <si>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</si>
  <si>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</si>
  <si>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</si>
  <si>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</si>
  <si>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</si>
  <si>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</si>
  <si>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</si>
  <si>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</si>
  <si>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</si>
  <si>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</si>
  <si>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</si>
  <si>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</si>
  <si>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</si>
  <si>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</si>
  <si>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</si>
  <si>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</si>
  <si>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</si>
  <si>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</si>
  <si>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</si>
  <si>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</si>
  <si>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</si>
  <si>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</si>
  <si>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</si>
  <si>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</si>
  <si>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</si>
  <si>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Abdul Brewah 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</si>
  <si>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</si>
  <si>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</si>
  <si>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</si>
  <si>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</si>
  <si>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</si>
  <si>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</si>
  <si>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</si>
  <si>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</si>
  <si>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</si>
  <si>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</si>
  <si>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</si>
  <si>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</si>
  <si>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</si>
  <si>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</si>
  <si>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</si>
  <si>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</si>
  <si>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</si>
  <si>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</si>
  <si>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</si>
  <si>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</si>
  <si>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</si>
  <si>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</si>
  <si>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</si>
  <si>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</si>
  <si>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</si>
  <si>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</si>
  <si>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</si>
  <si>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Kadijatu Bangura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</si>
  <si>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</si>
  <si>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</si>
  <si>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</si>
  <si>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</si>
  <si>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</si>
  <si>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</si>
  <si>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</si>
  <si>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</si>
  <si>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</si>
  <si>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</si>
  <si>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Benjamin Yusuf 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</si>
  <si>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</si>
  <si>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</si>
  <si>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</si>
  <si>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</si>
  <si>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</si>
  <si>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</si>
  <si>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</si>
  <si>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</si>
  <si>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</si>
  <si>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</si>
  <si>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</si>
  <si>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</si>
  <si>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</si>
  <si>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</si>
  <si>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</si>
  <si>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</si>
  <si>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</si>
  <si>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</si>
  <si>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</si>
  <si>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Dyna Jamie Patricks</t>
  </si>
  <si>
    <t>Saito A Marah</t>
  </si>
  <si>
    <t>Margaret kabia</t>
  </si>
  <si>
    <t>BAO01691589</t>
  </si>
  <si>
    <t>District: Bo
Chiefdom: Kakua
PHU name: SLRCS CHC
Community name: Tinkonko Road Bo
Name of school: Nwumba Primary School
Enrollment: 335</t>
  </si>
  <si>
    <t>Foday Brima</t>
  </si>
  <si>
    <t>Augusta Walker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</si>
  <si>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</si>
  <si>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</si>
  <si>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</si>
  <si>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</si>
  <si>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</si>
  <si>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</si>
  <si>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</si>
  <si>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</si>
  <si>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</si>
  <si>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</si>
  <si>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</si>
  <si>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</si>
  <si>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</si>
  <si>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</si>
  <si>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</si>
  <si>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Cecilia Sam</t>
  </si>
  <si>
    <t xml:space="preserve">Nancy J Williams </t>
  </si>
  <si>
    <t>NEB50890964</t>
  </si>
  <si>
    <t>03-07-2025 05:47 AM</t>
  </si>
  <si>
    <t>District: Bo
Chiefdom: Bo City
PHU name: MCH Static CHC
Community name: Bo Town
Name of school: Together As One Primary School
Enrollment: 356</t>
  </si>
  <si>
    <t xml:space="preserve">Elizabeth Bockarie </t>
  </si>
  <si>
    <t xml:space="preserve">Mohamed T. Kallon </t>
  </si>
  <si>
    <t xml:space="preserve">Dolcie Lans-Bagoley 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</si>
  <si>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</si>
  <si>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</si>
  <si>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</si>
  <si>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</si>
  <si>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</si>
  <si>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</si>
  <si>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</si>
  <si>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</si>
  <si>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</si>
  <si>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</si>
  <si>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</si>
  <si>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</si>
  <si>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</si>
  <si>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</si>
  <si>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</si>
  <si>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</si>
  <si>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</si>
  <si>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</si>
  <si>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</si>
  <si>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</si>
  <si>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</si>
  <si>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</si>
  <si>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</si>
  <si>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</si>
  <si>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</si>
  <si>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</si>
  <si>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</si>
  <si>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</si>
  <si>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</si>
  <si>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</si>
  <si>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</si>
  <si>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</si>
  <si>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</si>
  <si>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</si>
  <si>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</si>
  <si>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</si>
  <si>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</si>
  <si>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</si>
  <si>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</si>
  <si>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</si>
  <si>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</si>
  <si>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</si>
  <si>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</si>
  <si>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</si>
  <si>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</si>
  <si>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</si>
  <si>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</si>
  <si>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</si>
  <si>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</si>
  <si>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</si>
  <si>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</si>
  <si>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</si>
  <si>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</si>
  <si>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</si>
  <si>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</si>
  <si>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</si>
  <si>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</si>
  <si>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</si>
  <si>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</si>
  <si>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</si>
  <si>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</si>
  <si>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</si>
  <si>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</si>
  <si>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</si>
  <si>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</si>
  <si>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</si>
  <si>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</si>
  <si>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</si>
  <si>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</si>
  <si>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</si>
  <si>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</si>
  <si>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</si>
  <si>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</si>
  <si>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 xml:space="preserve">Jaward T Koroma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</si>
  <si>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</si>
  <si>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</si>
  <si>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</si>
  <si>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</si>
  <si>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</si>
  <si>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</si>
  <si>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</si>
  <si>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</si>
  <si>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</si>
  <si>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</si>
  <si>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</si>
  <si>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</si>
  <si>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</si>
  <si>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</si>
  <si>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</si>
  <si>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</si>
  <si>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</si>
  <si>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</si>
  <si>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</si>
  <si>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</si>
  <si>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</si>
  <si>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</si>
  <si>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</si>
  <si>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</si>
  <si>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</si>
  <si>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</si>
  <si>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</si>
  <si>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</si>
  <si>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</si>
  <si>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</si>
  <si>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</si>
  <si>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</si>
  <si>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</si>
  <si>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</si>
  <si>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</si>
  <si>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</si>
  <si>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</si>
  <si>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</si>
  <si>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</si>
  <si>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</si>
  <si>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</si>
  <si>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</si>
  <si>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</si>
  <si>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</si>
  <si>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</si>
  <si>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</si>
  <si>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</si>
  <si>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</si>
  <si>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</si>
  <si>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</si>
  <si>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Musa M.Ghaliwai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</si>
  <si>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</si>
  <si>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</si>
  <si>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</si>
  <si>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</si>
  <si>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</si>
  <si>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</si>
  <si>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</si>
  <si>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</si>
  <si>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</si>
  <si>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</si>
  <si>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</si>
  <si>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</si>
  <si>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</si>
  <si>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</si>
  <si>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</si>
  <si>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</si>
  <si>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</si>
  <si>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</si>
  <si>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</si>
  <si>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</si>
  <si>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</si>
  <si>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</si>
  <si>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</si>
  <si>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</si>
  <si>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</si>
  <si>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</si>
  <si>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</si>
  <si>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>Manu S Koroma</t>
  </si>
  <si>
    <t xml:space="preserve">Fatmata Tholley 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</si>
  <si>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</si>
  <si>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</si>
  <si>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</si>
  <si>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</si>
  <si>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</si>
  <si>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</si>
  <si>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Mariatu Turay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</si>
  <si>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</si>
  <si>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</si>
  <si>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</si>
  <si>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</si>
  <si>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</si>
  <si>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</si>
  <si>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</si>
  <si>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</si>
  <si>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</si>
  <si>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</si>
  <si>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</si>
  <si>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</si>
  <si>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</si>
  <si>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</si>
  <si>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</si>
  <si>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</si>
  <si>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</si>
  <si>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</si>
  <si>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</si>
  <si>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</si>
  <si>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</si>
  <si>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</si>
  <si>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</si>
  <si>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</si>
  <si>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</si>
  <si>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</si>
  <si>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</si>
  <si>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</si>
  <si>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</si>
  <si>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</si>
  <si>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</si>
  <si>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</si>
  <si>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</si>
  <si>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</si>
  <si>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</si>
  <si>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</si>
  <si>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 xml:space="preserve">Aminata Sandi </t>
  </si>
  <si>
    <t xml:space="preserve">Memunatu Morisana </t>
  </si>
  <si>
    <t>Mohamed.F.Bangalie</t>
  </si>
  <si>
    <t>FEH05018525</t>
  </si>
  <si>
    <t>02-07-2025 02:02 PM</t>
  </si>
  <si>
    <t>District: Bo
Chiefdom: Baoma
PHU name: Yakaji MCHP
Community name: Gbangba
Name of school: S L M B Primary School
Enrollment: 220</t>
  </si>
  <si>
    <t>Isatu Bangura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</si>
  <si>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</si>
  <si>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</si>
  <si>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</si>
  <si>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</si>
  <si>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</si>
  <si>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</si>
  <si>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</si>
  <si>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</si>
  <si>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</si>
  <si>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</si>
  <si>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</si>
  <si>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</si>
  <si>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</si>
  <si>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</si>
  <si>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</si>
  <si>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</si>
  <si>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</si>
  <si>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</si>
  <si>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</si>
  <si>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</si>
  <si>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</si>
  <si>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</si>
  <si>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</si>
  <si>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</si>
  <si>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</si>
  <si>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</si>
  <si>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</si>
  <si>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</si>
  <si>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</si>
  <si>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</si>
  <si>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</si>
  <si>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</si>
  <si>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</si>
  <si>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</si>
  <si>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</si>
  <si>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</si>
  <si>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</si>
  <si>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</si>
  <si>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</si>
  <si>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</si>
  <si>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</si>
  <si>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</si>
  <si>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</si>
  <si>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</si>
  <si>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</si>
  <si>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</si>
  <si>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</si>
  <si>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</si>
  <si>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</si>
  <si>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</si>
  <si>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</si>
  <si>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</si>
  <si>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</si>
  <si>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</si>
  <si>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</si>
  <si>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</si>
  <si>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</si>
  <si>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</si>
  <si>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</si>
  <si>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</si>
  <si>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</si>
  <si>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</si>
  <si>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</si>
  <si>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</si>
  <si>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</si>
  <si>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</si>
  <si>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>Phoday James Sesay</t>
  </si>
  <si>
    <t>Sani swaray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</si>
  <si>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</si>
  <si>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</si>
  <si>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</si>
  <si>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</si>
  <si>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</si>
  <si>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</si>
  <si>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</si>
  <si>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</si>
  <si>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</si>
  <si>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</si>
  <si>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</si>
  <si>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</si>
  <si>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</si>
  <si>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</si>
  <si>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</si>
  <si>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</si>
  <si>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</si>
  <si>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</si>
  <si>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</si>
  <si>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</si>
  <si>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</si>
  <si>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</si>
  <si>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</si>
  <si>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</si>
  <si>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</si>
  <si>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</si>
  <si>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</si>
  <si>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</si>
  <si>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</si>
  <si>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</si>
  <si>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</si>
  <si>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</si>
  <si>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</si>
  <si>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</si>
  <si>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</si>
  <si>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</si>
  <si>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</si>
  <si>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</si>
  <si>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</si>
  <si>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</si>
  <si>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</si>
  <si>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</si>
  <si>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</si>
  <si>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</si>
  <si>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</si>
  <si>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</si>
  <si>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</si>
  <si>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</si>
  <si>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</si>
  <si>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</si>
  <si>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</si>
  <si>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</si>
  <si>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</si>
  <si>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</si>
  <si>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</si>
  <si>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</si>
  <si>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</si>
  <si>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</si>
  <si>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</si>
  <si>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</si>
  <si>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</si>
  <si>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</si>
  <si>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</si>
  <si>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</si>
  <si>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</si>
  <si>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</si>
  <si>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Safiatu L Conte</t>
  </si>
  <si>
    <t>Hawa rugiatu Rogers</t>
  </si>
  <si>
    <t>Bockarie Samai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</si>
  <si>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</si>
  <si>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</si>
  <si>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</si>
  <si>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</si>
  <si>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</si>
  <si>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</si>
  <si>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</si>
  <si>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</si>
  <si>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</si>
  <si>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</si>
  <si>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</si>
  <si>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</si>
  <si>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</si>
  <si>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</si>
  <si>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</si>
  <si>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</si>
  <si>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</si>
  <si>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</si>
  <si>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</si>
  <si>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</si>
  <si>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</si>
  <si>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</si>
  <si>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</si>
  <si>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02-07-2025 10:39 AM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</si>
  <si>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</si>
  <si>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</si>
  <si>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</si>
  <si>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</si>
  <si>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</si>
  <si>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</si>
  <si>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</si>
  <si>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</si>
  <si>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</si>
  <si>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</si>
  <si>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</si>
  <si>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</si>
  <si>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</si>
  <si>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</si>
  <si>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</si>
  <si>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Ashmia Mansaray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</si>
  <si>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</si>
  <si>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</si>
  <si>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</si>
  <si>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</si>
  <si>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</si>
  <si>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</si>
  <si>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</si>
  <si>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</si>
  <si>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</si>
  <si>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</si>
  <si>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</si>
  <si>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</si>
  <si>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</si>
  <si>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</si>
  <si>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</si>
  <si>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</si>
  <si>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</si>
  <si>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</si>
  <si>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</si>
  <si>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</si>
  <si>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</si>
  <si>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</si>
  <si>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</si>
  <si>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</si>
  <si>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</si>
  <si>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</si>
  <si>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</si>
  <si>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</si>
  <si>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</si>
  <si>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</si>
  <si>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</si>
  <si>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</si>
  <si>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</si>
  <si>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</si>
  <si>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</si>
  <si>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</si>
  <si>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</si>
  <si>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</si>
  <si>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</si>
  <si>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</si>
  <si>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Sheku fofanah </t>
  </si>
  <si>
    <t xml:space="preserve">Ishmael conteh </t>
  </si>
  <si>
    <t>Cynthia  swaray</t>
  </si>
  <si>
    <t>YUR91269124</t>
  </si>
  <si>
    <t>02-07-2025 10:08 AM</t>
  </si>
  <si>
    <t>District: Bombali
Chiefdom: Magbaimba Ndohahun
PHU name: xxx
Community name: xxx
Name of school: xxx
Enrollment: xxx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</si>
  <si>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</si>
  <si>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</si>
  <si>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</si>
  <si>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</si>
  <si>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</si>
  <si>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</si>
  <si>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</si>
  <si>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</si>
  <si>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</si>
  <si>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</si>
  <si>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</si>
  <si>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</si>
  <si>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</si>
  <si>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</si>
  <si>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</si>
  <si>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</si>
  <si>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</si>
  <si>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</si>
  <si>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</si>
  <si>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</si>
  <si>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</si>
  <si>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Theresa sannoh</t>
  </si>
  <si>
    <t>Gabriel Ben Saspo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</si>
  <si>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</si>
  <si>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</si>
  <si>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</si>
  <si>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</si>
  <si>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</si>
  <si>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</si>
  <si>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</si>
  <si>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</si>
  <si>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</si>
  <si>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</si>
  <si>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</si>
  <si>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</si>
  <si>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</si>
  <si>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</si>
  <si>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</si>
  <si>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</si>
  <si>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</si>
  <si>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</si>
  <si>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</si>
  <si>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</si>
  <si>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</si>
  <si>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</si>
  <si>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</si>
  <si>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</si>
  <si>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</si>
  <si>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</si>
  <si>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</si>
  <si>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</si>
  <si>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</si>
  <si>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</si>
  <si>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</si>
  <si>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</si>
  <si>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</si>
  <si>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</si>
  <si>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</si>
  <si>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</si>
  <si>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</si>
  <si>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</si>
  <si>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</si>
  <si>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</si>
  <si>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</si>
  <si>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</si>
  <si>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</si>
  <si>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</si>
  <si>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</si>
  <si>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</si>
  <si>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</si>
  <si>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</si>
  <si>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</si>
  <si>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</si>
  <si>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</si>
  <si>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</si>
  <si>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</si>
  <si>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</si>
  <si>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</si>
  <si>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</si>
  <si>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</si>
  <si>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</si>
  <si>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</si>
  <si>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</si>
  <si>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</si>
  <si>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</si>
  <si>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</si>
  <si>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</si>
  <si>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</si>
  <si>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</si>
  <si>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</si>
  <si>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</si>
  <si>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</si>
  <si>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</si>
  <si>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</si>
  <si>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</si>
  <si>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</si>
  <si>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</si>
  <si>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Hassanatu N kamara 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</si>
  <si>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</si>
  <si>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</si>
  <si>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</si>
  <si>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</si>
  <si>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</si>
  <si>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</si>
  <si>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</si>
  <si>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</si>
  <si>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</si>
  <si>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</si>
  <si>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</si>
  <si>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</si>
  <si>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</si>
  <si>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</si>
  <si>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</si>
  <si>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</si>
  <si>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</si>
  <si>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</si>
  <si>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</si>
  <si>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</si>
  <si>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</si>
  <si>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 xml:space="preserve">Mariama A Mansaray </t>
  </si>
  <si>
    <t xml:space="preserve">Mattia M Bockarie 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</si>
  <si>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</si>
  <si>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</si>
  <si>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</si>
  <si>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</si>
  <si>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</si>
  <si>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</si>
  <si>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</si>
  <si>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</si>
  <si>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</si>
  <si>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</si>
  <si>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</si>
  <si>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</si>
  <si>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</si>
  <si>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</si>
  <si>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</si>
  <si>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</si>
  <si>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</si>
  <si>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</si>
  <si>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</si>
  <si>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</si>
  <si>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</si>
  <si>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</si>
  <si>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</si>
  <si>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</si>
  <si>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</si>
  <si>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</si>
  <si>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</si>
  <si>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</si>
  <si>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</si>
  <si>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</si>
  <si>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</si>
  <si>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</si>
  <si>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</si>
  <si>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</si>
  <si>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</si>
  <si>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</si>
  <si>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</si>
  <si>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</si>
  <si>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</si>
  <si>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</si>
  <si>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</si>
  <si>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</si>
  <si>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</si>
  <si>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</si>
  <si>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</si>
  <si>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</si>
  <si>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</si>
  <si>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 xml:space="preserve">Jebbeh Dauda </t>
  </si>
  <si>
    <t xml:space="preserve">Regina George </t>
  </si>
  <si>
    <t>Josephine Pessima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</si>
  <si>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</si>
  <si>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</si>
  <si>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</si>
  <si>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</si>
  <si>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</si>
  <si>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</si>
  <si>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</si>
  <si>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</si>
  <si>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</si>
  <si>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</si>
  <si>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</si>
  <si>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</si>
  <si>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02-07-2025 08:47 AM</t>
  </si>
  <si>
    <t>District: Bombali
Chiefdom: Kamaranka
PHU name: xxx
Community name: xxx
Name of school: xxx
Enrollment: xxx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</si>
  <si>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</si>
  <si>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</si>
  <si>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</si>
  <si>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</si>
  <si>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</si>
  <si>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</si>
  <si>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</si>
  <si>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</si>
  <si>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</si>
  <si>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</si>
  <si>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</si>
  <si>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</si>
  <si>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</si>
  <si>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</si>
  <si>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</si>
  <si>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</si>
  <si>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</si>
  <si>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</si>
  <si>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</si>
  <si>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</si>
  <si>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</si>
  <si>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</si>
  <si>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</si>
  <si>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</si>
  <si>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</si>
  <si>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</si>
  <si>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</si>
  <si>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</si>
  <si>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</si>
  <si>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</si>
  <si>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</si>
  <si>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</si>
  <si>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</si>
  <si>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</si>
  <si>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</si>
  <si>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</si>
  <si>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</si>
  <si>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</si>
  <si>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</si>
  <si>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</si>
  <si>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</si>
  <si>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</si>
  <si>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</si>
  <si>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 xml:space="preserve">Santigie m Sumah </t>
  </si>
  <si>
    <t xml:space="preserve">Abu Alpha sesay </t>
  </si>
  <si>
    <t xml:space="preserve">Alpha Umaro Kanu 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</si>
  <si>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</si>
  <si>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</si>
  <si>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</si>
  <si>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</si>
  <si>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</si>
  <si>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</si>
  <si>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</si>
  <si>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</si>
  <si>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</si>
  <si>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</si>
  <si>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</si>
  <si>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</si>
  <si>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</si>
  <si>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</si>
  <si>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</si>
  <si>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</si>
  <si>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</si>
  <si>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</si>
  <si>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</si>
  <si>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</si>
  <si>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</si>
  <si>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</si>
  <si>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</si>
  <si>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</si>
  <si>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</si>
  <si>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</si>
  <si>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</si>
  <si>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</si>
  <si>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</si>
  <si>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</si>
  <si>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</si>
  <si>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</si>
  <si>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</si>
  <si>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</si>
  <si>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</si>
  <si>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</si>
  <si>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</si>
  <si>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</si>
  <si>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</si>
  <si>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</si>
  <si>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</si>
  <si>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</si>
  <si>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</si>
  <si>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</si>
  <si>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</si>
  <si>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Esther M Ndaloma </t>
  </si>
  <si>
    <t xml:space="preserve">Rachel moriba 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</si>
  <si>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</si>
  <si>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</si>
  <si>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</si>
  <si>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</si>
  <si>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</si>
  <si>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</si>
  <si>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</si>
  <si>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</si>
  <si>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</si>
  <si>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</si>
  <si>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</si>
  <si>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</si>
  <si>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</si>
  <si>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</si>
  <si>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</si>
  <si>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</si>
  <si>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</si>
  <si>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</si>
  <si>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</si>
  <si>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 xml:space="preserve">Alie Osman mansaray </t>
  </si>
  <si>
    <t>Cecilia sam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</si>
  <si>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</si>
  <si>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</si>
  <si>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</si>
  <si>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</si>
  <si>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</si>
  <si>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</si>
  <si>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</si>
  <si>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</si>
  <si>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</si>
  <si>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</si>
  <si>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</si>
  <si>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</si>
  <si>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</si>
  <si>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</si>
  <si>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</si>
  <si>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</si>
  <si>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</si>
  <si>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 xml:space="preserve">Aisha Sesay </t>
  </si>
  <si>
    <t xml:space="preserve">Momoh Kanu </t>
  </si>
  <si>
    <t xml:space="preserve">Francesca Musu Sandy 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</si>
  <si>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</si>
  <si>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</si>
  <si>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</si>
  <si>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</si>
  <si>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</si>
  <si>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</si>
  <si>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</si>
  <si>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 xml:space="preserve">Aminata R Kamara 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</si>
  <si>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</si>
  <si>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</si>
  <si>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</si>
  <si>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</si>
  <si>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</si>
  <si>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</si>
  <si>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</si>
  <si>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</si>
  <si>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</si>
  <si>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</si>
  <si>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</si>
  <si>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</si>
  <si>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</si>
  <si>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</si>
  <si>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</si>
  <si>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</si>
  <si>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</si>
  <si>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</si>
  <si>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</si>
  <si>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</si>
  <si>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</si>
  <si>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</si>
  <si>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</si>
  <si>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</si>
  <si>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</si>
  <si>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</si>
  <si>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</si>
  <si>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</si>
  <si>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</si>
  <si>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</si>
  <si>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</si>
  <si>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</si>
  <si>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Mohamed Bah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</si>
  <si>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</si>
  <si>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</si>
  <si>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</si>
  <si>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Edwina M Conteh 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</si>
  <si>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</si>
  <si>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</si>
  <si>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</si>
  <si>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</si>
  <si>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</si>
  <si>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</si>
  <si>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</si>
  <si>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</si>
  <si>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</si>
  <si>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</si>
  <si>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</si>
  <si>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</si>
  <si>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</si>
  <si>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</si>
  <si>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Sorie kamara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</si>
  <si>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</si>
  <si>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</si>
  <si>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</si>
  <si>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</si>
  <si>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</si>
  <si>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</si>
  <si>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</si>
  <si>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</si>
  <si>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</si>
  <si>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</si>
  <si>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</si>
  <si>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</si>
  <si>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</si>
  <si>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</si>
  <si>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</si>
  <si>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</si>
  <si>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</si>
  <si>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</si>
  <si>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</si>
  <si>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</si>
  <si>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</si>
  <si>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</si>
  <si>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</si>
  <si>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</si>
  <si>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</si>
  <si>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</si>
  <si>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</si>
  <si>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</si>
  <si>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</si>
  <si>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</si>
  <si>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Saffie Kornya Jusu</t>
  </si>
  <si>
    <t>Adella paris</t>
  </si>
  <si>
    <t>Mbalu T Koroma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</si>
  <si>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</si>
  <si>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</si>
  <si>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</si>
  <si>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</si>
  <si>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</si>
  <si>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</si>
  <si>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</si>
  <si>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</si>
  <si>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</si>
  <si>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</si>
  <si>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</si>
  <si>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</si>
  <si>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</si>
  <si>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</si>
  <si>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</si>
  <si>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</si>
  <si>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</si>
  <si>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</si>
  <si>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</si>
  <si>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</si>
  <si>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</si>
  <si>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</si>
  <si>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</si>
  <si>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</si>
  <si>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</si>
  <si>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 xml:space="preserve">Hawanatu s mansaray </t>
  </si>
  <si>
    <t xml:space="preserve">Fatu S Tholley 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</si>
  <si>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</si>
  <si>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</si>
  <si>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</si>
  <si>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</si>
  <si>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</si>
  <si>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</si>
  <si>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</si>
  <si>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</si>
  <si>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</si>
  <si>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</si>
  <si>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</si>
  <si>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</si>
  <si>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</si>
  <si>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</si>
  <si>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</si>
  <si>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</si>
  <si>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</si>
  <si>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</si>
  <si>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</si>
  <si>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</si>
  <si>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</si>
  <si>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</si>
  <si>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</si>
  <si>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</si>
  <si>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</si>
  <si>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</si>
  <si>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</si>
  <si>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</si>
  <si>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</si>
  <si>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</si>
  <si>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</si>
  <si>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</si>
  <si>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</si>
  <si>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</si>
  <si>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</si>
  <si>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</si>
  <si>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</si>
  <si>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</si>
  <si>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</si>
  <si>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</si>
  <si>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</si>
  <si>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</si>
  <si>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</si>
  <si>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</si>
  <si>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</si>
  <si>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</si>
  <si>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</si>
  <si>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07:21 AM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</si>
  <si>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</si>
  <si>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</si>
  <si>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</si>
  <si>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</si>
  <si>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</si>
  <si>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</si>
  <si>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</si>
  <si>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</si>
  <si>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</si>
  <si>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</si>
  <si>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</si>
  <si>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</si>
  <si>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</si>
  <si>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</si>
  <si>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</si>
  <si>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</si>
  <si>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</si>
  <si>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</si>
  <si>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</si>
  <si>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</si>
  <si>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</si>
  <si>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</si>
  <si>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</si>
  <si>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</si>
  <si>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</si>
  <si>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</si>
  <si>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</si>
  <si>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</si>
  <si>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</si>
  <si>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</si>
  <si>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</si>
  <si>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</si>
  <si>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</si>
  <si>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</si>
  <si>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</si>
  <si>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</si>
  <si>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</si>
  <si>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</si>
  <si>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</si>
  <si>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</si>
  <si>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</si>
  <si>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</si>
  <si>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</si>
  <si>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</si>
  <si>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</si>
  <si>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</si>
  <si>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</si>
  <si>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</si>
  <si>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</si>
  <si>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</si>
  <si>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</si>
  <si>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</si>
  <si>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</si>
  <si>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</si>
  <si>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</si>
  <si>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</si>
  <si>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</si>
  <si>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</si>
  <si>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</si>
  <si>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</si>
  <si>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</si>
  <si>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</si>
  <si>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</si>
  <si>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</si>
  <si>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</si>
  <si>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</si>
  <si>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</si>
  <si>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</si>
  <si>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</si>
  <si>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</si>
  <si>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</si>
  <si>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</si>
  <si>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</si>
  <si>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</si>
  <si>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</si>
  <si>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</si>
  <si>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</si>
  <si>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</si>
  <si>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</si>
  <si>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</si>
  <si>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</si>
  <si>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</si>
  <si>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</si>
  <si>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</si>
  <si>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</si>
  <si>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</si>
  <si>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</si>
  <si>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</si>
  <si>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</si>
  <si>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</si>
  <si>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</si>
  <si>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</si>
  <si>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</si>
  <si>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</si>
  <si>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</si>
  <si>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</si>
  <si>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</si>
  <si>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</si>
  <si>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</si>
  <si>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</si>
  <si>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</si>
  <si>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</si>
  <si>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</si>
  <si>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</si>
  <si>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</si>
  <si>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</si>
  <si>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</si>
  <si>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</si>
  <si>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</si>
  <si>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</si>
  <si>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</si>
  <si>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</si>
  <si>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</si>
  <si>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</si>
  <si>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</si>
  <si>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</si>
  <si>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</si>
  <si>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</si>
  <si>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</si>
  <si>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</si>
  <si>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</si>
  <si>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</si>
  <si>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</si>
  <si>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</si>
  <si>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</si>
  <si>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</si>
  <si>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</si>
  <si>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</si>
  <si>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</si>
  <si>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</si>
  <si>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</si>
  <si>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Patricia L Lahai </t>
  </si>
  <si>
    <t xml:space="preserve">Henry Edwards 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</si>
  <si>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</si>
  <si>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</si>
  <si>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</si>
  <si>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</si>
  <si>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</si>
  <si>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</si>
  <si>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</si>
  <si>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</si>
  <si>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</si>
  <si>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</si>
  <si>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</si>
  <si>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</si>
  <si>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</si>
  <si>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</si>
  <si>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</si>
  <si>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</si>
  <si>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</si>
  <si>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</si>
  <si>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</si>
  <si>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</si>
  <si>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</si>
  <si>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</si>
  <si>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 xml:space="preserve">Veronica Gborie 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</si>
  <si>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</si>
  <si>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</si>
  <si>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</si>
  <si>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</si>
  <si>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</si>
  <si>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</si>
  <si>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</si>
  <si>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</si>
  <si>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</si>
  <si>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</si>
  <si>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</si>
  <si>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</si>
  <si>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</si>
  <si>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</si>
  <si>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</si>
  <si>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</si>
  <si>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</si>
  <si>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</si>
  <si>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</si>
  <si>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</si>
  <si>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</si>
  <si>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</si>
  <si>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</si>
  <si>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</si>
  <si>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</si>
  <si>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</si>
  <si>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</si>
  <si>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</si>
  <si>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</si>
  <si>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</si>
  <si>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</si>
  <si>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</si>
  <si>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</si>
  <si>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</si>
  <si>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 xml:space="preserve">Mariama Conteh 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</si>
  <si>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</si>
  <si>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</si>
  <si>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</si>
  <si>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</si>
  <si>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</si>
  <si>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</si>
  <si>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</si>
  <si>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</si>
  <si>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</si>
  <si>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</si>
  <si>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</si>
  <si>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</si>
  <si>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</si>
  <si>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</si>
  <si>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</si>
  <si>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</si>
  <si>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</si>
  <si>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</si>
  <si>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</si>
  <si>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</si>
  <si>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</si>
  <si>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</si>
  <si>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</si>
  <si>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</si>
  <si>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</si>
  <si>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</si>
  <si>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</si>
  <si>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</si>
  <si>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</si>
  <si>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</si>
  <si>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</si>
  <si>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</si>
  <si>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</si>
  <si>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</si>
  <si>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</si>
  <si>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</si>
  <si>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</si>
  <si>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</si>
  <si>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</si>
  <si>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</si>
  <si>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</si>
  <si>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</si>
  <si>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</si>
  <si>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02-07-2025 06:28 AM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</si>
  <si>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</si>
  <si>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</si>
  <si>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</si>
  <si>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</si>
  <si>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</si>
  <si>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</si>
  <si>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</si>
  <si>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</si>
  <si>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</si>
  <si>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</si>
  <si>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</si>
  <si>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</si>
  <si>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</si>
  <si>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</si>
  <si>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</si>
  <si>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</si>
  <si>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</si>
  <si>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</si>
  <si>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</si>
  <si>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</si>
  <si>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</si>
  <si>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Badjia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</si>
  <si>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</si>
  <si>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</si>
  <si>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</si>
  <si>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</si>
  <si>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</si>
  <si>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</si>
  <si>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</si>
  <si>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</si>
  <si>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</si>
  <si>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</si>
  <si>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</si>
  <si>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</si>
  <si>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</si>
  <si>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</si>
  <si>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</si>
  <si>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</si>
  <si>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</si>
  <si>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</si>
  <si>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</si>
  <si>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</si>
  <si>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</si>
  <si>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</si>
  <si>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</si>
  <si>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Mohamed M Bah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</si>
  <si>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</si>
  <si>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</si>
  <si>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</si>
  <si>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</si>
  <si>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</si>
  <si>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</si>
  <si>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</si>
  <si>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</si>
  <si>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</si>
  <si>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</si>
  <si>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</si>
  <si>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</si>
  <si>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</si>
  <si>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</si>
  <si>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</si>
  <si>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</si>
  <si>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</si>
  <si>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</si>
  <si>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</si>
  <si>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</si>
  <si>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</si>
  <si>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</si>
  <si>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</si>
  <si>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</si>
  <si>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</si>
  <si>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</si>
  <si>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</si>
  <si>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</si>
  <si>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</si>
  <si>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</si>
  <si>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</si>
  <si>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</si>
  <si>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</si>
  <si>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</si>
  <si>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</si>
  <si>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</si>
  <si>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</si>
  <si>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</si>
  <si>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</si>
  <si>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</si>
  <si>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</si>
  <si>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</si>
  <si>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</si>
  <si>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</si>
  <si>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</si>
  <si>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</si>
  <si>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</si>
  <si>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</si>
  <si>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</si>
  <si>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</si>
  <si>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</si>
  <si>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</si>
  <si>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</si>
  <si>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</si>
  <si>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</si>
  <si>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</si>
  <si>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</si>
  <si>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</si>
  <si>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</si>
  <si>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</si>
  <si>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</si>
  <si>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</si>
  <si>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</si>
  <si>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</si>
  <si>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</si>
  <si>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</si>
  <si>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</si>
  <si>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</si>
  <si>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</si>
  <si>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</si>
  <si>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</si>
  <si>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</si>
  <si>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</si>
  <si>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</si>
  <si>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</si>
  <si>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</si>
  <si>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</si>
  <si>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</si>
  <si>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</si>
  <si>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</si>
  <si>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</si>
  <si>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</si>
  <si>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</si>
  <si>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</si>
  <si>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</si>
  <si>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</si>
  <si>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</si>
  <si>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</si>
  <si>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</si>
  <si>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</si>
  <si>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</si>
  <si>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</si>
  <si>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</si>
  <si>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</si>
  <si>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</si>
  <si>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</si>
  <si>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</si>
  <si>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</si>
  <si>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</si>
  <si>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</si>
  <si>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</si>
  <si>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</si>
  <si>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</si>
  <si>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</si>
  <si>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</si>
  <si>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</si>
  <si>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</si>
  <si>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</si>
  <si>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</si>
  <si>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</si>
  <si>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</si>
  <si>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Mamusu Turay</t>
  </si>
  <si>
    <t>Felix Max Conteh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</si>
  <si>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</si>
  <si>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</si>
  <si>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</si>
  <si>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</si>
  <si>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</si>
  <si>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</si>
  <si>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</si>
  <si>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</si>
  <si>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</si>
  <si>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</si>
  <si>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</si>
  <si>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</si>
  <si>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 xml:space="preserve">Seibatu H Yokie </t>
  </si>
  <si>
    <t xml:space="preserve">Jestina T Momodu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</si>
  <si>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</si>
  <si>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</si>
  <si>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</si>
  <si>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</si>
  <si>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</si>
  <si>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</si>
  <si>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</si>
  <si>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</si>
  <si>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</si>
  <si>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</si>
  <si>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</si>
  <si>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</si>
  <si>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</si>
  <si>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</si>
  <si>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</si>
  <si>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</si>
  <si>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</si>
  <si>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</si>
  <si>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</si>
  <si>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</si>
  <si>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</si>
  <si>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Fatmata Bangura 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</si>
  <si>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</si>
  <si>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</si>
  <si>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</si>
  <si>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</si>
  <si>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</si>
  <si>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</si>
  <si>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</si>
  <si>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</si>
  <si>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</si>
  <si>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</si>
  <si>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</si>
  <si>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</si>
  <si>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</si>
  <si>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</si>
  <si>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</si>
  <si>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</si>
  <si>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</si>
  <si>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</si>
  <si>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</si>
  <si>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</si>
  <si>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</si>
  <si>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</si>
  <si>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</si>
  <si>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</si>
  <si>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</si>
  <si>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</si>
  <si>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</si>
  <si>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</si>
  <si>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</si>
  <si>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</si>
  <si>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</si>
  <si>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</si>
  <si>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</si>
  <si>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</si>
  <si>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</si>
  <si>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</si>
  <si>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</si>
  <si>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</si>
  <si>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</si>
  <si>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</si>
  <si>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</si>
  <si>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</si>
  <si>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</si>
  <si>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</si>
  <si>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</si>
  <si>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</si>
  <si>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</si>
  <si>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</si>
  <si>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</si>
  <si>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</si>
  <si>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</si>
  <si>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</si>
  <si>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</si>
  <si>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</si>
  <si>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</si>
  <si>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</si>
  <si>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</si>
  <si>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</si>
  <si>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</si>
  <si>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</si>
  <si>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Adamsay Jalloh</t>
  </si>
  <si>
    <t>Zainab Alpha KargboMoh</t>
  </si>
  <si>
    <t>Mohamed Dauda Koroma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</si>
  <si>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</si>
  <si>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</si>
  <si>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</si>
  <si>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</si>
  <si>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</si>
  <si>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</si>
  <si>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</si>
  <si>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</si>
  <si>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</si>
  <si>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</si>
  <si>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</si>
  <si>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</si>
  <si>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</si>
  <si>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</si>
  <si>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</si>
  <si>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</si>
  <si>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</si>
  <si>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</si>
  <si>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</si>
  <si>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</si>
  <si>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</si>
  <si>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</si>
  <si>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</si>
  <si>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</si>
  <si>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</si>
  <si>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</si>
  <si>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</si>
  <si>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</si>
  <si>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</si>
  <si>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</si>
  <si>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</si>
  <si>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</si>
  <si>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</si>
  <si>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</si>
  <si>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</si>
  <si>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</si>
  <si>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</si>
  <si>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</si>
  <si>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</si>
  <si>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</si>
  <si>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</si>
  <si>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</si>
  <si>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</si>
  <si>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</si>
  <si>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</si>
  <si>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</si>
  <si>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Jamilatu A Conteh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</si>
  <si>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</si>
  <si>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</si>
  <si>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</si>
  <si>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</si>
  <si>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</si>
  <si>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</si>
  <si>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</si>
  <si>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</si>
  <si>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</si>
  <si>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</si>
  <si>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</si>
  <si>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</si>
  <si>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</si>
  <si>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</si>
  <si>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</si>
  <si>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</si>
  <si>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</si>
  <si>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</si>
  <si>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</si>
  <si>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</si>
  <si>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</si>
  <si>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</si>
  <si>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</si>
  <si>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</si>
  <si>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</si>
  <si>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</si>
  <si>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</si>
  <si>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</si>
  <si>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</si>
  <si>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</si>
  <si>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</si>
  <si>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</si>
  <si>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</si>
  <si>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</si>
  <si>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</si>
  <si>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</si>
  <si>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</si>
  <si>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</si>
  <si>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</si>
  <si>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</si>
  <si>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</si>
  <si>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</si>
  <si>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</si>
  <si>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</si>
  <si>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Mamawa Sannoh 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</si>
  <si>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</si>
  <si>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</si>
  <si>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</si>
  <si>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</si>
  <si>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</si>
  <si>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</si>
  <si>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</si>
  <si>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</si>
  <si>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</si>
  <si>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</si>
  <si>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</si>
  <si>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</si>
  <si>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</si>
  <si>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</si>
  <si>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</si>
  <si>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</si>
  <si>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</si>
  <si>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</si>
  <si>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</si>
  <si>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</si>
  <si>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</si>
  <si>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</si>
  <si>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</si>
  <si>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</si>
  <si>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</si>
  <si>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</si>
  <si>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</si>
  <si>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</si>
  <si>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 xml:space="preserve">Jeneba Kanneh </t>
  </si>
  <si>
    <t xml:space="preserve">Victoria Musa </t>
  </si>
  <si>
    <t>Morie Katta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</si>
  <si>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</si>
  <si>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</si>
  <si>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</si>
  <si>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</si>
  <si>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</si>
  <si>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</si>
  <si>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Mamie M. Wai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</si>
  <si>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</si>
  <si>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</si>
  <si>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</si>
  <si>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</si>
  <si>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</si>
  <si>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</si>
  <si>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</si>
  <si>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</si>
  <si>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</si>
  <si>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</si>
  <si>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</si>
  <si>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</si>
  <si>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</si>
  <si>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</si>
  <si>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</si>
  <si>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</si>
  <si>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</si>
  <si>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</si>
  <si>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</si>
  <si>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</si>
  <si>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</si>
  <si>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</si>
  <si>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</si>
  <si>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</si>
  <si>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</si>
  <si>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</si>
  <si>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</si>
  <si>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</si>
  <si>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</si>
  <si>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</si>
  <si>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KPN15356074</t>
  </si>
  <si>
    <t>01-07-2025 12:27 PM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</si>
  <si>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</si>
  <si>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</si>
  <si>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</si>
  <si>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</si>
  <si>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</si>
  <si>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</si>
  <si>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</si>
  <si>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</si>
  <si>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</si>
  <si>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</si>
  <si>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</si>
  <si>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</si>
  <si>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</si>
  <si>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</si>
  <si>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</si>
  <si>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</si>
  <si>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</si>
  <si>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</si>
  <si>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</si>
  <si>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</si>
  <si>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</si>
  <si>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</si>
  <si>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</si>
  <si>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</si>
  <si>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</si>
  <si>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</si>
  <si>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</si>
  <si>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</si>
  <si>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</si>
  <si>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</si>
  <si>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</si>
  <si>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</si>
  <si>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</si>
  <si>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</si>
  <si>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</si>
  <si>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</si>
  <si>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</si>
  <si>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</si>
  <si>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</si>
  <si>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</si>
  <si>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</si>
  <si>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</si>
  <si>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</si>
  <si>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</si>
  <si>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</si>
  <si>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</si>
  <si>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</si>
  <si>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</si>
  <si>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</si>
  <si>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</si>
  <si>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</si>
  <si>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</si>
  <si>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</si>
  <si>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</si>
  <si>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</si>
  <si>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</si>
  <si>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</si>
  <si>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</si>
  <si>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Aminata Bangura 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</si>
  <si>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</si>
  <si>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</si>
  <si>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</si>
  <si>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</si>
  <si>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</si>
  <si>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</si>
  <si>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</si>
  <si>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</si>
  <si>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</si>
  <si>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</si>
  <si>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</si>
  <si>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</si>
  <si>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</si>
  <si>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</si>
  <si>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</si>
  <si>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</si>
  <si>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</si>
  <si>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</si>
  <si>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</si>
  <si>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</si>
  <si>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</si>
  <si>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</si>
  <si>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</si>
  <si>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</si>
  <si>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</si>
  <si>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</si>
  <si>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</si>
  <si>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</si>
  <si>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</si>
  <si>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</si>
  <si>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</si>
  <si>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</si>
  <si>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</si>
  <si>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</si>
  <si>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</si>
  <si>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</si>
  <si>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</si>
  <si>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</si>
  <si>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</si>
  <si>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</si>
  <si>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</si>
  <si>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</si>
  <si>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</si>
  <si>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</si>
  <si>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</si>
  <si>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</si>
  <si>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</si>
  <si>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</si>
  <si>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</si>
  <si>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</si>
  <si>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Adama sellu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</si>
  <si>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</si>
  <si>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</si>
  <si>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</si>
  <si>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</si>
  <si>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</si>
  <si>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</si>
  <si>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</si>
  <si>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</si>
  <si>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</si>
  <si>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</si>
  <si>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</si>
  <si>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</si>
  <si>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</si>
  <si>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</si>
  <si>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</si>
  <si>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</si>
  <si>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</si>
  <si>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</si>
  <si>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</si>
  <si>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</si>
  <si>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</si>
  <si>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</si>
  <si>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</si>
  <si>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</si>
  <si>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</si>
  <si>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</si>
  <si>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</si>
  <si>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</si>
  <si>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</si>
  <si>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</si>
  <si>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</si>
  <si>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</si>
  <si>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</si>
  <si>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</si>
  <si>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</si>
  <si>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</si>
  <si>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</si>
  <si>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</si>
  <si>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</si>
  <si>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</si>
  <si>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</si>
  <si>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</si>
  <si>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</si>
  <si>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</si>
  <si>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</si>
  <si>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</si>
  <si>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</si>
  <si>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</si>
  <si>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</si>
  <si>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</si>
  <si>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</si>
  <si>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</si>
  <si>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</si>
  <si>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</si>
  <si>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</si>
  <si>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</si>
  <si>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</si>
  <si>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</si>
  <si>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</si>
  <si>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</si>
  <si>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</si>
  <si>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</si>
  <si>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</si>
  <si>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</si>
  <si>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</si>
  <si>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</si>
  <si>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</si>
  <si>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</si>
  <si>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</si>
  <si>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</si>
  <si>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</si>
  <si>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</si>
  <si>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</si>
  <si>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</si>
  <si>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</si>
  <si>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</si>
  <si>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</si>
  <si>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</si>
  <si>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</si>
  <si>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</si>
  <si>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</si>
  <si>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</si>
  <si>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</si>
  <si>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</si>
  <si>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</si>
  <si>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</si>
  <si>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</si>
  <si>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</si>
  <si>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</si>
  <si>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</si>
  <si>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</si>
  <si>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</si>
  <si>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</si>
  <si>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</si>
  <si>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</si>
  <si>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</si>
  <si>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</si>
  <si>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</si>
  <si>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</si>
  <si>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</si>
  <si>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</si>
  <si>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</si>
  <si>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</si>
  <si>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</si>
  <si>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</si>
  <si>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</si>
  <si>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</si>
  <si>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</si>
  <si>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</si>
  <si>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</si>
  <si>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</si>
  <si>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</si>
  <si>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</si>
  <si>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</si>
  <si>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</si>
  <si>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</si>
  <si>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</si>
  <si>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</si>
  <si>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</si>
  <si>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</si>
  <si>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</si>
  <si>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</si>
  <si>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</si>
  <si>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</si>
  <si>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</si>
  <si>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</si>
  <si>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</si>
  <si>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</si>
  <si>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</si>
  <si>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</si>
  <si>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</si>
  <si>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</si>
  <si>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</si>
  <si>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</si>
  <si>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</si>
  <si>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</si>
  <si>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</si>
  <si>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</si>
  <si>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</si>
  <si>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</si>
  <si>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</si>
  <si>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</si>
  <si>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</si>
  <si>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</si>
  <si>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</si>
  <si>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</si>
  <si>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</si>
  <si>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</si>
  <si>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</si>
  <si>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</si>
  <si>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</si>
  <si>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</si>
  <si>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</si>
  <si>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</si>
  <si>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</si>
  <si>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</si>
  <si>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</si>
  <si>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</si>
  <si>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</si>
  <si>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</si>
  <si>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</si>
  <si>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</si>
  <si>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</si>
  <si>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</si>
  <si>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</si>
  <si>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xxx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</si>
  <si>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</si>
  <si>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</si>
  <si>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</si>
  <si>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</si>
  <si>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</si>
  <si>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</si>
  <si>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</si>
  <si>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</si>
  <si>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</si>
  <si>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</si>
  <si>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</si>
  <si>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</si>
  <si>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</si>
  <si>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</si>
  <si>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</si>
  <si>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</si>
  <si>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</si>
  <si>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</si>
  <si>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</si>
  <si>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</si>
  <si>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</si>
  <si>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 xml:space="preserve">Lahai vandy sheriff 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</si>
  <si>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</si>
  <si>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</si>
  <si>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</si>
  <si>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</si>
  <si>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</si>
  <si>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</si>
  <si>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</si>
  <si>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</si>
  <si>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</si>
  <si>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</si>
  <si>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</si>
  <si>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</si>
  <si>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</si>
  <si>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</si>
  <si>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</si>
  <si>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</si>
  <si>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</si>
  <si>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</si>
  <si>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</si>
  <si>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</si>
  <si>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</si>
  <si>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</si>
  <si>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</si>
  <si>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</si>
  <si>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</si>
  <si>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</si>
  <si>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</si>
  <si>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</si>
  <si>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</si>
  <si>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</si>
  <si>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</si>
  <si>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</si>
  <si>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</si>
  <si>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</si>
  <si>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</si>
  <si>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</si>
  <si>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</si>
  <si>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</si>
  <si>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</si>
  <si>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</si>
  <si>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</si>
  <si>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</si>
  <si>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Ernest Kamara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</si>
  <si>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</si>
  <si>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</si>
  <si>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</si>
  <si>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</si>
  <si>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</si>
  <si>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</si>
  <si>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</si>
  <si>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</si>
  <si>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</si>
  <si>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</si>
  <si>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</si>
  <si>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</si>
  <si>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</si>
  <si>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</si>
  <si>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</si>
  <si>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</si>
  <si>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</si>
  <si>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</si>
  <si>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</si>
  <si>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</si>
  <si>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</si>
  <si>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</si>
  <si>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</si>
  <si>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</si>
  <si>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</si>
  <si>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</si>
  <si>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</si>
  <si>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</si>
  <si>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</si>
  <si>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</si>
  <si>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</si>
  <si>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</si>
  <si>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</si>
  <si>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</si>
  <si>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</si>
  <si>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</si>
  <si>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</si>
  <si>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</si>
  <si>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</si>
  <si>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</si>
  <si>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</si>
  <si>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</si>
  <si>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</si>
  <si>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</si>
  <si>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</si>
  <si>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</si>
  <si>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Angela kargbo</t>
  </si>
  <si>
    <t>Sulaiman tarawalie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</si>
  <si>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</si>
  <si>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</si>
  <si>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</si>
  <si>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</si>
  <si>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</si>
  <si>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</si>
  <si>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</si>
  <si>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</si>
  <si>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</si>
  <si>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</si>
  <si>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</si>
  <si>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</si>
  <si>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</si>
  <si>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</si>
  <si>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</si>
  <si>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</si>
  <si>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</si>
  <si>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</si>
  <si>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</si>
  <si>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</si>
  <si>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</si>
  <si>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</si>
  <si>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</si>
  <si>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</si>
  <si>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</si>
  <si>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</si>
  <si>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</si>
  <si>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</si>
  <si>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</si>
  <si>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</si>
  <si>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</si>
  <si>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</si>
  <si>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</si>
  <si>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</si>
  <si>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</si>
  <si>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</si>
  <si>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</si>
  <si>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</si>
  <si>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</si>
  <si>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</si>
  <si>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</si>
  <si>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</si>
  <si>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</si>
  <si>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</si>
  <si>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</si>
  <si>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</si>
  <si>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</si>
  <si>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</si>
  <si>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</si>
  <si>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</si>
  <si>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</si>
  <si>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</si>
  <si>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</si>
  <si>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</si>
  <si>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</si>
  <si>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</si>
  <si>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</si>
  <si>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</si>
  <si>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</si>
  <si>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</si>
  <si>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</si>
  <si>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</si>
  <si>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</si>
  <si>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</si>
  <si>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</si>
  <si>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</si>
  <si>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</si>
  <si>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</si>
  <si>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</si>
  <si>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</si>
  <si>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</si>
  <si>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</si>
  <si>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</si>
  <si>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</si>
  <si>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</si>
  <si>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</si>
  <si>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</si>
  <si>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</si>
  <si>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</si>
  <si>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</si>
  <si>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</si>
  <si>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</si>
  <si>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</si>
  <si>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</si>
  <si>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</si>
  <si>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</si>
  <si>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</si>
  <si>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 xml:space="preserve">Sento Bangura </t>
  </si>
  <si>
    <t xml:space="preserve">Hawa Bangura 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</si>
  <si>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</si>
  <si>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</si>
  <si>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</si>
  <si>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</si>
  <si>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</si>
  <si>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</si>
  <si>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</si>
  <si>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</si>
  <si>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</si>
  <si>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xxx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</si>
  <si>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</si>
  <si>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</si>
  <si>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</si>
  <si>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</si>
  <si>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</si>
  <si>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</si>
  <si>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</si>
  <si>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</si>
  <si>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</si>
  <si>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</si>
  <si>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</si>
  <si>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</si>
  <si>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</si>
  <si>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</si>
  <si>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</si>
  <si>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</si>
  <si>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</si>
  <si>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</si>
  <si>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</si>
  <si>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</si>
  <si>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</si>
  <si>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</si>
  <si>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</si>
  <si>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</si>
  <si>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</si>
  <si>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</si>
  <si>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</si>
  <si>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</si>
  <si>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</si>
  <si>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</si>
  <si>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</si>
  <si>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</si>
  <si>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</si>
  <si>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</si>
  <si>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</si>
  <si>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</si>
  <si>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</si>
  <si>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</si>
  <si>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</si>
  <si>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</si>
  <si>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</si>
  <si>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</si>
  <si>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</si>
  <si>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</si>
  <si>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</si>
  <si>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</si>
  <si>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</si>
  <si>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</si>
  <si>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</si>
  <si>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</si>
  <si>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</si>
  <si>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</si>
  <si>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</si>
  <si>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</si>
  <si>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</si>
  <si>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</si>
  <si>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</si>
  <si>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</si>
  <si>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</si>
  <si>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</si>
  <si>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</si>
  <si>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</si>
  <si>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</si>
  <si>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</si>
  <si>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</si>
  <si>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</si>
  <si>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</si>
  <si>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</si>
  <si>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</si>
  <si>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</si>
  <si>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</si>
  <si>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</si>
  <si>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</si>
  <si>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</si>
  <si>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</si>
  <si>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</si>
  <si>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</si>
  <si>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</si>
  <si>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</si>
  <si>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</si>
  <si>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</si>
  <si>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</si>
  <si>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</si>
  <si>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</si>
  <si>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</si>
  <si>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</si>
  <si>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</si>
  <si>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</si>
  <si>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</si>
  <si>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</si>
  <si>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</si>
  <si>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</si>
  <si>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</si>
  <si>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</si>
  <si>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</si>
  <si>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</si>
  <si>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</si>
  <si>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</si>
  <si>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</si>
  <si>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</si>
  <si>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</si>
  <si>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</si>
  <si>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</si>
  <si>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</si>
  <si>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</si>
  <si>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</si>
  <si>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</si>
  <si>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</si>
  <si>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</si>
  <si>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</si>
  <si>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</si>
  <si>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</si>
  <si>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</si>
  <si>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</si>
  <si>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</si>
  <si>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</si>
  <si>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</si>
  <si>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</si>
  <si>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</si>
  <si>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</si>
  <si>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</si>
  <si>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</si>
  <si>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</si>
  <si>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</si>
  <si>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</si>
  <si>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</si>
  <si>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</si>
  <si>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</si>
  <si>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</si>
  <si>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</si>
  <si>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</si>
  <si>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</si>
  <si>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</si>
  <si>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</si>
  <si>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</si>
  <si>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</si>
  <si>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</si>
  <si>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</si>
  <si>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</si>
  <si>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</si>
  <si>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</si>
  <si>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</si>
  <si>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</si>
  <si>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</si>
  <si>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</si>
  <si>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</si>
  <si>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</si>
  <si>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</si>
  <si>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</si>
  <si>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</si>
  <si>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</si>
  <si>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</si>
  <si>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</si>
  <si>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</si>
  <si>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</si>
  <si>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</si>
  <si>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</si>
  <si>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</si>
  <si>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</si>
  <si>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</si>
  <si>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</si>
  <si>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</si>
  <si>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</si>
  <si>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</si>
  <si>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</si>
  <si>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</si>
  <si>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</si>
  <si>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</si>
  <si>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</si>
  <si>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</si>
  <si>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</si>
  <si>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</si>
  <si>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</si>
  <si>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</si>
  <si>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</si>
  <si>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</si>
  <si>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</si>
  <si>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</si>
  <si>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</si>
  <si>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</si>
  <si>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</si>
  <si>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</si>
  <si>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 xml:space="preserve">Josephine N Smith </t>
  </si>
  <si>
    <t xml:space="preserve">Wuyatta Felewah </t>
  </si>
  <si>
    <t xml:space="preserve">Mohamed Bangalie 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</si>
  <si>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</si>
  <si>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</si>
  <si>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</si>
  <si>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</si>
  <si>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</si>
  <si>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</si>
  <si>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</si>
  <si>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</si>
  <si>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</si>
  <si>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</si>
  <si>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</si>
  <si>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</si>
  <si>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</si>
  <si>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</si>
  <si>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</si>
  <si>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</si>
  <si>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</si>
  <si>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</si>
  <si>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</si>
  <si>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</si>
  <si>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</si>
  <si>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</si>
  <si>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</si>
  <si>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</si>
  <si>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</si>
  <si>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</si>
  <si>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</si>
  <si>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</si>
  <si>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</si>
  <si>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</si>
  <si>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</si>
  <si>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</si>
  <si>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</si>
  <si>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</si>
  <si>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</si>
  <si>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</si>
  <si>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</si>
  <si>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</si>
  <si>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</si>
  <si>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</si>
  <si>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</si>
  <si>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</si>
  <si>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</si>
  <si>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</si>
  <si>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</si>
  <si>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</si>
  <si>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</si>
  <si>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</si>
  <si>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</si>
  <si>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</si>
  <si>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</si>
  <si>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</si>
  <si>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</si>
  <si>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 xml:space="preserve">Lillian James 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</si>
  <si>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</si>
  <si>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</si>
  <si>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</si>
  <si>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</si>
  <si>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</si>
  <si>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</si>
  <si>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</si>
  <si>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Aminata Kamara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</si>
  <si>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</si>
  <si>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</si>
  <si>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</si>
  <si>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</si>
  <si>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</si>
  <si>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</si>
  <si>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</si>
  <si>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</si>
  <si>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</si>
  <si>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</si>
  <si>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</si>
  <si>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</si>
  <si>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</si>
  <si>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</si>
  <si>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</si>
  <si>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</si>
  <si>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</si>
  <si>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</si>
  <si>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</si>
  <si>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</si>
  <si>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</si>
  <si>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</si>
  <si>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</si>
  <si>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</si>
  <si>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</si>
  <si>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</si>
  <si>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</si>
  <si>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</si>
  <si>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</si>
  <si>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</si>
  <si>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</si>
  <si>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</si>
  <si>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</si>
  <si>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</si>
  <si>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</si>
  <si>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</si>
  <si>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</si>
  <si>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</si>
  <si>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</si>
  <si>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</si>
  <si>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</si>
  <si>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</si>
  <si>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</si>
  <si>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</si>
  <si>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</si>
  <si>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</si>
  <si>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</si>
  <si>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</si>
  <si>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</si>
  <si>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</si>
  <si>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</si>
  <si>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</si>
  <si>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</si>
  <si>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</si>
  <si>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</si>
  <si>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</si>
  <si>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</si>
  <si>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</si>
  <si>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</si>
  <si>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</si>
  <si>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</si>
  <si>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</si>
  <si>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Winston Fornah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</si>
  <si>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</si>
  <si>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</si>
  <si>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</si>
  <si>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</si>
  <si>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</si>
  <si>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</si>
  <si>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</si>
  <si>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</si>
  <si>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</si>
  <si>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</si>
  <si>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</si>
  <si>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</si>
  <si>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</si>
  <si>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</si>
  <si>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</si>
  <si>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</si>
  <si>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</si>
  <si>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</si>
  <si>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</si>
  <si>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</si>
  <si>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</si>
  <si>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</si>
  <si>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</si>
  <si>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</si>
  <si>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</si>
  <si>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</si>
  <si>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</si>
  <si>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</si>
  <si>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</si>
  <si>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</si>
  <si>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</si>
  <si>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</si>
  <si>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</si>
  <si>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</si>
  <si>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</si>
  <si>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</si>
  <si>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</si>
  <si>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 xml:space="preserve">Francess Musa Koroma </t>
  </si>
  <si>
    <t xml:space="preserve">Marima jalloh </t>
  </si>
  <si>
    <t xml:space="preserve">Hawa R Koroma 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</si>
  <si>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</si>
  <si>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</si>
  <si>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</si>
  <si>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</si>
  <si>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</si>
  <si>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</si>
  <si>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</si>
  <si>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</si>
  <si>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</si>
  <si>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</si>
  <si>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</si>
  <si>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</si>
  <si>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</si>
  <si>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</si>
  <si>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</si>
  <si>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</si>
  <si>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</si>
  <si>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</si>
  <si>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</si>
  <si>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</si>
  <si>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</si>
  <si>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</si>
  <si>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</si>
  <si>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</si>
  <si>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</si>
  <si>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</si>
  <si>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</si>
  <si>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</si>
  <si>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</si>
  <si>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</si>
  <si>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</si>
  <si>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</si>
  <si>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</si>
  <si>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</si>
  <si>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</si>
  <si>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</si>
  <si>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</si>
  <si>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</si>
  <si>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</si>
  <si>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</si>
  <si>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</si>
  <si>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</si>
  <si>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</si>
  <si>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</si>
  <si>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</si>
  <si>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</si>
  <si>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</si>
  <si>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</si>
  <si>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</si>
  <si>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</si>
  <si>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</si>
  <si>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</si>
  <si>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</si>
  <si>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</si>
  <si>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</si>
  <si>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</si>
  <si>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</si>
  <si>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</si>
  <si>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</si>
  <si>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</si>
  <si>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</si>
  <si>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</si>
  <si>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</si>
  <si>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</si>
  <si>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</si>
  <si>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</si>
  <si>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</si>
  <si>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</si>
  <si>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</si>
  <si>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</si>
  <si>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</si>
  <si>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</si>
  <si>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</si>
  <si>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</si>
  <si>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</si>
  <si>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</si>
  <si>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</si>
  <si>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</si>
  <si>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</si>
  <si>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</si>
  <si>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</si>
  <si>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</si>
  <si>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</si>
  <si>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</si>
  <si>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</si>
  <si>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</si>
  <si>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</si>
  <si>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</si>
  <si>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</si>
  <si>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</si>
  <si>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</si>
  <si>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</si>
  <si>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</si>
  <si>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</si>
  <si>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</si>
  <si>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</si>
  <si>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</si>
  <si>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</si>
  <si>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</si>
  <si>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</si>
  <si>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</si>
  <si>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</si>
  <si>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</si>
  <si>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</si>
  <si>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</si>
  <si>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</si>
  <si>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</si>
  <si>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</si>
  <si>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</si>
  <si>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</si>
  <si>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</si>
  <si>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</si>
  <si>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</si>
  <si>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</si>
  <si>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</si>
  <si>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</si>
  <si>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</si>
  <si>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</si>
  <si>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</si>
  <si>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</si>
  <si>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</si>
  <si>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</si>
  <si>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</si>
  <si>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</si>
  <si>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</si>
  <si>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</si>
  <si>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</si>
  <si>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</si>
  <si>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</si>
  <si>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</si>
  <si>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</si>
  <si>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</si>
  <si>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</si>
  <si>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</si>
  <si>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</si>
  <si>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</si>
  <si>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</si>
  <si>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</si>
  <si>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 xml:space="preserve">Ann Marie Kanu </t>
  </si>
  <si>
    <t xml:space="preserve">Salamatu kamara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</si>
  <si>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</si>
  <si>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</si>
  <si>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</si>
  <si>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</si>
  <si>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</si>
  <si>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</si>
  <si>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</si>
  <si>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</si>
  <si>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</si>
  <si>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</si>
  <si>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</si>
  <si>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</si>
  <si>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</si>
  <si>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</si>
  <si>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</si>
  <si>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</si>
  <si>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</si>
  <si>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</si>
  <si>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</si>
  <si>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</si>
  <si>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</si>
  <si>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</si>
  <si>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</si>
  <si>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</si>
  <si>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</si>
  <si>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</si>
  <si>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</si>
  <si>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</si>
  <si>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</si>
  <si>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01-07-2025 05:41 AM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</si>
  <si>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</si>
  <si>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</si>
  <si>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</si>
  <si>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</si>
  <si>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</si>
  <si>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</si>
  <si>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 xml:space="preserve">Umu Hawa Jalloh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</si>
  <si>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</si>
  <si>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</si>
  <si>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</si>
  <si>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</si>
  <si>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</si>
  <si>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</si>
  <si>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</si>
  <si>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</si>
  <si>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</si>
  <si>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</si>
  <si>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</si>
  <si>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</si>
  <si>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</si>
  <si>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</si>
  <si>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</si>
  <si>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</si>
  <si>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</si>
  <si>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</si>
  <si>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</si>
  <si>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</si>
  <si>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</si>
  <si>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</si>
  <si>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</si>
  <si>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</si>
  <si>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</si>
  <si>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</si>
  <si>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</si>
  <si>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Isatu Bangura 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</si>
  <si>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</si>
  <si>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</si>
  <si>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</si>
  <si>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</si>
  <si>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</si>
  <si>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</si>
  <si>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</si>
  <si>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</si>
  <si>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</si>
  <si>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</si>
  <si>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</si>
  <si>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</si>
  <si>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</si>
  <si>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</si>
  <si>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</si>
  <si>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</si>
  <si>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</si>
  <si>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</si>
  <si>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</si>
  <si>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</si>
  <si>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</si>
  <si>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</si>
  <si>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</si>
  <si>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</si>
  <si>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</si>
  <si>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</si>
  <si>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</si>
  <si>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</si>
  <si>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</si>
  <si>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</si>
  <si>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</si>
  <si>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</si>
  <si>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</si>
  <si>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</si>
  <si>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</si>
  <si>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</si>
  <si>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</si>
  <si>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</si>
  <si>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</si>
  <si>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</si>
  <si>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</si>
  <si>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</si>
  <si>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</si>
  <si>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</si>
  <si>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</si>
  <si>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</si>
  <si>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</si>
  <si>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Aminata mbalu sankoh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</si>
  <si>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</si>
  <si>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</si>
  <si>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</si>
  <si>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</si>
  <si>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</si>
  <si>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</si>
  <si>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</si>
  <si>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</si>
  <si>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</si>
  <si>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</si>
  <si>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</si>
  <si>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</si>
  <si>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</si>
  <si>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</si>
  <si>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</si>
  <si>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</si>
  <si>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</si>
  <si>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</si>
  <si>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</si>
  <si>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</si>
  <si>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</si>
  <si>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</si>
  <si>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</si>
  <si>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</si>
  <si>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</si>
  <si>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</si>
  <si>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</si>
  <si>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</si>
  <si>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</si>
  <si>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</si>
  <si>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</si>
  <si>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</si>
  <si>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</si>
  <si>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</si>
  <si>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</si>
  <si>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</si>
  <si>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</si>
  <si>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</si>
  <si>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</si>
  <si>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</si>
  <si>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</si>
  <si>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</si>
  <si>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</si>
  <si>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</si>
  <si>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</si>
  <si>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</si>
  <si>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</si>
  <si>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</si>
  <si>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</si>
  <si>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</si>
  <si>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</si>
  <si>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</si>
  <si>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</si>
  <si>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</si>
  <si>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</si>
  <si>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</si>
  <si>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</si>
  <si>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</si>
  <si>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</si>
  <si>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</si>
  <si>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</si>
  <si>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</si>
  <si>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</si>
  <si>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</si>
  <si>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</si>
  <si>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</si>
  <si>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</si>
  <si>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</si>
  <si>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</si>
  <si>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</si>
  <si>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</si>
  <si>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</si>
  <si>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</si>
  <si>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</si>
  <si>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</si>
  <si>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</si>
  <si>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</si>
  <si>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</si>
  <si>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</si>
  <si>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</si>
  <si>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</si>
  <si>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</si>
  <si>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</si>
  <si>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</si>
  <si>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</si>
  <si>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</si>
  <si>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</si>
  <si>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</si>
  <si>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</si>
  <si>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</si>
  <si>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</si>
  <si>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</si>
  <si>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</si>
  <si>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</si>
  <si>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</si>
  <si>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</si>
  <si>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</si>
  <si>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</si>
  <si>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</si>
  <si>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</si>
  <si>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</si>
  <si>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</si>
  <si>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</si>
  <si>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</si>
  <si>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</si>
  <si>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</si>
  <si>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</si>
  <si>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</si>
  <si>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</si>
  <si>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</si>
  <si>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</si>
  <si>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</si>
  <si>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</si>
  <si>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</si>
  <si>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</si>
  <si>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</si>
  <si>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</si>
  <si>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</si>
  <si>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</si>
  <si>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</si>
  <si>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>District: Bombali
Chiefdom: Gbanti (Bombali)
PHU name: xxx
Community name: xxx
Name of school: xxx
Enrollment: xxx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</si>
  <si>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</si>
  <si>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</si>
  <si>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</si>
  <si>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</si>
  <si>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</si>
  <si>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</si>
  <si>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</si>
  <si>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</si>
  <si>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</si>
  <si>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</si>
  <si>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</si>
  <si>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</si>
  <si>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</si>
  <si>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</si>
  <si>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</si>
  <si>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</si>
  <si>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</si>
  <si>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</si>
  <si>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</si>
  <si>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</si>
  <si>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</si>
  <si>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</si>
  <si>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</si>
  <si>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</si>
  <si>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</si>
  <si>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</si>
  <si>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</si>
  <si>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</si>
  <si>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</si>
  <si>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</si>
  <si>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</si>
  <si>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</si>
  <si>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</si>
  <si>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</si>
  <si>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</si>
  <si>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</si>
  <si>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</si>
  <si>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</si>
  <si>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</si>
  <si>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</si>
  <si>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</si>
  <si>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</si>
  <si>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</si>
  <si>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</si>
  <si>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</si>
  <si>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</si>
  <si>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</si>
  <si>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</si>
  <si>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</si>
  <si>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</si>
  <si>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</si>
  <si>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</si>
  <si>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</si>
  <si>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</si>
  <si>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</si>
  <si>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</si>
  <si>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</si>
  <si>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</si>
  <si>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</si>
  <si>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</si>
  <si>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</si>
  <si>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</si>
  <si>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</si>
  <si>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</si>
  <si>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</si>
  <si>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</si>
  <si>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</si>
  <si>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</si>
  <si>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</si>
  <si>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</si>
  <si>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</si>
  <si>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</si>
  <si>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</si>
  <si>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</si>
  <si>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</si>
  <si>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</si>
  <si>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</si>
  <si>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</si>
  <si>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</si>
  <si>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</si>
  <si>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</si>
  <si>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</si>
  <si>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</si>
  <si>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</si>
  <si>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</si>
  <si>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</si>
  <si>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</si>
  <si>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</si>
  <si>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</si>
  <si>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</si>
  <si>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</si>
  <si>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</si>
  <si>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</si>
  <si>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</si>
  <si>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</si>
  <si>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</si>
  <si>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</si>
  <si>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</si>
  <si>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</si>
  <si>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</si>
  <si>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</si>
  <si>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</si>
  <si>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</si>
  <si>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</si>
  <si>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</si>
  <si>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</si>
  <si>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</si>
  <si>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</si>
  <si>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</si>
  <si>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</si>
  <si>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</si>
  <si>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</si>
  <si>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</si>
  <si>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</si>
  <si>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</si>
  <si>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</si>
  <si>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</si>
  <si>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</si>
  <si>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</si>
  <si>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</si>
  <si>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</si>
  <si>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</si>
  <si>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</si>
  <si>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</si>
  <si>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</si>
  <si>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</si>
  <si>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</si>
  <si>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</si>
  <si>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</si>
  <si>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</si>
  <si>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</si>
  <si>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</si>
  <si>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</si>
  <si>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</si>
  <si>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</si>
  <si>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</si>
  <si>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</si>
  <si>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</si>
  <si>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</si>
  <si>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</si>
  <si>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</si>
  <si>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</si>
  <si>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</si>
  <si>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</si>
  <si>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</si>
  <si>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</si>
  <si>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</si>
  <si>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</si>
  <si>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</si>
  <si>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</si>
  <si>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</si>
  <si>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</si>
  <si>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</si>
  <si>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</si>
  <si>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</si>
  <si>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</si>
  <si>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</si>
  <si>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</si>
  <si>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</si>
  <si>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</si>
  <si>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</si>
  <si>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</si>
  <si>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</si>
  <si>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</si>
  <si>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</si>
  <si>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</si>
  <si>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</si>
  <si>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</si>
  <si>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</si>
  <si>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</si>
  <si>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</si>
  <si>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</si>
  <si>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</si>
  <si>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</si>
  <si>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</si>
  <si>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</si>
  <si>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</si>
  <si>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</si>
  <si>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</si>
  <si>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</si>
  <si>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</si>
  <si>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</si>
  <si>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</si>
  <si>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</si>
  <si>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</si>
  <si>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</si>
  <si>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</si>
  <si>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</si>
  <si>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</si>
  <si>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</si>
  <si>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</si>
  <si>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</si>
  <si>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</si>
  <si>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 xml:space="preserve">Jane B Bangali 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</si>
  <si>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</si>
  <si>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</si>
  <si>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</si>
  <si>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</si>
  <si>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</si>
  <si>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</si>
  <si>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</si>
  <si>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</si>
  <si>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</si>
  <si>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</si>
  <si>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</si>
  <si>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</si>
  <si>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</si>
  <si>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</si>
  <si>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</si>
  <si>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</si>
  <si>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</si>
  <si>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</si>
  <si>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</si>
  <si>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</si>
  <si>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</si>
  <si>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</si>
  <si>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</si>
  <si>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</si>
  <si>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</si>
  <si>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</si>
  <si>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</si>
  <si>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</si>
  <si>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</si>
  <si>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</si>
  <si>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</si>
  <si>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</si>
  <si>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</si>
  <si>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</si>
  <si>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</si>
  <si>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</si>
  <si>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</si>
  <si>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</si>
  <si>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</si>
  <si>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</si>
  <si>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</si>
  <si>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</si>
  <si>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</si>
  <si>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</si>
  <si>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</si>
  <si>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</si>
  <si>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</si>
  <si>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</si>
  <si>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</si>
  <si>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</si>
  <si>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</si>
  <si>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</si>
  <si>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</si>
  <si>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</si>
  <si>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</si>
  <si>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</si>
  <si>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</si>
  <si>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</si>
  <si>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</si>
  <si>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</si>
  <si>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</si>
  <si>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</si>
  <si>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</si>
  <si>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</si>
  <si>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</si>
  <si>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</si>
  <si>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</si>
  <si>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</si>
  <si>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</si>
  <si>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Catherine s Bah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</si>
  <si>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</si>
  <si>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</si>
  <si>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</si>
  <si>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</si>
  <si>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</si>
  <si>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</si>
  <si>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</si>
  <si>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</si>
  <si>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</si>
  <si>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</si>
  <si>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</si>
  <si>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</si>
  <si>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</si>
  <si>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</si>
  <si>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</si>
  <si>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</si>
  <si>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</si>
  <si>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</si>
  <si>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</si>
  <si>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</si>
  <si>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</si>
  <si>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</si>
  <si>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</si>
  <si>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</si>
  <si>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</si>
  <si>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</si>
  <si>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</si>
  <si>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</si>
  <si>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</si>
  <si>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</si>
  <si>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</si>
  <si>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</si>
  <si>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Taylu Foday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</si>
  <si>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</si>
  <si>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</si>
  <si>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</si>
  <si>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</si>
  <si>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</si>
  <si>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</si>
  <si>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</si>
  <si>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</si>
  <si>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</si>
  <si>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</si>
  <si>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</si>
  <si>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</si>
  <si>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</si>
  <si>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Princess Bindi</t>
  </si>
  <si>
    <t>Janet Sandy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</si>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</sst>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4" max="4" width="18.33"/>
    <col customWidth="1" min="5" max="5" width="22.4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47</v>
      </c>
      <c r="E2" s="1" t="s">
        <v>48</v>
      </c>
      <c r="F2" s="1" t="s">
        <v>49</v>
      </c>
      <c r="G2" s="1">
        <v>100.0</v>
      </c>
      <c r="H2" s="1" t="s">
        <v>50</v>
      </c>
      <c r="I2" s="1">
        <v>25.0</v>
      </c>
      <c r="J2" s="1">
        <v>10.0</v>
      </c>
      <c r="K2" s="1">
        <v>10.0</v>
      </c>
      <c r="L2" s="1">
        <v>15.0</v>
      </c>
      <c r="M2" s="1">
        <v>15.0</v>
      </c>
      <c r="N2" s="1" t="s">
        <v>51</v>
      </c>
      <c r="O2" s="1">
        <v>20.0</v>
      </c>
      <c r="P2" s="1">
        <v>6.0</v>
      </c>
      <c r="Q2" s="1">
        <v>6.0</v>
      </c>
      <c r="R2" s="1">
        <v>14.0</v>
      </c>
      <c r="S2" s="1">
        <v>14.0</v>
      </c>
      <c r="T2" s="1" t="s">
        <v>52</v>
      </c>
      <c r="U2" s="1">
        <v>20.0</v>
      </c>
      <c r="V2" s="1">
        <v>11.0</v>
      </c>
      <c r="W2" s="1">
        <v>11.0</v>
      </c>
      <c r="X2" s="1">
        <v>9.0</v>
      </c>
      <c r="Y2" s="1">
        <v>9.0</v>
      </c>
      <c r="Z2" s="1" t="s">
        <v>53</v>
      </c>
      <c r="AA2" s="1">
        <v>23.0</v>
      </c>
      <c r="AB2" s="1">
        <v>10.0</v>
      </c>
      <c r="AC2" s="1">
        <v>10.0</v>
      </c>
      <c r="AD2" s="1">
        <v>13.0</v>
      </c>
      <c r="AE2" s="1">
        <v>13.0</v>
      </c>
      <c r="AF2" s="1" t="s">
        <v>54</v>
      </c>
      <c r="AG2" s="1">
        <v>12.0</v>
      </c>
      <c r="AH2" s="1">
        <v>5.0</v>
      </c>
      <c r="AI2" s="1">
        <v>5.0</v>
      </c>
      <c r="AJ2" s="1">
        <v>7.0</v>
      </c>
      <c r="AK2" s="1">
        <v>7.0</v>
      </c>
      <c r="AL2" s="1">
        <v>100.0</v>
      </c>
      <c r="AM2" s="1" t="s">
        <v>55</v>
      </c>
      <c r="AN2" s="1" t="s">
        <v>55</v>
      </c>
      <c r="AO2" s="1" t="s">
        <v>55</v>
      </c>
      <c r="AP2" s="1" t="s">
        <v>56</v>
      </c>
      <c r="AQ2" s="3" t="str">
        <f>HYPERLINK("https://icf.clappia.com/app/GMB253374/submission/AIL94761539/ICF247370-GMB253374-2kc2eebnjfdg00000000/SIG-20250704_103318nai9.jpeg", "SIG-20250704_103318nai9.jpeg")</f>
        <v>SIG-20250704_103318nai9.jpeg</v>
      </c>
      <c r="AR2" s="1" t="s">
        <v>57</v>
      </c>
      <c r="AS2" s="3" t="str">
        <f>HYPERLINK("https://icf.clappia.com/app/GMB253374/submission/AIL94761539/ICF247370-GMB253374-1lh44i0d6kd0i0000000/SIG-20250704_114814jpl0.jpeg", "SIG-20250704_114814jpl0.jpeg")</f>
        <v>SIG-20250704_114814jpl0.jpeg</v>
      </c>
      <c r="AT2" s="1" t="s">
        <v>58</v>
      </c>
      <c r="AU2" s="3" t="str">
        <f>HYPERLINK("https://icf.clappia.com/app/GMB253374/submission/AIL94761539/ICF247370-GMB253374-5j06f7b7e10g00000000/SIG-20250704_1148155l61.jpeg", "SIG-20250704_1148155l61.jpeg")</f>
        <v>SIG-20250704_1148155l61.jpeg</v>
      </c>
      <c r="AV2" s="3" t="str">
        <f>HYPERLINK("https://www.google.com/maps/place/8.9174183%2C-12.0311117", "8.9174183,-12.0311117")</f>
        <v>8.9174183,-12.0311117</v>
      </c>
    </row>
    <row r="3">
      <c r="A3" s="1" t="s">
        <v>59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64</v>
      </c>
      <c r="G3" s="1">
        <v>150.0</v>
      </c>
      <c r="H3" s="1" t="s">
        <v>50</v>
      </c>
      <c r="I3" s="1">
        <v>30.0</v>
      </c>
      <c r="J3" s="1">
        <v>15.0</v>
      </c>
      <c r="K3" s="1">
        <v>15.0</v>
      </c>
      <c r="L3" s="1">
        <v>15.0</v>
      </c>
      <c r="M3" s="1">
        <v>15.0</v>
      </c>
      <c r="N3" s="1" t="s">
        <v>51</v>
      </c>
      <c r="O3" s="1">
        <v>26.0</v>
      </c>
      <c r="P3" s="1">
        <v>10.0</v>
      </c>
      <c r="Q3" s="1">
        <v>10.0</v>
      </c>
      <c r="R3" s="1">
        <v>16.0</v>
      </c>
      <c r="S3" s="1">
        <v>16.0</v>
      </c>
      <c r="T3" s="1" t="s">
        <v>52</v>
      </c>
      <c r="U3" s="1">
        <v>23.0</v>
      </c>
      <c r="V3" s="1">
        <v>14.0</v>
      </c>
      <c r="W3" s="1">
        <v>14.0</v>
      </c>
      <c r="X3" s="1">
        <v>9.0</v>
      </c>
      <c r="Y3" s="1">
        <v>9.0</v>
      </c>
      <c r="Z3" s="1" t="s">
        <v>53</v>
      </c>
      <c r="AA3" s="1">
        <v>31.0</v>
      </c>
      <c r="AB3" s="1">
        <v>12.0</v>
      </c>
      <c r="AC3" s="1">
        <v>12.0</v>
      </c>
      <c r="AD3" s="1">
        <v>19.0</v>
      </c>
      <c r="AE3" s="1">
        <v>9.0</v>
      </c>
      <c r="AF3" s="1" t="s">
        <v>54</v>
      </c>
      <c r="AG3" s="1">
        <v>14.0</v>
      </c>
      <c r="AH3" s="1">
        <v>5.0</v>
      </c>
      <c r="AI3" s="1">
        <v>5.0</v>
      </c>
      <c r="AJ3" s="1">
        <v>9.0</v>
      </c>
      <c r="AK3" s="1">
        <v>9.0</v>
      </c>
      <c r="AL3" s="1">
        <v>114.0</v>
      </c>
      <c r="AM3" s="1">
        <v>10.0</v>
      </c>
      <c r="AN3" s="1">
        <v>26.0</v>
      </c>
      <c r="AO3" s="1">
        <v>26.0</v>
      </c>
      <c r="AP3" s="1" t="s">
        <v>65</v>
      </c>
      <c r="AQ3" s="3" t="str">
        <f>HYPERLINK("https://icf.clappia.com/app/GMB253374/submission/JDR59605335/ICF247370-GMB253374-56adg1dh59i600000000/SIG-20250703_165519bijc.jpeg", "SIG-20250703_165519bijc.jpeg")</f>
        <v>SIG-20250703_165519bijc.jpeg</v>
      </c>
      <c r="AR3" s="1" t="s">
        <v>66</v>
      </c>
      <c r="AS3" s="3" t="str">
        <f>HYPERLINK("https://icf.clappia.com/app/GMB253374/submission/JDR59605335/ICF247370-GMB253374-428ndo70ahi200000000/SIG-20250703_165546m68.jpeg", "SIG-20250703_165546m68.jpeg")</f>
        <v>SIG-20250703_165546m68.jpeg</v>
      </c>
      <c r="AT3" s="1" t="s">
        <v>67</v>
      </c>
      <c r="AU3" s="3" t="str">
        <f>HYPERLINK("https://icf.clappia.com/app/GMB253374/submission/JDR59605335/ICF247370-GMB253374-oheem325935a0000000/SIG-20250703_1656l54h3.jpeg", "SIG-20250703_1656l54h3.jpeg")</f>
        <v>SIG-20250703_1656l54h3.jpeg</v>
      </c>
      <c r="AV3" s="3" t="str">
        <f>HYPERLINK("https://www.google.com/maps/place/8.9955248%2C-12.1118866", "8.9955248,-12.1118866")</f>
        <v>8.9955248,-12.1118866</v>
      </c>
    </row>
    <row r="4">
      <c r="A4" s="1" t="s">
        <v>68</v>
      </c>
      <c r="B4" s="1" t="s">
        <v>69</v>
      </c>
      <c r="C4" s="1" t="s">
        <v>61</v>
      </c>
      <c r="D4" s="1" t="s">
        <v>61</v>
      </c>
      <c r="E4" s="1" t="s">
        <v>70</v>
      </c>
      <c r="F4" s="1" t="s">
        <v>64</v>
      </c>
      <c r="G4" s="1">
        <v>60.0</v>
      </c>
      <c r="H4" s="1" t="s">
        <v>50</v>
      </c>
      <c r="I4" s="1">
        <v>60.0</v>
      </c>
      <c r="J4" s="1">
        <v>30.0</v>
      </c>
      <c r="K4" s="1">
        <v>30.0</v>
      </c>
      <c r="L4" s="1">
        <v>30.0</v>
      </c>
      <c r="M4" s="1">
        <v>30.0</v>
      </c>
      <c r="N4" s="1" t="s">
        <v>51</v>
      </c>
      <c r="O4" s="1">
        <v>62.0</v>
      </c>
      <c r="P4" s="1">
        <v>32.0</v>
      </c>
      <c r="Q4" s="1">
        <v>32.0</v>
      </c>
      <c r="R4" s="1">
        <v>30.0</v>
      </c>
      <c r="S4" s="1">
        <v>30.0</v>
      </c>
      <c r="T4" s="1" t="s">
        <v>52</v>
      </c>
      <c r="U4" s="1">
        <v>62.0</v>
      </c>
      <c r="V4" s="1">
        <v>30.0</v>
      </c>
      <c r="W4" s="1">
        <v>30.0</v>
      </c>
      <c r="X4" s="1">
        <v>32.0</v>
      </c>
      <c r="Y4" s="1">
        <v>32.0</v>
      </c>
      <c r="Z4" s="1" t="s">
        <v>53</v>
      </c>
      <c r="AA4" s="1">
        <v>60.0</v>
      </c>
      <c r="AB4" s="1">
        <v>30.0</v>
      </c>
      <c r="AC4" s="1">
        <v>30.0</v>
      </c>
      <c r="AD4" s="1">
        <v>30.0</v>
      </c>
      <c r="AE4" s="1">
        <v>30.0</v>
      </c>
      <c r="AF4" s="1" t="s">
        <v>54</v>
      </c>
      <c r="AG4" s="1">
        <v>34.0</v>
      </c>
      <c r="AH4" s="1">
        <v>17.0</v>
      </c>
      <c r="AI4" s="1">
        <v>17.0</v>
      </c>
      <c r="AJ4" s="1">
        <v>17.0</v>
      </c>
      <c r="AK4" s="1">
        <v>17.0</v>
      </c>
      <c r="AL4" s="1">
        <v>278.0</v>
      </c>
      <c r="AM4" s="1" t="s">
        <v>55</v>
      </c>
      <c r="AN4" s="1">
        <v>-218.0</v>
      </c>
      <c r="AO4" s="1">
        <v>-218.0</v>
      </c>
      <c r="AP4" s="1" t="s">
        <v>71</v>
      </c>
      <c r="AQ4" s="3" t="str">
        <f>HYPERLINK("https://icf.clappia.com/app/GMB253374/submission/TKH81609744/ICF247370-GMB253374-5ppn3h4omakm00000000/SIG-20250704_1139lhcia.jpeg", "SIG-20250704_1139lhcia.jpeg")</f>
        <v>SIG-20250704_1139lhcia.jpeg</v>
      </c>
      <c r="AR4" s="1" t="s">
        <v>72</v>
      </c>
      <c r="AS4" s="3" t="str">
        <f>HYPERLINK("https://icf.clappia.com/app/GMB253374/submission/TKH81609744/ICF247370-GMB253374-1bi85alf58jjm0000000/SIG-20250704_1141m10k0.jpeg", "SIG-20250704_1141m10k0.jpeg")</f>
        <v>SIG-20250704_1141m10k0.jpeg</v>
      </c>
      <c r="AT4" s="1" t="s">
        <v>73</v>
      </c>
      <c r="AU4" s="3" t="str">
        <f>HYPERLINK("https://icf.clappia.com/app/GMB253374/submission/TKH81609744/ICF247370-GMB253374-85kal91ficpa0000000/SIG-20250704_11401ac7i5.jpeg", "SIG-20250704_11401ac7i5.jpeg")</f>
        <v>SIG-20250704_11401ac7i5.jpeg</v>
      </c>
      <c r="AV4" s="3" t="str">
        <f>HYPERLINK("https://www.google.com/maps/place/8.9380083%2C-12.12789", "8.9380083,-12.12789")</f>
        <v>8.9380083,-12.12789</v>
      </c>
    </row>
    <row r="5">
      <c r="A5" s="1" t="s">
        <v>74</v>
      </c>
      <c r="B5" s="1" t="s">
        <v>75</v>
      </c>
      <c r="C5" s="1" t="s">
        <v>61</v>
      </c>
      <c r="D5" s="1" t="s">
        <v>61</v>
      </c>
      <c r="E5" s="1" t="s">
        <v>76</v>
      </c>
      <c r="F5" s="1" t="s">
        <v>64</v>
      </c>
      <c r="G5" s="1">
        <v>200.0</v>
      </c>
      <c r="H5" s="1" t="s">
        <v>50</v>
      </c>
      <c r="I5" s="1">
        <v>60.0</v>
      </c>
      <c r="J5" s="1">
        <v>30.0</v>
      </c>
      <c r="K5" s="1">
        <v>28.0</v>
      </c>
      <c r="L5" s="1">
        <v>30.0</v>
      </c>
      <c r="M5" s="1">
        <v>30.0</v>
      </c>
      <c r="N5" s="1" t="s">
        <v>51</v>
      </c>
      <c r="O5" s="1">
        <v>46.0</v>
      </c>
      <c r="P5" s="1">
        <v>26.0</v>
      </c>
      <c r="Q5" s="1">
        <v>24.0</v>
      </c>
      <c r="R5" s="1">
        <v>20.0</v>
      </c>
      <c r="S5" s="1">
        <v>19.0</v>
      </c>
      <c r="T5" s="1" t="s">
        <v>52</v>
      </c>
      <c r="U5" s="1">
        <v>30.0</v>
      </c>
      <c r="V5" s="1">
        <v>18.0</v>
      </c>
      <c r="W5" s="1">
        <v>18.0</v>
      </c>
      <c r="X5" s="1">
        <v>12.0</v>
      </c>
      <c r="Y5" s="1">
        <v>12.0</v>
      </c>
      <c r="Z5" s="1" t="s">
        <v>53</v>
      </c>
      <c r="AA5" s="1">
        <v>25.0</v>
      </c>
      <c r="AB5" s="1">
        <v>13.0</v>
      </c>
      <c r="AC5" s="1">
        <v>13.0</v>
      </c>
      <c r="AD5" s="1">
        <v>12.0</v>
      </c>
      <c r="AE5" s="1">
        <v>11.0</v>
      </c>
      <c r="AF5" s="1" t="s">
        <v>54</v>
      </c>
      <c r="AG5" s="1">
        <v>22.0</v>
      </c>
      <c r="AH5" s="1">
        <v>12.0</v>
      </c>
      <c r="AI5" s="1">
        <v>12.0</v>
      </c>
      <c r="AJ5" s="1">
        <v>10.0</v>
      </c>
      <c r="AK5" s="1">
        <v>10.0</v>
      </c>
      <c r="AL5" s="1">
        <v>177.0</v>
      </c>
      <c r="AM5" s="1">
        <v>6.0</v>
      </c>
      <c r="AN5" s="1">
        <v>17.0</v>
      </c>
      <c r="AO5" s="1">
        <v>17.0</v>
      </c>
      <c r="AP5" s="1" t="s">
        <v>77</v>
      </c>
      <c r="AQ5" s="3" t="str">
        <f>HYPERLINK("https://icf.clappia.com/app/GMB253374/submission/KYY83221416/ICF247370-GMB253374-298j6791pp6j20000000/SIG-20250703_110617ihd1.jpeg", "SIG-20250703_110617ihd1.jpeg")</f>
        <v>SIG-20250703_110617ihd1.jpeg</v>
      </c>
      <c r="AR5" s="1" t="s">
        <v>78</v>
      </c>
      <c r="AS5" s="3" t="str">
        <f>HYPERLINK("https://icf.clappia.com/app/GMB253374/submission/KYY83221416/ICF247370-GMB253374-3hf15h149h8m00000000/SIG-20250703_110620h38.jpeg", "SIG-20250703_110620h38.jpeg")</f>
        <v>SIG-20250703_110620h38.jpeg</v>
      </c>
      <c r="AT5" s="1" t="s">
        <v>79</v>
      </c>
      <c r="AU5" s="3" t="str">
        <f>HYPERLINK("https://icf.clappia.com/app/GMB253374/submission/KYY83221416/ICF247370-GMB253374-5k5nejdeo00e00000000/SIG-20250703_1107l9l34.jpeg", "SIG-20250703_1107l9l34.jpeg")</f>
        <v>SIG-20250703_1107l9l34.jpeg</v>
      </c>
      <c r="AV5" s="3" t="str">
        <f>HYPERLINK("https://www.google.com/maps/place/9.0303383%2C-12.1578083", "9.0303383,-12.1578083")</f>
        <v>9.0303383,-12.1578083</v>
      </c>
    </row>
    <row r="6">
      <c r="A6" s="1" t="s">
        <v>80</v>
      </c>
      <c r="B6" s="1" t="s">
        <v>81</v>
      </c>
      <c r="C6" s="1" t="s">
        <v>82</v>
      </c>
      <c r="D6" s="1" t="s">
        <v>82</v>
      </c>
      <c r="E6" s="2" t="s">
        <v>83</v>
      </c>
      <c r="F6" s="1" t="s">
        <v>64</v>
      </c>
      <c r="G6" s="1">
        <v>150.0</v>
      </c>
      <c r="H6" s="1" t="s">
        <v>50</v>
      </c>
      <c r="I6" s="1">
        <v>41.0</v>
      </c>
      <c r="J6" s="1">
        <v>20.0</v>
      </c>
      <c r="K6" s="1">
        <v>20.0</v>
      </c>
      <c r="L6" s="1">
        <v>21.0</v>
      </c>
      <c r="M6" s="1">
        <v>21.0</v>
      </c>
      <c r="N6" s="1" t="s">
        <v>51</v>
      </c>
      <c r="O6" s="1">
        <v>25.0</v>
      </c>
      <c r="P6" s="1">
        <v>10.0</v>
      </c>
      <c r="Q6" s="1">
        <v>10.0</v>
      </c>
      <c r="R6" s="1">
        <v>15.0</v>
      </c>
      <c r="S6" s="1">
        <v>15.0</v>
      </c>
      <c r="T6" s="1" t="s">
        <v>52</v>
      </c>
      <c r="U6" s="1">
        <v>27.0</v>
      </c>
      <c r="V6" s="1">
        <v>10.0</v>
      </c>
      <c r="W6" s="1">
        <v>10.0</v>
      </c>
      <c r="X6" s="1">
        <v>17.0</v>
      </c>
      <c r="Y6" s="1">
        <v>17.0</v>
      </c>
      <c r="Z6" s="1" t="s">
        <v>53</v>
      </c>
      <c r="AA6" s="1">
        <v>18.0</v>
      </c>
      <c r="AB6" s="1">
        <v>8.0</v>
      </c>
      <c r="AC6" s="1">
        <v>8.0</v>
      </c>
      <c r="AD6" s="1">
        <v>10.0</v>
      </c>
      <c r="AE6" s="1">
        <v>10.0</v>
      </c>
      <c r="AF6" s="1" t="s">
        <v>54</v>
      </c>
      <c r="AG6" s="1">
        <v>39.0</v>
      </c>
      <c r="AH6" s="1">
        <v>15.0</v>
      </c>
      <c r="AI6" s="1">
        <v>15.0</v>
      </c>
      <c r="AJ6" s="1">
        <v>24.0</v>
      </c>
      <c r="AK6" s="1">
        <v>24.0</v>
      </c>
      <c r="AL6" s="1">
        <v>150.0</v>
      </c>
      <c r="AM6" s="1" t="s">
        <v>55</v>
      </c>
      <c r="AN6" s="1" t="s">
        <v>55</v>
      </c>
      <c r="AO6" s="1" t="s">
        <v>55</v>
      </c>
      <c r="AP6" s="1" t="s">
        <v>84</v>
      </c>
      <c r="AQ6" s="3" t="str">
        <f>HYPERLINK("https://icf.clappia.com/app/GMB253374/submission/RDV85449286/ICF247370-GMB253374-d89omol87jha0000000/SIG-20250704_111417acja.jpeg", "SIG-20250704_111417acja.jpeg")</f>
        <v>SIG-20250704_111417acja.jpeg</v>
      </c>
      <c r="AR6" s="1" t="s">
        <v>85</v>
      </c>
      <c r="AS6" s="3" t="str">
        <f>HYPERLINK("https://icf.clappia.com/app/GMB253374/submission/RDV85449286/ICF247370-GMB253374-1fbce3185p45g0000000/SIG-20250704_111512d6eh.jpeg", "SIG-20250704_111512d6eh.jpeg")</f>
        <v>SIG-20250704_111512d6eh.jpeg</v>
      </c>
      <c r="AT6" s="1" t="s">
        <v>86</v>
      </c>
      <c r="AU6" s="3" t="str">
        <f>HYPERLINK("https://icf.clappia.com/app/GMB253374/submission/RDV85449286/ICF247370-GMB253374-12169knob699i0000000/SIG-20250704_11344f592.jpeg", "SIG-20250704_11344f592.jpeg")</f>
        <v>SIG-20250704_11344f592.jpeg</v>
      </c>
      <c r="AV6" s="3" t="str">
        <f>HYPERLINK("https://www.google.com/maps/place/7.95413%2C-11.7414183", "7.95413,-11.7414183")</f>
        <v>7.95413,-11.7414183</v>
      </c>
    </row>
    <row r="7">
      <c r="A7" s="1" t="s">
        <v>87</v>
      </c>
      <c r="B7" s="1" t="s">
        <v>81</v>
      </c>
      <c r="C7" s="1" t="s">
        <v>88</v>
      </c>
      <c r="D7" s="1" t="s">
        <v>88</v>
      </c>
      <c r="E7" s="1" t="s">
        <v>89</v>
      </c>
      <c r="F7" s="1" t="s">
        <v>64</v>
      </c>
      <c r="G7" s="1">
        <v>359.0</v>
      </c>
      <c r="H7" s="1" t="s">
        <v>50</v>
      </c>
      <c r="I7" s="1">
        <v>57.0</v>
      </c>
      <c r="J7" s="1">
        <v>57.0</v>
      </c>
      <c r="K7" s="1">
        <v>57.0</v>
      </c>
      <c r="L7" s="1" t="s">
        <v>55</v>
      </c>
      <c r="M7" s="1" t="s">
        <v>55</v>
      </c>
      <c r="N7" s="1" t="s">
        <v>51</v>
      </c>
      <c r="O7" s="1">
        <v>60.0</v>
      </c>
      <c r="P7" s="1">
        <v>60.0</v>
      </c>
      <c r="Q7" s="1">
        <v>60.0</v>
      </c>
      <c r="R7" s="1" t="s">
        <v>55</v>
      </c>
      <c r="S7" s="1" t="s">
        <v>55</v>
      </c>
      <c r="T7" s="1" t="s">
        <v>52</v>
      </c>
      <c r="U7" s="1">
        <v>88.0</v>
      </c>
      <c r="V7" s="1">
        <v>88.0</v>
      </c>
      <c r="W7" s="1">
        <v>88.0</v>
      </c>
      <c r="X7" s="1" t="s">
        <v>55</v>
      </c>
      <c r="Y7" s="1" t="s">
        <v>55</v>
      </c>
      <c r="Z7" s="1" t="s">
        <v>53</v>
      </c>
      <c r="AA7" s="1">
        <v>74.0</v>
      </c>
      <c r="AB7" s="1">
        <v>74.0</v>
      </c>
      <c r="AC7" s="1">
        <v>74.0</v>
      </c>
      <c r="AD7" s="1" t="s">
        <v>55</v>
      </c>
      <c r="AE7" s="1" t="s">
        <v>55</v>
      </c>
      <c r="AF7" s="1" t="s">
        <v>54</v>
      </c>
      <c r="AG7" s="1">
        <v>80.0</v>
      </c>
      <c r="AH7" s="1">
        <v>80.0</v>
      </c>
      <c r="AI7" s="1">
        <v>80.0</v>
      </c>
      <c r="AJ7" s="1" t="s">
        <v>55</v>
      </c>
      <c r="AK7" s="1" t="s">
        <v>55</v>
      </c>
      <c r="AL7" s="1">
        <v>359.0</v>
      </c>
      <c r="AM7" s="1" t="s">
        <v>55</v>
      </c>
      <c r="AN7" s="1" t="s">
        <v>55</v>
      </c>
      <c r="AO7" s="1" t="s">
        <v>55</v>
      </c>
      <c r="AP7" s="1" t="s">
        <v>90</v>
      </c>
      <c r="AQ7" s="3" t="str">
        <f>HYPERLINK("https://icf.clappia.com/app/GMB253374/submission/ECG59733554/ICF247370-GMB253374-45d1k413ifja00000000/SIG-20250704_11351afp23.jpeg", "SIG-20250704_11351afp23.jpeg")</f>
        <v>SIG-20250704_11351afp23.jpeg</v>
      </c>
      <c r="AR7" s="1" t="s">
        <v>91</v>
      </c>
      <c r="AS7" s="3" t="str">
        <f>HYPERLINK("https://icf.clappia.com/app/GMB253374/submission/ECG59733554/ICF247370-GMB253374-183hmobog7aj20000000/SIG-20250704_113612g69p.jpeg", "SIG-20250704_113612g69p.jpeg")</f>
        <v>SIG-20250704_113612g69p.jpeg</v>
      </c>
      <c r="AT7" s="1" t="s">
        <v>92</v>
      </c>
      <c r="AU7" s="3" t="str">
        <f>HYPERLINK("https://icf.clappia.com/app/GMB253374/submission/ECG59733554/ICF247370-GMB253374-2b06ojbp5gcee0000000/SIG-20250704_1136d16m6.jpeg", "SIG-20250704_1136d16m6.jpeg")</f>
        <v>SIG-20250704_1136d16m6.jpeg</v>
      </c>
      <c r="AV7" s="3" t="str">
        <f>HYPERLINK("https://www.google.com/maps/place/7.9654263%2C-11.7393928", "7.9654263,-11.7393928")</f>
        <v>7.9654263,-11.7393928</v>
      </c>
    </row>
    <row r="8">
      <c r="A8" s="1" t="s">
        <v>93</v>
      </c>
      <c r="B8" s="1" t="s">
        <v>94</v>
      </c>
      <c r="C8" s="1" t="s">
        <v>95</v>
      </c>
      <c r="D8" s="1" t="s">
        <v>96</v>
      </c>
      <c r="E8" s="1" t="s">
        <v>97</v>
      </c>
      <c r="F8" s="1" t="s">
        <v>64</v>
      </c>
      <c r="G8" s="1">
        <v>269.0</v>
      </c>
      <c r="H8" s="1" t="s">
        <v>50</v>
      </c>
      <c r="I8" s="1">
        <v>67.0</v>
      </c>
      <c r="J8" s="1">
        <v>29.0</v>
      </c>
      <c r="K8" s="1">
        <v>29.0</v>
      </c>
      <c r="L8" s="1">
        <v>38.0</v>
      </c>
      <c r="M8" s="1">
        <v>38.0</v>
      </c>
      <c r="N8" s="1" t="s">
        <v>51</v>
      </c>
      <c r="O8" s="1">
        <v>63.0</v>
      </c>
      <c r="P8" s="1">
        <v>32.0</v>
      </c>
      <c r="Q8" s="1">
        <v>32.0</v>
      </c>
      <c r="R8" s="1">
        <v>31.0</v>
      </c>
      <c r="S8" s="1">
        <v>31.0</v>
      </c>
      <c r="T8" s="1" t="s">
        <v>52</v>
      </c>
      <c r="U8" s="1">
        <v>50.0</v>
      </c>
      <c r="V8" s="1">
        <v>22.0</v>
      </c>
      <c r="W8" s="1">
        <v>22.0</v>
      </c>
      <c r="X8" s="1">
        <v>28.0</v>
      </c>
      <c r="Y8" s="1">
        <v>28.0</v>
      </c>
      <c r="Z8" s="1" t="s">
        <v>53</v>
      </c>
      <c r="AA8" s="1">
        <v>48.0</v>
      </c>
      <c r="AB8" s="1">
        <v>28.0</v>
      </c>
      <c r="AC8" s="1">
        <v>28.0</v>
      </c>
      <c r="AD8" s="1">
        <v>20.0</v>
      </c>
      <c r="AE8" s="1">
        <v>20.0</v>
      </c>
      <c r="AF8" s="1" t="s">
        <v>54</v>
      </c>
      <c r="AG8" s="1">
        <v>41.0</v>
      </c>
      <c r="AH8" s="1">
        <v>18.0</v>
      </c>
      <c r="AI8" s="1">
        <v>18.0</v>
      </c>
      <c r="AJ8" s="1">
        <v>23.0</v>
      </c>
      <c r="AK8" s="1">
        <v>23.0</v>
      </c>
      <c r="AL8" s="1">
        <v>269.0</v>
      </c>
      <c r="AM8" s="1" t="s">
        <v>55</v>
      </c>
      <c r="AN8" s="1" t="s">
        <v>55</v>
      </c>
      <c r="AO8" s="1" t="s">
        <v>55</v>
      </c>
      <c r="AP8" s="1" t="s">
        <v>98</v>
      </c>
      <c r="AQ8" s="3" t="str">
        <f>HYPERLINK("https://icf.clappia.com/app/GMB253374/submission/KYJ24409206/ICF247370-GMB253374-3jgijljdd7ig00000000/SIG-20250704_105119pk7i.jpeg", "SIG-20250704_105119pk7i.jpeg")</f>
        <v>SIG-20250704_105119pk7i.jpeg</v>
      </c>
      <c r="AR8" s="1" t="s">
        <v>99</v>
      </c>
      <c r="AS8" s="3" t="str">
        <f>HYPERLINK("https://icf.clappia.com/app/GMB253374/submission/KYJ24409206/ICF247370-GMB253374-3kj67pjc1gdi00000000/SIG-20250704_105210c14p.jpeg", "SIG-20250704_105210c14p.jpeg")</f>
        <v>SIG-20250704_105210c14p.jpeg</v>
      </c>
      <c r="AT8" s="1" t="s">
        <v>100</v>
      </c>
      <c r="AU8" s="3" t="str">
        <f>HYPERLINK("https://icf.clappia.com/app/GMB253374/submission/KYJ24409206/ICF247370-GMB253374-47ggnlk55h5600000000/SIG-20250704_105211436i.jpeg", "SIG-20250704_105211436i.jpeg")</f>
        <v>SIG-20250704_105211436i.jpeg</v>
      </c>
      <c r="AV8" s="3" t="str">
        <f>HYPERLINK("https://www.google.com/maps/place/7.7305289%2C-11.8163039", "7.7305289,-11.8163039")</f>
        <v>7.7305289,-11.8163039</v>
      </c>
    </row>
    <row r="9">
      <c r="A9" s="1" t="s">
        <v>101</v>
      </c>
      <c r="B9" s="1" t="s">
        <v>102</v>
      </c>
      <c r="C9" s="1" t="s">
        <v>103</v>
      </c>
      <c r="D9" s="1" t="s">
        <v>103</v>
      </c>
      <c r="E9" s="1" t="s">
        <v>104</v>
      </c>
      <c r="F9" s="1" t="s">
        <v>64</v>
      </c>
      <c r="G9" s="1">
        <v>276.0</v>
      </c>
      <c r="H9" s="1" t="s">
        <v>50</v>
      </c>
      <c r="I9" s="1">
        <v>55.0</v>
      </c>
      <c r="J9" s="1">
        <v>20.0</v>
      </c>
      <c r="K9" s="1">
        <v>20.0</v>
      </c>
      <c r="L9" s="1">
        <v>34.0</v>
      </c>
      <c r="M9" s="1">
        <v>34.0</v>
      </c>
      <c r="N9" s="1" t="s">
        <v>51</v>
      </c>
      <c r="O9" s="1">
        <v>67.0</v>
      </c>
      <c r="P9" s="1">
        <v>30.0</v>
      </c>
      <c r="Q9" s="1">
        <v>30.0</v>
      </c>
      <c r="R9" s="1">
        <v>37.0</v>
      </c>
      <c r="S9" s="1">
        <v>37.0</v>
      </c>
      <c r="T9" s="1" t="s">
        <v>52</v>
      </c>
      <c r="U9" s="1">
        <v>53.0</v>
      </c>
      <c r="V9" s="1">
        <v>20.0</v>
      </c>
      <c r="W9" s="1">
        <v>20.0</v>
      </c>
      <c r="X9" s="1">
        <v>33.0</v>
      </c>
      <c r="Y9" s="1">
        <v>33.0</v>
      </c>
      <c r="Z9" s="1" t="s">
        <v>53</v>
      </c>
      <c r="AA9" s="1">
        <v>56.0</v>
      </c>
      <c r="AB9" s="1">
        <v>20.0</v>
      </c>
      <c r="AC9" s="1">
        <v>20.0</v>
      </c>
      <c r="AD9" s="1">
        <v>36.0</v>
      </c>
      <c r="AE9" s="1">
        <v>32.0</v>
      </c>
      <c r="AF9" s="1" t="s">
        <v>54</v>
      </c>
      <c r="AG9" s="1">
        <v>50.0</v>
      </c>
      <c r="AH9" s="1">
        <v>15.0</v>
      </c>
      <c r="AI9" s="1">
        <v>15.0</v>
      </c>
      <c r="AJ9" s="1">
        <v>35.0</v>
      </c>
      <c r="AK9" s="1">
        <v>35.0</v>
      </c>
      <c r="AL9" s="1">
        <v>276.0</v>
      </c>
      <c r="AM9" s="1" t="s">
        <v>55</v>
      </c>
      <c r="AN9" s="1" t="s">
        <v>55</v>
      </c>
      <c r="AO9" s="1" t="s">
        <v>55</v>
      </c>
      <c r="AP9" s="1" t="s">
        <v>105</v>
      </c>
      <c r="AQ9" s="3" t="str">
        <f>HYPERLINK("https://icf.clappia.com/app/GMB253374/submission/RMR97027300/ICF247370-GMB253374-276ppo69864h60000000/SIG-20250704_11308ck6o.jpeg", "SIG-20250704_11308ck6o.jpeg")</f>
        <v>SIG-20250704_11308ck6o.jpeg</v>
      </c>
      <c r="AR9" s="1" t="s">
        <v>106</v>
      </c>
      <c r="AS9" s="3" t="str">
        <f>HYPERLINK("https://icf.clappia.com/app/GMB253374/submission/RMR97027300/ICF247370-GMB253374-27776dph3eb4c0000000/SIG-20250704_1131i1f1d.jpeg", "SIG-20250704_1131i1f1d.jpeg")</f>
        <v>SIG-20250704_1131i1f1d.jpeg</v>
      </c>
      <c r="AT9" s="1" t="s">
        <v>107</v>
      </c>
      <c r="AU9" s="3" t="str">
        <f>HYPERLINK("https://icf.clappia.com/app/GMB253374/submission/RMR97027300/ICF247370-GMB253374-4o0lof7i0akc00000000/SIG-20250704_1131bb105.jpeg", "SIG-20250704_1131bb105.jpeg")</f>
        <v>SIG-20250704_1131bb105.jpeg</v>
      </c>
      <c r="AV9" s="3" t="str">
        <f>HYPERLINK("https://www.google.com/maps/place/9.1569895%2C-11.961181", "9.1569895,-11.961181")</f>
        <v>9.1569895,-11.961181</v>
      </c>
    </row>
    <row r="10">
      <c r="A10" s="1" t="s">
        <v>108</v>
      </c>
      <c r="B10" s="1" t="s">
        <v>81</v>
      </c>
      <c r="C10" s="1" t="s">
        <v>109</v>
      </c>
      <c r="D10" s="1" t="s">
        <v>109</v>
      </c>
      <c r="E10" s="1" t="s">
        <v>110</v>
      </c>
      <c r="F10" s="1" t="s">
        <v>64</v>
      </c>
      <c r="G10" s="1">
        <v>550.0</v>
      </c>
      <c r="H10" s="1" t="s">
        <v>50</v>
      </c>
      <c r="I10" s="1">
        <v>125.0</v>
      </c>
      <c r="J10" s="1">
        <v>60.0</v>
      </c>
      <c r="K10" s="1">
        <v>34.0</v>
      </c>
      <c r="L10" s="1">
        <v>65.0</v>
      </c>
      <c r="M10" s="1">
        <v>28.0</v>
      </c>
      <c r="N10" s="1" t="s">
        <v>51</v>
      </c>
      <c r="O10" s="1">
        <v>90.0</v>
      </c>
      <c r="P10" s="1">
        <v>40.0</v>
      </c>
      <c r="Q10" s="1">
        <v>32.0</v>
      </c>
      <c r="R10" s="1">
        <v>50.0</v>
      </c>
      <c r="S10" s="1">
        <v>39.0</v>
      </c>
      <c r="T10" s="1" t="s">
        <v>52</v>
      </c>
      <c r="U10" s="1">
        <v>105.0</v>
      </c>
      <c r="V10" s="1">
        <v>55.0</v>
      </c>
      <c r="W10" s="1">
        <v>35.0</v>
      </c>
      <c r="X10" s="1">
        <v>50.0</v>
      </c>
      <c r="Y10" s="1">
        <v>31.0</v>
      </c>
      <c r="Z10" s="1" t="s">
        <v>53</v>
      </c>
      <c r="AA10" s="1">
        <v>89.0</v>
      </c>
      <c r="AB10" s="1">
        <v>50.0</v>
      </c>
      <c r="AC10" s="1">
        <v>36.0</v>
      </c>
      <c r="AD10" s="1">
        <v>39.0</v>
      </c>
      <c r="AE10" s="1">
        <v>35.0</v>
      </c>
      <c r="AF10" s="1" t="s">
        <v>54</v>
      </c>
      <c r="AG10" s="1">
        <v>102.0</v>
      </c>
      <c r="AH10" s="1">
        <v>43.0</v>
      </c>
      <c r="AI10" s="1">
        <v>30.0</v>
      </c>
      <c r="AJ10" s="1">
        <v>59.0</v>
      </c>
      <c r="AK10" s="1">
        <v>50.0</v>
      </c>
      <c r="AL10" s="1">
        <v>350.0</v>
      </c>
      <c r="AM10" s="1" t="s">
        <v>55</v>
      </c>
      <c r="AN10" s="1">
        <v>200.0</v>
      </c>
      <c r="AO10" s="1">
        <v>200.0</v>
      </c>
      <c r="AP10" s="1" t="s">
        <v>111</v>
      </c>
      <c r="AQ10" s="3" t="str">
        <f>HYPERLINK("https://icf.clappia.com/app/GMB253374/submission/MKE01466305/ICF247370-GMB253374-3jhibo43pabk00000000/SIG-20250704_11278mg9g.jpeg", "SIG-20250704_11278mg9g.jpeg")</f>
        <v>SIG-20250704_11278mg9g.jpeg</v>
      </c>
      <c r="AR10" s="1" t="s">
        <v>112</v>
      </c>
      <c r="AS10" s="3" t="str">
        <f>HYPERLINK("https://icf.clappia.com/app/GMB253374/submission/MKE01466305/ICF247370-GMB253374-4dmi4gg8p42g00000000/SIG-20250704_1128dpb39.jpeg", "SIG-20250704_1128dpb39.jpeg")</f>
        <v>SIG-20250704_1128dpb39.jpeg</v>
      </c>
      <c r="AT10" s="1" t="s">
        <v>113</v>
      </c>
      <c r="AU10" s="3" t="str">
        <f>HYPERLINK("https://icf.clappia.com/app/GMB253374/submission/MKE01466305/ICF247370-GMB253374-cmhe6jigo46c0000000/SIG-20250704_11293in7o.jpeg", "SIG-20250704_11293in7o.jpeg")</f>
        <v>SIG-20250704_11293in7o.jpeg</v>
      </c>
      <c r="AV10" s="3" t="str">
        <f>HYPERLINK("https://www.google.com/maps/place/7.9584934%2C-11.7361894", "7.9584934,-11.7361894")</f>
        <v>7.9584934,-11.7361894</v>
      </c>
    </row>
    <row r="11">
      <c r="A11" s="1" t="s">
        <v>114</v>
      </c>
      <c r="B11" s="1" t="s">
        <v>81</v>
      </c>
      <c r="C11" s="1" t="s">
        <v>109</v>
      </c>
      <c r="D11" s="1" t="s">
        <v>109</v>
      </c>
      <c r="E11" s="1" t="s">
        <v>110</v>
      </c>
      <c r="F11" s="1" t="s">
        <v>64</v>
      </c>
      <c r="G11" s="1">
        <v>550.0</v>
      </c>
      <c r="H11" s="1" t="s">
        <v>50</v>
      </c>
      <c r="I11" s="1">
        <v>125.0</v>
      </c>
      <c r="J11" s="1">
        <v>60.0</v>
      </c>
      <c r="K11" s="1">
        <v>34.0</v>
      </c>
      <c r="L11" s="1">
        <v>65.0</v>
      </c>
      <c r="M11" s="1">
        <v>28.0</v>
      </c>
      <c r="N11" s="1" t="s">
        <v>51</v>
      </c>
      <c r="O11" s="1">
        <v>90.0</v>
      </c>
      <c r="P11" s="1">
        <v>40.0</v>
      </c>
      <c r="Q11" s="1">
        <v>32.0</v>
      </c>
      <c r="R11" s="1">
        <v>50.0</v>
      </c>
      <c r="S11" s="1">
        <v>39.0</v>
      </c>
      <c r="T11" s="1" t="s">
        <v>52</v>
      </c>
      <c r="U11" s="1">
        <v>105.0</v>
      </c>
      <c r="V11" s="1">
        <v>55.0</v>
      </c>
      <c r="W11" s="1">
        <v>35.0</v>
      </c>
      <c r="X11" s="1">
        <v>50.0</v>
      </c>
      <c r="Y11" s="1">
        <v>31.0</v>
      </c>
      <c r="Z11" s="1" t="s">
        <v>53</v>
      </c>
      <c r="AA11" s="1">
        <v>89.0</v>
      </c>
      <c r="AB11" s="1">
        <v>50.0</v>
      </c>
      <c r="AC11" s="1">
        <v>36.0</v>
      </c>
      <c r="AD11" s="1">
        <v>39.0</v>
      </c>
      <c r="AE11" s="1">
        <v>35.0</v>
      </c>
      <c r="AF11" s="1" t="s">
        <v>54</v>
      </c>
      <c r="AG11" s="1">
        <v>102.0</v>
      </c>
      <c r="AH11" s="1">
        <v>43.0</v>
      </c>
      <c r="AI11" s="1">
        <v>30.0</v>
      </c>
      <c r="AJ11" s="1">
        <v>59.0</v>
      </c>
      <c r="AK11" s="1">
        <v>50.0</v>
      </c>
      <c r="AL11" s="1">
        <v>350.0</v>
      </c>
      <c r="AM11" s="1" t="s">
        <v>55</v>
      </c>
      <c r="AN11" s="1">
        <v>200.0</v>
      </c>
      <c r="AO11" s="1" t="s">
        <v>55</v>
      </c>
      <c r="AP11" s="1" t="s">
        <v>115</v>
      </c>
      <c r="AQ11" s="3" t="str">
        <f>HYPERLINK("https://icf.clappia.com/app/GMB253374/submission/AMC51105560/ICF247370-GMB253374-394bg6p8p1eg00000000/SIG-20250704_1127dfpd.jpeg", "SIG-20250704_1127dfpd.jpeg")</f>
        <v>SIG-20250704_1127dfpd.jpeg</v>
      </c>
      <c r="AR11" s="1" t="s">
        <v>112</v>
      </c>
      <c r="AS11" s="3" t="str">
        <f>HYPERLINK("https://icf.clappia.com/app/GMB253374/submission/AMC51105560/ICF247370-GMB253374-35jn6cmcfc1m00000000/SIG-20250704_1125cljd6.jpeg", "SIG-20250704_1125cljd6.jpeg")</f>
        <v>SIG-20250704_1125cljd6.jpeg</v>
      </c>
      <c r="AT11" s="1" t="s">
        <v>113</v>
      </c>
      <c r="AU11" s="3" t="str">
        <f>HYPERLINK("https://icf.clappia.com/app/GMB253374/submission/AMC51105560/ICF247370-GMB253374-3j5h207kgfge00000000/SIG-20250704_112817eig4.jpeg", "SIG-20250704_112817eig4.jpeg")</f>
        <v>SIG-20250704_112817eig4.jpeg</v>
      </c>
      <c r="AV11" s="3" t="str">
        <f>HYPERLINK("https://www.google.com/maps/place/7.9607833%2C-11.7340467", "7.9607833,-11.7340467")</f>
        <v>7.9607833,-11.7340467</v>
      </c>
    </row>
    <row r="12">
      <c r="A12" s="1" t="s">
        <v>116</v>
      </c>
      <c r="B12" s="1" t="s">
        <v>81</v>
      </c>
      <c r="C12" s="1" t="s">
        <v>117</v>
      </c>
      <c r="D12" s="1" t="s">
        <v>117</v>
      </c>
      <c r="E12" s="1" t="s">
        <v>118</v>
      </c>
      <c r="F12" s="1" t="s">
        <v>64</v>
      </c>
      <c r="G12" s="1">
        <v>252.0</v>
      </c>
      <c r="H12" s="1" t="s">
        <v>50</v>
      </c>
      <c r="I12" s="1">
        <v>37.0</v>
      </c>
      <c r="J12" s="1">
        <v>16.0</v>
      </c>
      <c r="K12" s="1">
        <v>10.0</v>
      </c>
      <c r="L12" s="1">
        <v>21.0</v>
      </c>
      <c r="M12" s="1">
        <v>20.0</v>
      </c>
      <c r="N12" s="1" t="s">
        <v>51</v>
      </c>
      <c r="O12" s="1">
        <v>41.0</v>
      </c>
      <c r="P12" s="1">
        <v>18.0</v>
      </c>
      <c r="Q12" s="1">
        <v>10.0</v>
      </c>
      <c r="R12" s="1">
        <v>23.0</v>
      </c>
      <c r="S12" s="1">
        <v>10.0</v>
      </c>
      <c r="T12" s="1" t="s">
        <v>52</v>
      </c>
      <c r="U12" s="1">
        <v>60.0</v>
      </c>
      <c r="V12" s="1">
        <v>21.0</v>
      </c>
      <c r="W12" s="1">
        <v>12.0</v>
      </c>
      <c r="X12" s="1">
        <v>39.0</v>
      </c>
      <c r="Y12" s="1">
        <v>10.0</v>
      </c>
      <c r="Z12" s="1" t="s">
        <v>53</v>
      </c>
      <c r="AA12" s="1">
        <v>49.0</v>
      </c>
      <c r="AB12" s="1">
        <v>11.0</v>
      </c>
      <c r="AC12" s="1">
        <v>8.0</v>
      </c>
      <c r="AD12" s="1">
        <v>38.0</v>
      </c>
      <c r="AE12" s="1">
        <v>15.0</v>
      </c>
      <c r="AF12" s="1" t="s">
        <v>54</v>
      </c>
      <c r="AG12" s="1">
        <v>55.0</v>
      </c>
      <c r="AH12" s="1">
        <v>16.0</v>
      </c>
      <c r="AI12" s="1">
        <v>10.0</v>
      </c>
      <c r="AJ12" s="1">
        <v>39.0</v>
      </c>
      <c r="AK12" s="1">
        <v>15.0</v>
      </c>
      <c r="AL12" s="1">
        <v>120.0</v>
      </c>
      <c r="AM12" s="1" t="s">
        <v>55</v>
      </c>
      <c r="AN12" s="1">
        <v>132.0</v>
      </c>
      <c r="AO12" s="1">
        <v>132.0</v>
      </c>
      <c r="AP12" s="1" t="s">
        <v>119</v>
      </c>
      <c r="AQ12" s="3" t="str">
        <f>HYPERLINK("https://icf.clappia.com/app/GMB253374/submission/XOQ15459052/ICF247370-GMB253374-461136b26bii00000000/SIG-20250704_112680hlf.jpeg", "SIG-20250704_112680hlf.jpeg")</f>
        <v>SIG-20250704_112680hlf.jpeg</v>
      </c>
      <c r="AR12" s="1" t="s">
        <v>120</v>
      </c>
      <c r="AS12" s="3" t="str">
        <f>HYPERLINK("https://icf.clappia.com/app/GMB253374/submission/XOQ15459052/ICF247370-GMB253374-2ibnjdj29n7800000000/SIG-20250704_112797c24.jpeg", "SIG-20250704_112797c24.jpeg")</f>
        <v>SIG-20250704_112797c24.jpeg</v>
      </c>
      <c r="AT12" s="1" t="s">
        <v>121</v>
      </c>
      <c r="AU12" s="3" t="str">
        <f>HYPERLINK("https://icf.clappia.com/app/GMB253374/submission/XOQ15459052/ICF247370-GMB253374-4o8gg0m9m92m00000000/SIG-20250704_112853n3h.jpeg", "SIG-20250704_112853n3h.jpeg")</f>
        <v>SIG-20250704_112853n3h.jpeg</v>
      </c>
      <c r="AV12" s="3" t="str">
        <f>HYPERLINK("https://www.google.com/maps/place/7.9710033%2C-11.7326983", "7.9710033,-11.7326983")</f>
        <v>7.9710033,-11.7326983</v>
      </c>
    </row>
    <row r="13">
      <c r="A13" s="1" t="s">
        <v>122</v>
      </c>
      <c r="B13" s="1" t="s">
        <v>81</v>
      </c>
      <c r="C13" s="1" t="s">
        <v>123</v>
      </c>
      <c r="D13" s="1" t="s">
        <v>123</v>
      </c>
      <c r="E13" s="1" t="s">
        <v>124</v>
      </c>
      <c r="F13" s="1" t="s">
        <v>49</v>
      </c>
      <c r="G13" s="1">
        <v>208.0</v>
      </c>
      <c r="H13" s="1" t="s">
        <v>50</v>
      </c>
      <c r="I13" s="1">
        <v>61.0</v>
      </c>
      <c r="J13" s="1">
        <v>36.0</v>
      </c>
      <c r="K13" s="1">
        <v>34.0</v>
      </c>
      <c r="L13" s="1">
        <v>25.0</v>
      </c>
      <c r="M13" s="1">
        <v>24.0</v>
      </c>
      <c r="N13" s="1" t="s">
        <v>51</v>
      </c>
      <c r="O13" s="1">
        <v>52.0</v>
      </c>
      <c r="P13" s="1">
        <v>18.0</v>
      </c>
      <c r="Q13" s="1">
        <v>13.0</v>
      </c>
      <c r="R13" s="1">
        <v>34.0</v>
      </c>
      <c r="S13" s="1">
        <v>32.0</v>
      </c>
      <c r="T13" s="1" t="s">
        <v>52</v>
      </c>
      <c r="U13" s="1">
        <v>33.0</v>
      </c>
      <c r="V13" s="1">
        <v>15.0</v>
      </c>
      <c r="W13" s="1">
        <v>15.0</v>
      </c>
      <c r="X13" s="1">
        <v>18.0</v>
      </c>
      <c r="Y13" s="1">
        <v>18.0</v>
      </c>
      <c r="Z13" s="1" t="s">
        <v>53</v>
      </c>
      <c r="AA13" s="1">
        <v>22.0</v>
      </c>
      <c r="AB13" s="1">
        <v>4.0</v>
      </c>
      <c r="AC13" s="1">
        <v>4.0</v>
      </c>
      <c r="AD13" s="1">
        <v>18.0</v>
      </c>
      <c r="AE13" s="1">
        <v>17.0</v>
      </c>
      <c r="AF13" s="1" t="s">
        <v>54</v>
      </c>
      <c r="AG13" s="1">
        <v>40.0</v>
      </c>
      <c r="AH13" s="1">
        <v>15.0</v>
      </c>
      <c r="AI13" s="1">
        <v>14.0</v>
      </c>
      <c r="AJ13" s="1">
        <v>25.0</v>
      </c>
      <c r="AK13" s="1">
        <v>24.0</v>
      </c>
      <c r="AL13" s="1">
        <v>195.0</v>
      </c>
      <c r="AM13" s="1" t="s">
        <v>55</v>
      </c>
      <c r="AN13" s="1">
        <v>13.0</v>
      </c>
      <c r="AO13" s="1">
        <v>13.0</v>
      </c>
      <c r="AP13" s="1" t="s">
        <v>125</v>
      </c>
      <c r="AQ13" s="3" t="str">
        <f>HYPERLINK("https://icf.clappia.com/app/GMB253374/submission/ZAT89140118/ICF247370-GMB253374-1bb4bjmhjbico0000000/SIG-20250704_11241571m5.jpeg", "SIG-20250704_11241571m5.jpeg")</f>
        <v>SIG-20250704_11241571m5.jpeg</v>
      </c>
      <c r="AR13" s="1" t="s">
        <v>126</v>
      </c>
      <c r="AS13" s="3" t="str">
        <f>HYPERLINK("https://icf.clappia.com/app/GMB253374/submission/ZAT89140118/ICF247370-GMB253374-31de2g9cae1a00000000/SIG-20250704_11261lh0.jpeg", "SIG-20250704_11261lh0.jpeg")</f>
        <v>SIG-20250704_11261lh0.jpeg</v>
      </c>
      <c r="AT13" s="1" t="s">
        <v>127</v>
      </c>
      <c r="AU13" s="3" t="str">
        <f>HYPERLINK("https://icf.clappia.com/app/GMB253374/submission/ZAT89140118/ICF247370-GMB253374-4ce17f8693h400000000/SIG-20250704_1125j728a.jpeg", "SIG-20250704_1125j728a.jpeg")</f>
        <v>SIG-20250704_1125j728a.jpeg</v>
      </c>
      <c r="AV13" s="3" t="str">
        <f>HYPERLINK("https://www.google.com/maps/place/7.969505%2C-11.7307867", "7.969505,-11.7307867")</f>
        <v>7.969505,-11.7307867</v>
      </c>
    </row>
    <row r="14">
      <c r="A14" s="1" t="s">
        <v>128</v>
      </c>
      <c r="B14" s="1" t="s">
        <v>129</v>
      </c>
      <c r="C14" s="1" t="s">
        <v>130</v>
      </c>
      <c r="D14" s="1" t="s">
        <v>130</v>
      </c>
      <c r="E14" s="1" t="s">
        <v>131</v>
      </c>
      <c r="F14" s="1" t="s">
        <v>64</v>
      </c>
      <c r="G14" s="1">
        <v>55.0</v>
      </c>
      <c r="H14" s="1" t="s">
        <v>50</v>
      </c>
      <c r="I14" s="1">
        <v>15.0</v>
      </c>
      <c r="J14" s="1">
        <v>8.0</v>
      </c>
      <c r="K14" s="1">
        <v>8.0</v>
      </c>
      <c r="L14" s="1">
        <v>4.0</v>
      </c>
      <c r="M14" s="1">
        <v>4.0</v>
      </c>
      <c r="N14" s="1" t="s">
        <v>51</v>
      </c>
      <c r="O14" s="1">
        <v>9.0</v>
      </c>
      <c r="P14" s="1">
        <v>3.0</v>
      </c>
      <c r="Q14" s="1">
        <v>3.0</v>
      </c>
      <c r="R14" s="1">
        <v>2.0</v>
      </c>
      <c r="S14" s="1">
        <v>2.0</v>
      </c>
      <c r="T14" s="1" t="s">
        <v>52</v>
      </c>
      <c r="U14" s="1">
        <v>15.0</v>
      </c>
      <c r="V14" s="1">
        <v>8.0</v>
      </c>
      <c r="W14" s="1">
        <v>8.0</v>
      </c>
      <c r="X14" s="1">
        <v>7.0</v>
      </c>
      <c r="Y14" s="1">
        <v>7.0</v>
      </c>
      <c r="Z14" s="1" t="s">
        <v>53</v>
      </c>
      <c r="AA14" s="1" t="s">
        <v>55</v>
      </c>
      <c r="AB14" s="1" t="s">
        <v>55</v>
      </c>
      <c r="AC14" s="1" t="s">
        <v>55</v>
      </c>
      <c r="AD14" s="1" t="s">
        <v>55</v>
      </c>
      <c r="AE14" s="1" t="s">
        <v>55</v>
      </c>
      <c r="AF14" s="1" t="s">
        <v>54</v>
      </c>
      <c r="AG14" s="1" t="s">
        <v>55</v>
      </c>
      <c r="AH14" s="1" t="s">
        <v>55</v>
      </c>
      <c r="AI14" s="1" t="s">
        <v>55</v>
      </c>
      <c r="AJ14" s="1" t="s">
        <v>55</v>
      </c>
      <c r="AK14" s="1" t="s">
        <v>55</v>
      </c>
      <c r="AL14" s="1">
        <v>32.0</v>
      </c>
      <c r="AM14" s="1">
        <v>7.0</v>
      </c>
      <c r="AN14" s="1">
        <v>16.0</v>
      </c>
      <c r="AO14" s="1">
        <v>16.0</v>
      </c>
      <c r="AP14" s="1" t="s">
        <v>132</v>
      </c>
      <c r="AQ14" s="3" t="str">
        <f>HYPERLINK("https://icf.clappia.com/app/GMB253374/submission/FKG60065414/ICF247370-GMB253374-3l2a2hbfdo0g00000000/SIG-20250704_1121219bb.jpeg", "SIG-20250704_1121219bb.jpeg")</f>
        <v>SIG-20250704_1121219bb.jpeg</v>
      </c>
      <c r="AR14" s="1" t="s">
        <v>133</v>
      </c>
      <c r="AS14" s="3" t="str">
        <f>HYPERLINK("https://icf.clappia.com/app/GMB253374/submission/FKG60065414/ICF247370-GMB253374-5imioke5m44i00000000/SIG-20250704_112218dkl2.jpeg", "SIG-20250704_112218dkl2.jpeg")</f>
        <v>SIG-20250704_112218dkl2.jpeg</v>
      </c>
      <c r="AT14" s="1" t="s">
        <v>134</v>
      </c>
      <c r="AU14" s="3" t="str">
        <f>HYPERLINK("https://icf.clappia.com/app/GMB253374/submission/FKG60065414/ICF247370-GMB253374-1gf6lgdpa4iec0000000/SIG-20250704_11231607h2.jpeg", "SIG-20250704_11231607h2.jpeg")</f>
        <v>SIG-20250704_11231607h2.jpeg</v>
      </c>
      <c r="AV14" s="3" t="str">
        <f>HYPERLINK("https://www.google.com/maps/place/8.1379717%2C-11.6863133", "8.1379717,-11.6863133")</f>
        <v>8.1379717,-11.6863133</v>
      </c>
    </row>
    <row r="15">
      <c r="A15" s="1" t="s">
        <v>135</v>
      </c>
      <c r="B15" s="1" t="s">
        <v>102</v>
      </c>
      <c r="C15" s="1" t="s">
        <v>136</v>
      </c>
      <c r="D15" s="1" t="s">
        <v>136</v>
      </c>
      <c r="E15" s="1" t="s">
        <v>137</v>
      </c>
      <c r="F15" s="1" t="s">
        <v>64</v>
      </c>
      <c r="G15" s="1">
        <v>200.0</v>
      </c>
      <c r="H15" s="1" t="s">
        <v>50</v>
      </c>
      <c r="I15" s="1">
        <v>66.0</v>
      </c>
      <c r="J15" s="1">
        <v>39.0</v>
      </c>
      <c r="K15" s="1">
        <v>23.0</v>
      </c>
      <c r="L15" s="1">
        <v>27.0</v>
      </c>
      <c r="M15" s="1">
        <v>24.0</v>
      </c>
      <c r="N15" s="1" t="s">
        <v>51</v>
      </c>
      <c r="O15" s="1">
        <v>61.0</v>
      </c>
      <c r="P15" s="1">
        <v>29.0</v>
      </c>
      <c r="Q15" s="1">
        <v>15.0</v>
      </c>
      <c r="R15" s="1">
        <v>32.0</v>
      </c>
      <c r="S15" s="1">
        <v>11.0</v>
      </c>
      <c r="T15" s="1" t="s">
        <v>52</v>
      </c>
      <c r="U15" s="1">
        <v>40.0</v>
      </c>
      <c r="V15" s="1">
        <v>23.0</v>
      </c>
      <c r="W15" s="1">
        <v>18.0</v>
      </c>
      <c r="X15" s="1">
        <v>17.0</v>
      </c>
      <c r="Y15" s="1">
        <v>16.0</v>
      </c>
      <c r="Z15" s="1" t="s">
        <v>53</v>
      </c>
      <c r="AA15" s="1">
        <v>36.0</v>
      </c>
      <c r="AB15" s="1">
        <v>20.0</v>
      </c>
      <c r="AC15" s="1">
        <v>18.0</v>
      </c>
      <c r="AD15" s="1">
        <v>16.0</v>
      </c>
      <c r="AE15" s="1">
        <v>14.0</v>
      </c>
      <c r="AF15" s="1" t="s">
        <v>54</v>
      </c>
      <c r="AG15" s="1">
        <v>28.0</v>
      </c>
      <c r="AH15" s="1">
        <v>12.0</v>
      </c>
      <c r="AI15" s="1">
        <v>10.0</v>
      </c>
      <c r="AJ15" s="1">
        <v>16.0</v>
      </c>
      <c r="AK15" s="1">
        <v>16.0</v>
      </c>
      <c r="AL15" s="1">
        <v>165.0</v>
      </c>
      <c r="AM15" s="1" t="s">
        <v>55</v>
      </c>
      <c r="AN15" s="1">
        <v>35.0</v>
      </c>
      <c r="AO15" s="1">
        <v>35.0</v>
      </c>
      <c r="AP15" s="1" t="s">
        <v>138</v>
      </c>
      <c r="AQ15" s="3" t="str">
        <f>HYPERLINK("https://icf.clappia.com/app/GMB253374/submission/WIK08507254/ICF247370-GMB253374-2o5np2adgedi00000000/SIG-20250704_112410lde8.jpeg", "SIG-20250704_112410lde8.jpeg")</f>
        <v>SIG-20250704_112410lde8.jpeg</v>
      </c>
      <c r="AR15" s="1" t="s">
        <v>139</v>
      </c>
      <c r="AS15" s="3" t="str">
        <f>HYPERLINK("https://icf.clappia.com/app/GMB253374/submission/WIK08507254/ICF247370-GMB253374-1jm888el2od920000000/SIG-20250704_112317i4k.jpeg", "SIG-20250704_112317i4k.jpeg")</f>
        <v>SIG-20250704_112317i4k.jpeg</v>
      </c>
      <c r="AT15" s="1" t="s">
        <v>140</v>
      </c>
      <c r="AU15" s="3" t="str">
        <f>HYPERLINK("https://icf.clappia.com/app/GMB253374/submission/WIK08507254/ICF247370-GMB253374-1mjm2h7cjg3jg0000000/SIG-20250704_11241g0pa.jpeg", "SIG-20250704_11241g0pa.jpeg")</f>
        <v>SIG-20250704_11241g0pa.jpeg</v>
      </c>
      <c r="AV15" s="3" t="str">
        <f>HYPERLINK("https://www.google.com/maps/place/9.32894%2C-11.8555533", "9.32894,-11.8555533")</f>
        <v>9.32894,-11.8555533</v>
      </c>
    </row>
    <row r="16">
      <c r="A16" s="1" t="s">
        <v>141</v>
      </c>
      <c r="B16" s="1" t="s">
        <v>142</v>
      </c>
      <c r="C16" s="1" t="s">
        <v>143</v>
      </c>
      <c r="D16" s="1" t="s">
        <v>143</v>
      </c>
      <c r="E16" s="1" t="s">
        <v>144</v>
      </c>
      <c r="F16" s="1" t="s">
        <v>64</v>
      </c>
      <c r="G16" s="1">
        <v>58.0</v>
      </c>
      <c r="H16" s="1" t="s">
        <v>50</v>
      </c>
      <c r="I16" s="1">
        <v>29.0</v>
      </c>
      <c r="J16" s="1">
        <v>9.0</v>
      </c>
      <c r="K16" s="1">
        <v>9.0</v>
      </c>
      <c r="L16" s="1">
        <v>20.0</v>
      </c>
      <c r="M16" s="1">
        <v>20.0</v>
      </c>
      <c r="N16" s="1" t="s">
        <v>51</v>
      </c>
      <c r="O16" s="1">
        <v>9.0</v>
      </c>
      <c r="P16" s="1">
        <v>2.0</v>
      </c>
      <c r="Q16" s="1">
        <v>2.0</v>
      </c>
      <c r="R16" s="1">
        <v>7.0</v>
      </c>
      <c r="S16" s="1">
        <v>7.0</v>
      </c>
      <c r="T16" s="1" t="s">
        <v>52</v>
      </c>
      <c r="U16" s="1">
        <v>6.0</v>
      </c>
      <c r="V16" s="1">
        <v>4.0</v>
      </c>
      <c r="W16" s="1">
        <v>4.0</v>
      </c>
      <c r="X16" s="1">
        <v>2.0</v>
      </c>
      <c r="Y16" s="1">
        <v>2.0</v>
      </c>
      <c r="Z16" s="1" t="s">
        <v>53</v>
      </c>
      <c r="AA16" s="1">
        <v>7.0</v>
      </c>
      <c r="AB16" s="1">
        <v>5.0</v>
      </c>
      <c r="AC16" s="1">
        <v>5.0</v>
      </c>
      <c r="AD16" s="1">
        <v>2.0</v>
      </c>
      <c r="AE16" s="1">
        <v>2.0</v>
      </c>
      <c r="AF16" s="1" t="s">
        <v>54</v>
      </c>
      <c r="AG16" s="1">
        <v>7.0</v>
      </c>
      <c r="AH16" s="1">
        <v>4.0</v>
      </c>
      <c r="AI16" s="1">
        <v>4.0</v>
      </c>
      <c r="AJ16" s="1">
        <v>3.0</v>
      </c>
      <c r="AK16" s="1">
        <v>3.0</v>
      </c>
      <c r="AL16" s="1">
        <v>58.0</v>
      </c>
      <c r="AM16" s="1" t="s">
        <v>55</v>
      </c>
      <c r="AN16" s="1" t="s">
        <v>55</v>
      </c>
      <c r="AO16" s="1" t="s">
        <v>55</v>
      </c>
      <c r="AP16" s="1" t="s">
        <v>145</v>
      </c>
      <c r="AQ16" s="3" t="str">
        <f>HYPERLINK("https://icf.clappia.com/app/GMB253374/submission/FYV11281833/ICF247370-GMB253374-90hd2f7h6om00000000/SIG-20250704_111513cmne.jpeg", "SIG-20250704_111513cmne.jpeg")</f>
        <v>SIG-20250704_111513cmne.jpeg</v>
      </c>
      <c r="AR16" s="1" t="s">
        <v>146</v>
      </c>
      <c r="AS16" s="3" t="str">
        <f>HYPERLINK("https://icf.clappia.com/app/GMB253374/submission/FYV11281833/ICF247370-GMB253374-593ef39nol6800000000/SIG-20250704_1115o5a57.jpeg", "SIG-20250704_1115o5a57.jpeg")</f>
        <v>SIG-20250704_1115o5a57.jpeg</v>
      </c>
      <c r="AT16" s="1" t="s">
        <v>147</v>
      </c>
      <c r="AU16" s="3" t="str">
        <f>HYPERLINK("https://icf.clappia.com/app/GMB253374/submission/FYV11281833/ICF247370-GMB253374-4b464fa2dcna00000000/SIG-20250704_11001aa5fp.jpeg", "SIG-20250704_11001aa5fp.jpeg")</f>
        <v>SIG-20250704_11001aa5fp.jpeg</v>
      </c>
      <c r="AV16" s="3" t="str">
        <f>HYPERLINK("https://www.google.com/maps/place/7.9208343%2C-12.0227444", "7.9208343,-12.0227444")</f>
        <v>7.9208343,-12.0227444</v>
      </c>
    </row>
    <row r="17">
      <c r="A17" s="1" t="s">
        <v>148</v>
      </c>
      <c r="B17" s="1" t="s">
        <v>60</v>
      </c>
      <c r="C17" s="1" t="s">
        <v>149</v>
      </c>
      <c r="D17" s="1" t="s">
        <v>149</v>
      </c>
      <c r="E17" s="1" t="s">
        <v>150</v>
      </c>
      <c r="F17" s="1" t="s">
        <v>64</v>
      </c>
      <c r="G17" s="1">
        <v>100.0</v>
      </c>
      <c r="H17" s="1" t="s">
        <v>50</v>
      </c>
      <c r="I17" s="1">
        <v>59.0</v>
      </c>
      <c r="J17" s="1">
        <v>27.0</v>
      </c>
      <c r="K17" s="1">
        <v>27.0</v>
      </c>
      <c r="L17" s="1">
        <v>32.0</v>
      </c>
      <c r="M17" s="1">
        <v>32.0</v>
      </c>
      <c r="N17" s="1" t="s">
        <v>51</v>
      </c>
      <c r="O17" s="1">
        <v>15.0</v>
      </c>
      <c r="P17" s="1">
        <v>10.0</v>
      </c>
      <c r="Q17" s="1">
        <v>10.0</v>
      </c>
      <c r="R17" s="1">
        <v>5.0</v>
      </c>
      <c r="S17" s="1">
        <v>5.0</v>
      </c>
      <c r="T17" s="1" t="s">
        <v>52</v>
      </c>
      <c r="U17" s="1">
        <v>7.0</v>
      </c>
      <c r="V17" s="1">
        <v>4.0</v>
      </c>
      <c r="W17" s="1">
        <v>4.0</v>
      </c>
      <c r="X17" s="1">
        <v>3.0</v>
      </c>
      <c r="Y17" s="1">
        <v>3.0</v>
      </c>
      <c r="Z17" s="1" t="s">
        <v>53</v>
      </c>
      <c r="AA17" s="1">
        <v>10.0</v>
      </c>
      <c r="AB17" s="1">
        <v>6.0</v>
      </c>
      <c r="AC17" s="1">
        <v>6.0</v>
      </c>
      <c r="AD17" s="1">
        <v>4.0</v>
      </c>
      <c r="AE17" s="1">
        <v>4.0</v>
      </c>
      <c r="AF17" s="1" t="s">
        <v>54</v>
      </c>
      <c r="AG17" s="1">
        <v>9.0</v>
      </c>
      <c r="AH17" s="1">
        <v>4.0</v>
      </c>
      <c r="AI17" s="1">
        <v>4.0</v>
      </c>
      <c r="AJ17" s="1">
        <v>5.0</v>
      </c>
      <c r="AK17" s="1">
        <v>5.0</v>
      </c>
      <c r="AL17" s="1">
        <v>100.0</v>
      </c>
      <c r="AM17" s="1" t="s">
        <v>55</v>
      </c>
      <c r="AN17" s="1" t="s">
        <v>55</v>
      </c>
      <c r="AO17" s="1" t="s">
        <v>55</v>
      </c>
      <c r="AP17" s="1" t="s">
        <v>151</v>
      </c>
      <c r="AQ17" s="3" t="str">
        <f>HYPERLINK("https://icf.clappia.com/app/GMB253374/submission/MTO20739686/ICF247370-GMB253374-jfam19bkd1360000000/SIG-20250704_1114d912b.jpeg", "SIG-20250704_1114d912b.jpeg")</f>
        <v>SIG-20250704_1114d912b.jpeg</v>
      </c>
      <c r="AR17" s="1" t="s">
        <v>152</v>
      </c>
      <c r="AS17" s="3" t="str">
        <f>HYPERLINK("https://icf.clappia.com/app/GMB253374/submission/MTO20739686/ICF247370-GMB253374-3787ljid2df200000000/SIG-20250704_111318kinm.jpeg", "SIG-20250704_111318kinm.jpeg")</f>
        <v>SIG-20250704_111318kinm.jpeg</v>
      </c>
      <c r="AT17" s="1" t="s">
        <v>153</v>
      </c>
      <c r="AU17" s="3" t="str">
        <f>HYPERLINK("https://icf.clappia.com/app/GMB253374/submission/MTO20739686/ICF247370-GMB253374-30jf367j2kb600000000/SIG-20250704_11151a00dg.jpeg", "SIG-20250704_11151a00dg.jpeg")</f>
        <v>SIG-20250704_11151a00dg.jpeg</v>
      </c>
      <c r="AV17" s="3" t="str">
        <f>HYPERLINK("https://www.google.com/maps/place/7.7985%2C-11.864815", "7.7985,-11.864815")</f>
        <v>7.7985,-11.864815</v>
      </c>
    </row>
    <row r="18">
      <c r="A18" s="1" t="s">
        <v>154</v>
      </c>
      <c r="B18" s="1" t="s">
        <v>155</v>
      </c>
      <c r="C18" s="1" t="s">
        <v>156</v>
      </c>
      <c r="D18" s="1" t="s">
        <v>156</v>
      </c>
      <c r="E18" s="1" t="s">
        <v>157</v>
      </c>
      <c r="F18" s="1" t="s">
        <v>64</v>
      </c>
      <c r="G18" s="1">
        <v>129.0</v>
      </c>
      <c r="H18" s="1" t="s">
        <v>50</v>
      </c>
      <c r="I18" s="1">
        <v>70.0</v>
      </c>
      <c r="J18" s="1">
        <v>30.0</v>
      </c>
      <c r="K18" s="1">
        <v>19.0</v>
      </c>
      <c r="L18" s="1">
        <v>40.0</v>
      </c>
      <c r="M18" s="1">
        <v>15.0</v>
      </c>
      <c r="N18" s="1" t="s">
        <v>51</v>
      </c>
      <c r="O18" s="1">
        <v>50.0</v>
      </c>
      <c r="P18" s="1">
        <v>20.0</v>
      </c>
      <c r="Q18" s="1">
        <v>10.0</v>
      </c>
      <c r="R18" s="1">
        <v>30.0</v>
      </c>
      <c r="S18" s="1">
        <v>8.0</v>
      </c>
      <c r="T18" s="1" t="s">
        <v>52</v>
      </c>
      <c r="U18" s="1">
        <v>52.0</v>
      </c>
      <c r="V18" s="1">
        <v>20.0</v>
      </c>
      <c r="W18" s="1">
        <v>8.0</v>
      </c>
      <c r="X18" s="1">
        <v>32.0</v>
      </c>
      <c r="Y18" s="1">
        <v>10.0</v>
      </c>
      <c r="Z18" s="1" t="s">
        <v>53</v>
      </c>
      <c r="AA18" s="1">
        <v>40.0</v>
      </c>
      <c r="AB18" s="1">
        <v>15.0</v>
      </c>
      <c r="AC18" s="1">
        <v>15.0</v>
      </c>
      <c r="AD18" s="1">
        <v>25.0</v>
      </c>
      <c r="AE18" s="1">
        <v>21.0</v>
      </c>
      <c r="AF18" s="1" t="s">
        <v>54</v>
      </c>
      <c r="AG18" s="1">
        <v>42.0</v>
      </c>
      <c r="AH18" s="1">
        <v>20.0</v>
      </c>
      <c r="AI18" s="1">
        <v>11.0</v>
      </c>
      <c r="AJ18" s="1">
        <v>22.0</v>
      </c>
      <c r="AK18" s="1">
        <v>10.0</v>
      </c>
      <c r="AL18" s="1">
        <v>127.0</v>
      </c>
      <c r="AM18" s="1">
        <v>2.0</v>
      </c>
      <c r="AN18" s="1" t="s">
        <v>55</v>
      </c>
      <c r="AO18" s="1" t="s">
        <v>55</v>
      </c>
      <c r="AP18" s="1" t="s">
        <v>158</v>
      </c>
      <c r="AQ18" s="3" t="str">
        <f>HYPERLINK("https://icf.clappia.com/app/GMB253374/submission/JJE64774877/ICF247370-GMB253374-12o7ghhcfk9la0000000/SIG-20250704_1112f00fp.jpeg", "SIG-20250704_1112f00fp.jpeg")</f>
        <v>SIG-20250704_1112f00fp.jpeg</v>
      </c>
      <c r="AR18" s="1" t="s">
        <v>159</v>
      </c>
      <c r="AS18" s="3" t="str">
        <f>HYPERLINK("https://icf.clappia.com/app/GMB253374/submission/JJE64774877/ICF247370-GMB253374-4cnf71h2ah2g00000000/SIG-20250704_11121a32ba.jpeg", "SIG-20250704_11121a32ba.jpeg")</f>
        <v>SIG-20250704_11121a32ba.jpeg</v>
      </c>
      <c r="AT18" s="1" t="s">
        <v>159</v>
      </c>
      <c r="AU18" s="3" t="str">
        <f>HYPERLINK("https://icf.clappia.com/app/GMB253374/submission/JJE64774877/ICF247370-GMB253374-5h1j2gkd406c00000000/SIG-20250704_1112123mp8.jpeg", "SIG-20250704_1112123mp8.jpeg")</f>
        <v>SIG-20250704_1112123mp8.jpeg</v>
      </c>
      <c r="AV18" s="3" t="str">
        <f>HYPERLINK("https://www.google.com/maps/place/8.7203264%2C-11.972849", "8.7203264,-11.972849")</f>
        <v>8.7203264,-11.972849</v>
      </c>
    </row>
    <row r="19">
      <c r="A19" s="1" t="s">
        <v>160</v>
      </c>
      <c r="B19" s="1" t="s">
        <v>161</v>
      </c>
      <c r="C19" s="1" t="s">
        <v>156</v>
      </c>
      <c r="D19" s="1" t="s">
        <v>156</v>
      </c>
      <c r="E19" s="1" t="s">
        <v>162</v>
      </c>
      <c r="F19" s="1" t="s">
        <v>49</v>
      </c>
      <c r="G19" s="1">
        <v>25.0</v>
      </c>
      <c r="H19" s="1" t="s">
        <v>50</v>
      </c>
      <c r="I19" s="1">
        <v>13.0</v>
      </c>
      <c r="J19" s="1">
        <v>7.0</v>
      </c>
      <c r="K19" s="1">
        <v>4.0</v>
      </c>
      <c r="L19" s="1">
        <v>6.0</v>
      </c>
      <c r="M19" s="1">
        <v>4.0</v>
      </c>
      <c r="N19" s="1" t="s">
        <v>51</v>
      </c>
      <c r="O19" s="1">
        <v>5.0</v>
      </c>
      <c r="P19" s="1">
        <v>4.0</v>
      </c>
      <c r="Q19" s="1">
        <v>3.0</v>
      </c>
      <c r="R19" s="1">
        <v>1.0</v>
      </c>
      <c r="S19" s="1">
        <v>1.0</v>
      </c>
      <c r="T19" s="1" t="s">
        <v>52</v>
      </c>
      <c r="U19" s="1">
        <v>7.0</v>
      </c>
      <c r="V19" s="1">
        <v>5.0</v>
      </c>
      <c r="W19" s="1">
        <v>3.0</v>
      </c>
      <c r="X19" s="1">
        <v>2.0</v>
      </c>
      <c r="Y19" s="1">
        <v>2.0</v>
      </c>
      <c r="Z19" s="1" t="s">
        <v>53</v>
      </c>
      <c r="AA19" s="1" t="s">
        <v>55</v>
      </c>
      <c r="AB19" s="1" t="s">
        <v>55</v>
      </c>
      <c r="AC19" s="1" t="s">
        <v>55</v>
      </c>
      <c r="AD19" s="1" t="s">
        <v>55</v>
      </c>
      <c r="AE19" s="1" t="s">
        <v>55</v>
      </c>
      <c r="AF19" s="1" t="s">
        <v>54</v>
      </c>
      <c r="AG19" s="1" t="s">
        <v>55</v>
      </c>
      <c r="AH19" s="1" t="s">
        <v>55</v>
      </c>
      <c r="AI19" s="1" t="s">
        <v>55</v>
      </c>
      <c r="AJ19" s="1" t="s">
        <v>55</v>
      </c>
      <c r="AK19" s="1" t="s">
        <v>55</v>
      </c>
      <c r="AL19" s="1">
        <v>17.0</v>
      </c>
      <c r="AM19" s="1">
        <v>8.0</v>
      </c>
      <c r="AN19" s="1" t="s">
        <v>55</v>
      </c>
      <c r="AO19" s="1" t="s">
        <v>55</v>
      </c>
      <c r="AP19" s="1" t="s">
        <v>163</v>
      </c>
      <c r="AQ19" s="3" t="str">
        <f>HYPERLINK("https://icf.clappia.com/app/GMB253374/submission/FYV98715146/ICF247370-GMB253374-5n9h7jcaa8oo00000000/SIG-20250704_111135k17.jpeg", "SIG-20250704_111135k17.jpeg")</f>
        <v>SIG-20250704_111135k17.jpeg</v>
      </c>
      <c r="AR19" s="1" t="s">
        <v>164</v>
      </c>
      <c r="AS19" s="3" t="str">
        <f>HYPERLINK("https://icf.clappia.com/app/GMB253374/submission/FYV98715146/ICF247370-GMB253374-575cneco3ck800000000/SIG-20250704_11121a2hp6.jpeg", "SIG-20250704_11121a2hp6.jpeg")</f>
        <v>SIG-20250704_11121a2hp6.jpeg</v>
      </c>
      <c r="AT19" s="1" t="s">
        <v>165</v>
      </c>
      <c r="AU19" s="3" t="str">
        <f>HYPERLINK("https://icf.clappia.com/app/GMB253374/submission/FYV98715146/ICF247370-GMB253374-2g6393ec2h6g0000000/SIG-20250704_11125fm8b.jpeg", "SIG-20250704_11125fm8b.jpeg")</f>
        <v>SIG-20250704_11125fm8b.jpeg</v>
      </c>
      <c r="AV19" s="3" t="str">
        <f>HYPERLINK("https://www.google.com/maps/place/7.9475783%2C-11.70177", "7.9475783,-11.70177")</f>
        <v>7.9475783,-11.70177</v>
      </c>
    </row>
    <row r="20" ht="15.75" customHeight="1">
      <c r="A20" s="1" t="s">
        <v>166</v>
      </c>
      <c r="B20" s="1" t="s">
        <v>167</v>
      </c>
      <c r="C20" s="1" t="s">
        <v>168</v>
      </c>
      <c r="D20" s="1" t="s">
        <v>168</v>
      </c>
      <c r="E20" s="1" t="s">
        <v>169</v>
      </c>
      <c r="F20" s="1" t="s">
        <v>49</v>
      </c>
      <c r="G20" s="1">
        <v>115.0</v>
      </c>
      <c r="H20" s="1" t="s">
        <v>50</v>
      </c>
      <c r="I20" s="1">
        <v>24.0</v>
      </c>
      <c r="J20" s="1">
        <v>10.0</v>
      </c>
      <c r="K20" s="1">
        <v>10.0</v>
      </c>
      <c r="L20" s="1">
        <v>14.0</v>
      </c>
      <c r="M20" s="1">
        <v>14.0</v>
      </c>
      <c r="N20" s="1" t="s">
        <v>51</v>
      </c>
      <c r="O20" s="1">
        <v>17.0</v>
      </c>
      <c r="P20" s="1">
        <v>12.0</v>
      </c>
      <c r="Q20" s="1">
        <v>12.0</v>
      </c>
      <c r="R20" s="1">
        <v>5.0</v>
      </c>
      <c r="S20" s="1">
        <v>5.0</v>
      </c>
      <c r="T20" s="1" t="s">
        <v>52</v>
      </c>
      <c r="U20" s="1">
        <v>20.0</v>
      </c>
      <c r="V20" s="1">
        <v>14.0</v>
      </c>
      <c r="W20" s="1">
        <v>14.0</v>
      </c>
      <c r="X20" s="1">
        <v>6.0</v>
      </c>
      <c r="Y20" s="1">
        <v>6.0</v>
      </c>
      <c r="Z20" s="1" t="s">
        <v>53</v>
      </c>
      <c r="AA20" s="1">
        <v>10.0</v>
      </c>
      <c r="AB20" s="1">
        <v>6.0</v>
      </c>
      <c r="AC20" s="1">
        <v>6.0</v>
      </c>
      <c r="AD20" s="1">
        <v>4.0</v>
      </c>
      <c r="AE20" s="1">
        <v>4.0</v>
      </c>
      <c r="AF20" s="1" t="s">
        <v>54</v>
      </c>
      <c r="AG20" s="1">
        <v>12.0</v>
      </c>
      <c r="AH20" s="1">
        <v>4.0</v>
      </c>
      <c r="AI20" s="1">
        <v>4.0</v>
      </c>
      <c r="AJ20" s="1">
        <v>8.0</v>
      </c>
      <c r="AK20" s="1">
        <v>8.0</v>
      </c>
      <c r="AL20" s="1">
        <v>83.0</v>
      </c>
      <c r="AM20" s="1">
        <v>10.0</v>
      </c>
      <c r="AN20" s="1">
        <v>22.0</v>
      </c>
      <c r="AO20" s="1">
        <v>22.0</v>
      </c>
      <c r="AP20" s="1" t="s">
        <v>170</v>
      </c>
      <c r="AQ20" s="3" t="str">
        <f>HYPERLINK("https://icf.clappia.com/app/GMB253374/submission/TCM51090780/ICF247370-GMB253374-5bcekh5231mk00000000/SIG-20250704_1110ho6d0.jpeg", "SIG-20250704_1110ho6d0.jpeg")</f>
        <v>SIG-20250704_1110ho6d0.jpeg</v>
      </c>
      <c r="AR20" s="1" t="s">
        <v>171</v>
      </c>
      <c r="AS20" s="3" t="str">
        <f>HYPERLINK("https://icf.clappia.com/app/GMB253374/submission/TCM51090780/ICF247370-GMB253374-22mn284g963ki0000000/SIG-20250704_111011fon2.jpeg", "SIG-20250704_111011fon2.jpeg")</f>
        <v>SIG-20250704_111011fon2.jpeg</v>
      </c>
      <c r="AT20" s="1" t="s">
        <v>172</v>
      </c>
      <c r="AU20" s="3" t="str">
        <f>HYPERLINK("https://icf.clappia.com/app/GMB253374/submission/TCM51090780/ICF247370-GMB253374-2b0nfm3lb8ik00000000/SIG-20250704_1111pg7jn.jpeg", "SIG-20250704_1111pg7jn.jpeg")</f>
        <v>SIG-20250704_1111pg7jn.jpeg</v>
      </c>
      <c r="AV20" s="3" t="str">
        <f>HYPERLINK("https://www.google.com/maps/place/7.92919%2C-11.7279967", "7.92919,-11.7279967")</f>
        <v>7.92919,-11.7279967</v>
      </c>
    </row>
    <row r="21" ht="15.75" customHeight="1">
      <c r="A21" s="1" t="s">
        <v>173</v>
      </c>
      <c r="B21" s="1" t="s">
        <v>81</v>
      </c>
      <c r="C21" s="1" t="s">
        <v>174</v>
      </c>
      <c r="D21" s="1" t="s">
        <v>174</v>
      </c>
      <c r="E21" s="1" t="s">
        <v>175</v>
      </c>
      <c r="F21" s="1" t="s">
        <v>49</v>
      </c>
      <c r="G21" s="1">
        <v>100.0</v>
      </c>
      <c r="H21" s="1" t="s">
        <v>50</v>
      </c>
      <c r="I21" s="1">
        <v>19.0</v>
      </c>
      <c r="J21" s="1" t="s">
        <v>55</v>
      </c>
      <c r="K21" s="1" t="s">
        <v>55</v>
      </c>
      <c r="L21" s="1">
        <v>19.0</v>
      </c>
      <c r="M21" s="1">
        <v>18.0</v>
      </c>
      <c r="N21" s="1" t="s">
        <v>51</v>
      </c>
      <c r="O21" s="1">
        <v>23.0</v>
      </c>
      <c r="P21" s="1" t="s">
        <v>55</v>
      </c>
      <c r="Q21" s="1" t="s">
        <v>55</v>
      </c>
      <c r="R21" s="1">
        <v>23.0</v>
      </c>
      <c r="S21" s="1">
        <v>23.0</v>
      </c>
      <c r="T21" s="1" t="s">
        <v>52</v>
      </c>
      <c r="U21" s="1">
        <v>28.0</v>
      </c>
      <c r="V21" s="1" t="s">
        <v>55</v>
      </c>
      <c r="W21" s="1" t="s">
        <v>55</v>
      </c>
      <c r="X21" s="1">
        <v>28.0</v>
      </c>
      <c r="Y21" s="1">
        <v>28.0</v>
      </c>
      <c r="Z21" s="1" t="s">
        <v>53</v>
      </c>
      <c r="AA21" s="1">
        <v>20.0</v>
      </c>
      <c r="AB21" s="1" t="s">
        <v>55</v>
      </c>
      <c r="AC21" s="1" t="s">
        <v>55</v>
      </c>
      <c r="AD21" s="1">
        <v>20.0</v>
      </c>
      <c r="AE21" s="1">
        <v>20.0</v>
      </c>
      <c r="AF21" s="1" t="s">
        <v>54</v>
      </c>
      <c r="AG21" s="1">
        <v>6.0</v>
      </c>
      <c r="AH21" s="1" t="s">
        <v>55</v>
      </c>
      <c r="AI21" s="1" t="s">
        <v>55</v>
      </c>
      <c r="AJ21" s="1">
        <v>6.0</v>
      </c>
      <c r="AK21" s="1">
        <v>6.0</v>
      </c>
      <c r="AL21" s="1">
        <v>95.0</v>
      </c>
      <c r="AM21" s="1" t="s">
        <v>55</v>
      </c>
      <c r="AN21" s="1">
        <v>5.0</v>
      </c>
      <c r="AO21" s="1">
        <v>5.0</v>
      </c>
      <c r="AP21" s="1" t="s">
        <v>176</v>
      </c>
      <c r="AQ21" s="3" t="str">
        <f>HYPERLINK("https://icf.clappia.com/app/GMB253374/submission/QRJ54284458/ICF247370-GMB253374-4nfi4h1nfb1a00000000/SIG-20250704_11047mm6l.jpeg", "SIG-20250704_11047mm6l.jpeg")</f>
        <v>SIG-20250704_11047mm6l.jpeg</v>
      </c>
      <c r="AR21" s="1" t="s">
        <v>177</v>
      </c>
      <c r="AS21" s="3" t="str">
        <f>HYPERLINK("https://icf.clappia.com/app/GMB253374/submission/QRJ54284458/ICF247370-GMB253374-261mhf7hm7mmk0000000/SIG-20250704_1106md33f.jpeg", "SIG-20250704_1106md33f.jpeg")</f>
        <v>SIG-20250704_1106md33f.jpeg</v>
      </c>
      <c r="AT21" s="1" t="s">
        <v>178</v>
      </c>
      <c r="AU21" s="3" t="str">
        <f>HYPERLINK("https://icf.clappia.com/app/GMB253374/submission/QRJ54284458/ICF247370-GMB253374-jlp7klmeibd20000000/SIG-20250704_11076lad3.jpeg", "SIG-20250704_11076lad3.jpeg")</f>
        <v>SIG-20250704_11076lad3.jpeg</v>
      </c>
      <c r="AV21" s="3" t="str">
        <f>HYPERLINK("https://www.google.com/maps/place/7.9564927%2C-11.743121", "7.9564927,-11.743121")</f>
        <v>7.9564927,-11.743121</v>
      </c>
    </row>
    <row r="22" ht="15.75" customHeight="1">
      <c r="A22" s="1" t="s">
        <v>179</v>
      </c>
      <c r="B22" s="1" t="s">
        <v>60</v>
      </c>
      <c r="C22" s="1" t="s">
        <v>174</v>
      </c>
      <c r="D22" s="1" t="s">
        <v>174</v>
      </c>
      <c r="E22" s="1" t="s">
        <v>180</v>
      </c>
      <c r="F22" s="1" t="s">
        <v>64</v>
      </c>
      <c r="G22" s="1">
        <v>100.0</v>
      </c>
      <c r="H22" s="1" t="s">
        <v>50</v>
      </c>
      <c r="I22" s="1">
        <v>55.0</v>
      </c>
      <c r="J22" s="1">
        <v>22.0</v>
      </c>
      <c r="K22" s="1">
        <v>22.0</v>
      </c>
      <c r="L22" s="1">
        <v>33.0</v>
      </c>
      <c r="M22" s="1">
        <v>33.0</v>
      </c>
      <c r="N22" s="1" t="s">
        <v>51</v>
      </c>
      <c r="O22" s="1">
        <v>18.0</v>
      </c>
      <c r="P22" s="1">
        <v>10.0</v>
      </c>
      <c r="Q22" s="1">
        <v>10.0</v>
      </c>
      <c r="R22" s="1">
        <v>8.0</v>
      </c>
      <c r="S22" s="1">
        <v>8.0</v>
      </c>
      <c r="T22" s="1" t="s">
        <v>52</v>
      </c>
      <c r="U22" s="1">
        <v>10.0</v>
      </c>
      <c r="V22" s="1">
        <v>6.0</v>
      </c>
      <c r="W22" s="1">
        <v>6.0</v>
      </c>
      <c r="X22" s="1">
        <v>4.0</v>
      </c>
      <c r="Y22" s="1">
        <v>4.0</v>
      </c>
      <c r="Z22" s="1" t="s">
        <v>53</v>
      </c>
      <c r="AA22" s="1">
        <v>12.0</v>
      </c>
      <c r="AB22" s="1">
        <v>7.0</v>
      </c>
      <c r="AC22" s="1">
        <v>7.0</v>
      </c>
      <c r="AD22" s="1">
        <v>5.0</v>
      </c>
      <c r="AE22" s="1">
        <v>5.0</v>
      </c>
      <c r="AF22" s="1" t="s">
        <v>54</v>
      </c>
      <c r="AG22" s="1">
        <v>5.0</v>
      </c>
      <c r="AH22" s="1">
        <v>3.0</v>
      </c>
      <c r="AI22" s="1">
        <v>3.0</v>
      </c>
      <c r="AJ22" s="1">
        <v>2.0</v>
      </c>
      <c r="AK22" s="1">
        <v>2.0</v>
      </c>
      <c r="AL22" s="1">
        <v>100.0</v>
      </c>
      <c r="AM22" s="1" t="s">
        <v>55</v>
      </c>
      <c r="AN22" s="1" t="s">
        <v>55</v>
      </c>
      <c r="AO22" s="1" t="s">
        <v>55</v>
      </c>
      <c r="AP22" s="1" t="s">
        <v>181</v>
      </c>
      <c r="AQ22" s="3" t="str">
        <f>HYPERLINK("https://icf.clappia.com/app/GMB253374/submission/NYP79019389/ICF247370-GMB253374-5l3jblbdeam400000000/SIG-20250704_110018lkmk.jpeg", "SIG-20250704_110018lkmk.jpeg")</f>
        <v>SIG-20250704_110018lkmk.jpeg</v>
      </c>
      <c r="AR22" s="1" t="s">
        <v>152</v>
      </c>
      <c r="AS22" s="3" t="str">
        <f>HYPERLINK("https://icf.clappia.com/app/GMB253374/submission/NYP79019389/ICF247370-GMB253374-2afla6obokd440000000/SIG-20250704_1059kn86o.jpeg", "SIG-20250704_1059kn86o.jpeg")</f>
        <v>SIG-20250704_1059kn86o.jpeg</v>
      </c>
      <c r="AT22" s="1" t="s">
        <v>153</v>
      </c>
      <c r="AU22" s="3" t="str">
        <f>HYPERLINK("https://icf.clappia.com/app/GMB253374/submission/NYP79019389/ICF247370-GMB253374-6ad86fikk99200000000/SIG-20250704_11003jbcf.jpeg", "SIG-20250704_11003jbcf.jpeg")</f>
        <v>SIG-20250704_11003jbcf.jpeg</v>
      </c>
      <c r="AV22" s="3" t="str">
        <f>HYPERLINK("https://www.google.com/maps/place/7.7983833%2C-11.8643017", "7.7983833,-11.8643017")</f>
        <v>7.7983833,-11.8643017</v>
      </c>
    </row>
    <row r="23" ht="15.75" customHeight="1">
      <c r="A23" s="1" t="s">
        <v>182</v>
      </c>
      <c r="B23" s="1" t="s">
        <v>102</v>
      </c>
      <c r="C23" s="1" t="s">
        <v>183</v>
      </c>
      <c r="D23" s="1" t="s">
        <v>183</v>
      </c>
      <c r="E23" s="1" t="s">
        <v>184</v>
      </c>
      <c r="F23" s="1" t="s">
        <v>64</v>
      </c>
      <c r="G23" s="1">
        <v>404.0</v>
      </c>
      <c r="H23" s="1" t="s">
        <v>50</v>
      </c>
      <c r="I23" s="1">
        <v>130.0</v>
      </c>
      <c r="J23" s="1">
        <v>62.0</v>
      </c>
      <c r="K23" s="1">
        <v>45.0</v>
      </c>
      <c r="L23" s="1">
        <v>68.0</v>
      </c>
      <c r="M23" s="1">
        <v>45.0</v>
      </c>
      <c r="N23" s="1" t="s">
        <v>51</v>
      </c>
      <c r="O23" s="1">
        <v>87.0</v>
      </c>
      <c r="P23" s="1">
        <v>42.0</v>
      </c>
      <c r="Q23" s="1">
        <v>28.0</v>
      </c>
      <c r="R23" s="1">
        <v>45.0</v>
      </c>
      <c r="S23" s="1">
        <v>32.0</v>
      </c>
      <c r="T23" s="1" t="s">
        <v>52</v>
      </c>
      <c r="U23" s="1">
        <v>90.0</v>
      </c>
      <c r="V23" s="1">
        <v>44.0</v>
      </c>
      <c r="W23" s="1">
        <v>29.0</v>
      </c>
      <c r="X23" s="1">
        <v>46.0</v>
      </c>
      <c r="Y23" s="1">
        <v>34.0</v>
      </c>
      <c r="Z23" s="1" t="s">
        <v>53</v>
      </c>
      <c r="AA23" s="1">
        <v>104.0</v>
      </c>
      <c r="AB23" s="1">
        <v>48.0</v>
      </c>
      <c r="AC23" s="1">
        <v>36.0</v>
      </c>
      <c r="AD23" s="1">
        <v>56.0</v>
      </c>
      <c r="AE23" s="1">
        <v>47.0</v>
      </c>
      <c r="AF23" s="1" t="s">
        <v>54</v>
      </c>
      <c r="AG23" s="1">
        <v>90.0</v>
      </c>
      <c r="AH23" s="1">
        <v>45.0</v>
      </c>
      <c r="AI23" s="1">
        <v>30.0</v>
      </c>
      <c r="AJ23" s="1">
        <v>45.0</v>
      </c>
      <c r="AK23" s="1">
        <v>38.0</v>
      </c>
      <c r="AL23" s="1">
        <v>364.0</v>
      </c>
      <c r="AM23" s="1" t="s">
        <v>55</v>
      </c>
      <c r="AN23" s="1">
        <v>40.0</v>
      </c>
      <c r="AO23" s="1">
        <v>40.0</v>
      </c>
      <c r="AP23" s="1" t="s">
        <v>185</v>
      </c>
      <c r="AQ23" s="3" t="str">
        <f>HYPERLINK("https://icf.clappia.com/app/GMB253374/submission/KLO50175826/ICF247370-GMB253374-2gleom0lk32200000000/SIG-20250630_1353o2njk.jpeg", "SIG-20250630_1353o2njk.jpeg")</f>
        <v>SIG-20250630_1353o2njk.jpeg</v>
      </c>
      <c r="AR23" s="1" t="s">
        <v>186</v>
      </c>
      <c r="AS23" s="3" t="str">
        <f>HYPERLINK("https://icf.clappia.com/app/GMB253374/submission/KLO50175826/ICF247370-GMB253374-256ghho9h234i0000000/SIG-20250630_135410k8l.jpeg", "SIG-20250630_135410k8l.jpeg")</f>
        <v>SIG-20250630_135410k8l.jpeg</v>
      </c>
      <c r="AT23" s="1" t="s">
        <v>187</v>
      </c>
      <c r="AU23" s="3" t="str">
        <f>HYPERLINK("https://icf.clappia.com/app/GMB253374/submission/KLO50175826/ICF247370-GMB253374-325dfbjcmbda00000000/SIG-20250630_1355kce4c.jpeg", "SIG-20250630_1355kce4c.jpeg")</f>
        <v>SIG-20250630_1355kce4c.jpeg</v>
      </c>
      <c r="AV23" s="3" t="str">
        <f>HYPERLINK("https://www.google.com/maps/place/9.3180876%2C-11.9150175", "9.3180876,-11.9150175")</f>
        <v>9.3180876,-11.9150175</v>
      </c>
    </row>
    <row r="24" ht="15.75" customHeight="1">
      <c r="A24" s="1" t="s">
        <v>188</v>
      </c>
      <c r="B24" s="1" t="s">
        <v>189</v>
      </c>
      <c r="C24" s="1" t="s">
        <v>190</v>
      </c>
      <c r="D24" s="1" t="s">
        <v>190</v>
      </c>
      <c r="E24" s="1" t="s">
        <v>191</v>
      </c>
      <c r="F24" s="1" t="s">
        <v>49</v>
      </c>
      <c r="G24" s="1">
        <v>300.0</v>
      </c>
      <c r="H24" s="1" t="s">
        <v>50</v>
      </c>
      <c r="I24" s="1">
        <v>40.0</v>
      </c>
      <c r="J24" s="1">
        <v>15.0</v>
      </c>
      <c r="K24" s="1">
        <v>15.0</v>
      </c>
      <c r="L24" s="1">
        <v>25.0</v>
      </c>
      <c r="M24" s="1">
        <v>25.0</v>
      </c>
      <c r="N24" s="1" t="s">
        <v>51</v>
      </c>
      <c r="O24" s="1">
        <v>29.0</v>
      </c>
      <c r="P24" s="1">
        <v>15.0</v>
      </c>
      <c r="Q24" s="1">
        <v>15.0</v>
      </c>
      <c r="R24" s="1">
        <v>14.0</v>
      </c>
      <c r="S24" s="1">
        <v>14.0</v>
      </c>
      <c r="T24" s="1" t="s">
        <v>52</v>
      </c>
      <c r="U24" s="1">
        <v>25.0</v>
      </c>
      <c r="V24" s="1">
        <v>10.0</v>
      </c>
      <c r="W24" s="1">
        <v>10.0</v>
      </c>
      <c r="X24" s="1">
        <v>15.0</v>
      </c>
      <c r="Y24" s="1">
        <v>15.0</v>
      </c>
      <c r="Z24" s="1" t="s">
        <v>53</v>
      </c>
      <c r="AA24" s="1">
        <v>39.0</v>
      </c>
      <c r="AB24" s="1">
        <v>17.0</v>
      </c>
      <c r="AC24" s="1">
        <v>17.0</v>
      </c>
      <c r="AD24" s="1">
        <v>22.0</v>
      </c>
      <c r="AE24" s="1">
        <v>22.0</v>
      </c>
      <c r="AF24" s="1" t="s">
        <v>54</v>
      </c>
      <c r="AG24" s="1">
        <v>30.0</v>
      </c>
      <c r="AH24" s="1">
        <v>15.0</v>
      </c>
      <c r="AI24" s="1">
        <v>15.0</v>
      </c>
      <c r="AJ24" s="1">
        <v>15.0</v>
      </c>
      <c r="AK24" s="1">
        <v>15.0</v>
      </c>
      <c r="AL24" s="1">
        <v>163.0</v>
      </c>
      <c r="AM24" s="1" t="s">
        <v>55</v>
      </c>
      <c r="AN24" s="1">
        <v>137.0</v>
      </c>
      <c r="AO24" s="1">
        <v>137.0</v>
      </c>
      <c r="AP24" s="1" t="s">
        <v>192</v>
      </c>
      <c r="AQ24" s="3" t="str">
        <f>HYPERLINK("https://icf.clappia.com/app/GMB253374/submission/IKN79803479/ICF247370-GMB253374-5jd5a6o668o80000000/SIG-20250704_09502pj8n.jpeg", "SIG-20250704_09502pj8n.jpeg")</f>
        <v>SIG-20250704_09502pj8n.jpeg</v>
      </c>
      <c r="AR24" s="1" t="s">
        <v>193</v>
      </c>
      <c r="AS24" s="3" t="str">
        <f>HYPERLINK("https://icf.clappia.com/app/GMB253374/submission/IKN79803479/ICF247370-GMB253374-24fjib5eo66ec0000000/SIG-20250704_1049pem63.jpeg", "SIG-20250704_1049pem63.jpeg")</f>
        <v>SIG-20250704_1049pem63.jpeg</v>
      </c>
      <c r="AT24" s="1" t="s">
        <v>194</v>
      </c>
      <c r="AU24" s="3" t="str">
        <f>HYPERLINK("https://icf.clappia.com/app/GMB253374/submission/IKN79803479/ICF247370-GMB253374-34cf36be6p0800000000/SIG-20250704_104917505e.jpeg", "SIG-20250704_104917505e.jpeg")</f>
        <v>SIG-20250704_104917505e.jpeg</v>
      </c>
      <c r="AV24" s="3" t="str">
        <f>HYPERLINK("https://www.google.com/maps/place/8.8917201%2C-12.0365678", "8.8917201,-12.0365678")</f>
        <v>8.8917201,-12.0365678</v>
      </c>
    </row>
    <row r="25" ht="15.75" customHeight="1">
      <c r="A25" s="1" t="s">
        <v>195</v>
      </c>
      <c r="B25" s="1" t="s">
        <v>167</v>
      </c>
      <c r="C25" s="1" t="s">
        <v>196</v>
      </c>
      <c r="D25" s="1" t="s">
        <v>196</v>
      </c>
      <c r="E25" s="1" t="s">
        <v>197</v>
      </c>
      <c r="F25" s="1" t="s">
        <v>64</v>
      </c>
      <c r="G25" s="1">
        <v>350.0</v>
      </c>
      <c r="H25" s="1" t="s">
        <v>50</v>
      </c>
      <c r="I25" s="1">
        <v>62.0</v>
      </c>
      <c r="J25" s="1">
        <v>30.0</v>
      </c>
      <c r="K25" s="1">
        <v>30.0</v>
      </c>
      <c r="L25" s="1">
        <v>32.0</v>
      </c>
      <c r="M25" s="1">
        <v>32.0</v>
      </c>
      <c r="N25" s="1" t="s">
        <v>51</v>
      </c>
      <c r="O25" s="1">
        <v>54.0</v>
      </c>
      <c r="P25" s="1">
        <v>31.0</v>
      </c>
      <c r="Q25" s="1">
        <v>30.0</v>
      </c>
      <c r="R25" s="1">
        <v>23.0</v>
      </c>
      <c r="S25" s="1">
        <v>20.0</v>
      </c>
      <c r="T25" s="1" t="s">
        <v>52</v>
      </c>
      <c r="U25" s="1">
        <v>49.0</v>
      </c>
      <c r="V25" s="1">
        <v>22.0</v>
      </c>
      <c r="W25" s="1">
        <v>19.0</v>
      </c>
      <c r="X25" s="1">
        <v>27.0</v>
      </c>
      <c r="Y25" s="1">
        <v>20.0</v>
      </c>
      <c r="Z25" s="1" t="s">
        <v>53</v>
      </c>
      <c r="AA25" s="1">
        <v>32.0</v>
      </c>
      <c r="AB25" s="1">
        <v>16.0</v>
      </c>
      <c r="AC25" s="1">
        <v>16.0</v>
      </c>
      <c r="AD25" s="1">
        <v>16.0</v>
      </c>
      <c r="AE25" s="1">
        <v>16.0</v>
      </c>
      <c r="AF25" s="1" t="s">
        <v>54</v>
      </c>
      <c r="AG25" s="1">
        <v>29.0</v>
      </c>
      <c r="AH25" s="1">
        <v>18.0</v>
      </c>
      <c r="AI25" s="1">
        <v>18.0</v>
      </c>
      <c r="AJ25" s="1">
        <v>11.0</v>
      </c>
      <c r="AK25" s="1">
        <v>11.0</v>
      </c>
      <c r="AL25" s="1">
        <v>212.0</v>
      </c>
      <c r="AM25" s="1" t="s">
        <v>55</v>
      </c>
      <c r="AN25" s="1">
        <v>138.0</v>
      </c>
      <c r="AO25" s="1">
        <v>138.0</v>
      </c>
      <c r="AP25" s="1" t="s">
        <v>198</v>
      </c>
      <c r="AQ25" s="3" t="str">
        <f>HYPERLINK("https://icf.clappia.com/app/GMB253374/submission/DGI00141557/ICF247370-GMB253374-57gnj706b6oa00000000/SIG-20250704_1047136i3i.jpeg", "SIG-20250704_1047136i3i.jpeg")</f>
        <v>SIG-20250704_1047136i3i.jpeg</v>
      </c>
      <c r="AR25" s="1" t="s">
        <v>199</v>
      </c>
      <c r="AS25" s="3" t="str">
        <f>HYPERLINK("https://icf.clappia.com/app/GMB253374/submission/DGI00141557/ICF247370-GMB253374-2ekm8an1mjek00000000/SIG-20250704_0703noh40.jpeg", "SIG-20250704_0703noh40.jpeg")</f>
        <v>SIG-20250704_0703noh40.jpeg</v>
      </c>
      <c r="AT25" s="1" t="s">
        <v>200</v>
      </c>
      <c r="AU25" s="3" t="str">
        <f>HYPERLINK("https://icf.clappia.com/app/GMB253374/submission/DGI00141557/ICF247370-GMB253374-5765mm25gk0g00000000/SIG-20250704_1047d5gj3.jpeg", "SIG-20250704_1047d5gj3.jpeg")</f>
        <v>SIG-20250704_1047d5gj3.jpeg</v>
      </c>
      <c r="AV25" s="3" t="str">
        <f>HYPERLINK("https://www.google.com/maps/place/7.7598833%2C-11.8112067", "7.7598833,-11.8112067")</f>
        <v>7.7598833,-11.8112067</v>
      </c>
    </row>
    <row r="26" ht="15.75" customHeight="1">
      <c r="A26" s="1" t="s">
        <v>201</v>
      </c>
      <c r="B26" s="1" t="s">
        <v>142</v>
      </c>
      <c r="C26" s="1" t="s">
        <v>202</v>
      </c>
      <c r="D26" s="1" t="s">
        <v>203</v>
      </c>
      <c r="E26" s="1" t="s">
        <v>204</v>
      </c>
      <c r="F26" s="1" t="s">
        <v>64</v>
      </c>
      <c r="G26" s="1">
        <v>102.0</v>
      </c>
      <c r="H26" s="1" t="s">
        <v>50</v>
      </c>
      <c r="I26" s="1">
        <v>56.0</v>
      </c>
      <c r="J26" s="1">
        <v>30.0</v>
      </c>
      <c r="K26" s="1">
        <v>30.0</v>
      </c>
      <c r="L26" s="1">
        <v>26.0</v>
      </c>
      <c r="M26" s="1">
        <v>26.0</v>
      </c>
      <c r="N26" s="1" t="s">
        <v>51</v>
      </c>
      <c r="O26" s="1">
        <v>24.0</v>
      </c>
      <c r="P26" s="1">
        <v>13.0</v>
      </c>
      <c r="Q26" s="1">
        <v>13.0</v>
      </c>
      <c r="R26" s="1">
        <v>11.0</v>
      </c>
      <c r="S26" s="1">
        <v>11.0</v>
      </c>
      <c r="T26" s="1" t="s">
        <v>52</v>
      </c>
      <c r="U26" s="1">
        <v>9.0</v>
      </c>
      <c r="V26" s="1">
        <v>5.0</v>
      </c>
      <c r="W26" s="1">
        <v>5.0</v>
      </c>
      <c r="X26" s="1">
        <v>4.0</v>
      </c>
      <c r="Y26" s="1">
        <v>4.0</v>
      </c>
      <c r="Z26" s="1" t="s">
        <v>53</v>
      </c>
      <c r="AA26" s="1">
        <v>9.0</v>
      </c>
      <c r="AB26" s="1">
        <v>5.0</v>
      </c>
      <c r="AC26" s="1">
        <v>5.0</v>
      </c>
      <c r="AD26" s="1">
        <v>4.0</v>
      </c>
      <c r="AE26" s="1">
        <v>4.0</v>
      </c>
      <c r="AF26" s="1" t="s">
        <v>54</v>
      </c>
      <c r="AG26" s="1">
        <v>4.0</v>
      </c>
      <c r="AH26" s="1">
        <v>2.0</v>
      </c>
      <c r="AI26" s="1">
        <v>2.0</v>
      </c>
      <c r="AJ26" s="1">
        <v>2.0</v>
      </c>
      <c r="AK26" s="1">
        <v>2.0</v>
      </c>
      <c r="AL26" s="1">
        <v>102.0</v>
      </c>
      <c r="AM26" s="1" t="s">
        <v>55</v>
      </c>
      <c r="AN26" s="1" t="s">
        <v>55</v>
      </c>
      <c r="AO26" s="1" t="s">
        <v>55</v>
      </c>
      <c r="AP26" s="1" t="s">
        <v>205</v>
      </c>
      <c r="AQ26" s="3" t="str">
        <f>HYPERLINK("https://icf.clappia.com/app/GMB253374/submission/FSK62212402/ICF247370-GMB253374-51770g81g95600000000/SIG-20250704_1037lhg7l.jpeg", "SIG-20250704_1037lhg7l.jpeg")</f>
        <v>SIG-20250704_1037lhg7l.jpeg</v>
      </c>
      <c r="AR26" s="1" t="s">
        <v>206</v>
      </c>
      <c r="AS26" s="3" t="str">
        <f>HYPERLINK("https://icf.clappia.com/app/GMB253374/submission/FSK62212402/ICF247370-GMB253374-46ool8a2bpfg00000000/SIG-20250704_1039118p9i.jpeg", "SIG-20250704_1039118p9i.jpeg")</f>
        <v>SIG-20250704_1039118p9i.jpeg</v>
      </c>
      <c r="AT26" s="1" t="s">
        <v>207</v>
      </c>
      <c r="AU26" s="3" t="str">
        <f>HYPERLINK("https://icf.clappia.com/app/GMB253374/submission/FSK62212402/ICF247370-GMB253374-5ccning7ogmc00000000/SIG-20250704_104018i8h3.jpeg", "SIG-20250704_104018i8h3.jpeg")</f>
        <v>SIG-20250704_104018i8h3.jpeg</v>
      </c>
      <c r="AV26" s="3" t="str">
        <f>HYPERLINK("https://www.google.com/maps/place/7.8731167%2C-12.1275333", "7.8731167,-12.1275333")</f>
        <v>7.8731167,-12.1275333</v>
      </c>
    </row>
    <row r="27" ht="15.75" customHeight="1">
      <c r="A27" s="1" t="s">
        <v>208</v>
      </c>
      <c r="B27" s="1" t="s">
        <v>81</v>
      </c>
      <c r="C27" s="1" t="s">
        <v>209</v>
      </c>
      <c r="D27" s="1" t="s">
        <v>209</v>
      </c>
      <c r="E27" s="1" t="s">
        <v>210</v>
      </c>
      <c r="F27" s="1" t="s">
        <v>64</v>
      </c>
      <c r="G27" s="1">
        <v>50.0</v>
      </c>
      <c r="H27" s="1" t="s">
        <v>50</v>
      </c>
      <c r="I27" s="1">
        <v>19.0</v>
      </c>
      <c r="J27" s="1">
        <v>11.0</v>
      </c>
      <c r="K27" s="1">
        <v>11.0</v>
      </c>
      <c r="L27" s="1">
        <v>8.0</v>
      </c>
      <c r="M27" s="1">
        <v>8.0</v>
      </c>
      <c r="N27" s="1" t="s">
        <v>51</v>
      </c>
      <c r="O27" s="1">
        <v>12.0</v>
      </c>
      <c r="P27" s="1">
        <v>6.0</v>
      </c>
      <c r="Q27" s="1">
        <v>6.0</v>
      </c>
      <c r="R27" s="1">
        <v>6.0</v>
      </c>
      <c r="S27" s="1">
        <v>6.0</v>
      </c>
      <c r="T27" s="1" t="s">
        <v>52</v>
      </c>
      <c r="U27" s="1">
        <v>10.0</v>
      </c>
      <c r="V27" s="1">
        <v>5.0</v>
      </c>
      <c r="W27" s="1">
        <v>5.0</v>
      </c>
      <c r="X27" s="1">
        <v>5.0</v>
      </c>
      <c r="Y27" s="1">
        <v>5.0</v>
      </c>
      <c r="Z27" s="1" t="s">
        <v>53</v>
      </c>
      <c r="AA27" s="1">
        <v>9.0</v>
      </c>
      <c r="AB27" s="1">
        <v>4.0</v>
      </c>
      <c r="AC27" s="1">
        <v>4.0</v>
      </c>
      <c r="AD27" s="1">
        <v>5.0</v>
      </c>
      <c r="AE27" s="1">
        <v>5.0</v>
      </c>
      <c r="AF27" s="1" t="s">
        <v>54</v>
      </c>
      <c r="AG27" s="1" t="s">
        <v>55</v>
      </c>
      <c r="AH27" s="1" t="s">
        <v>55</v>
      </c>
      <c r="AI27" s="1" t="s">
        <v>55</v>
      </c>
      <c r="AJ27" s="1" t="s">
        <v>55</v>
      </c>
      <c r="AK27" s="1" t="s">
        <v>55</v>
      </c>
      <c r="AL27" s="1">
        <v>50.0</v>
      </c>
      <c r="AM27" s="1" t="s">
        <v>55</v>
      </c>
      <c r="AN27" s="1" t="s">
        <v>55</v>
      </c>
      <c r="AO27" s="1" t="s">
        <v>55</v>
      </c>
      <c r="AP27" s="1" t="s">
        <v>211</v>
      </c>
      <c r="AQ27" s="3" t="str">
        <f>HYPERLINK("https://icf.clappia.com/app/GMB253374/submission/RWW15365735/ICF247370-GMB253374-4nkghibk3pmm00000000/SIG-20250704_1034k8oi6.jpeg", "SIG-20250704_1034k8oi6.jpeg")</f>
        <v>SIG-20250704_1034k8oi6.jpeg</v>
      </c>
      <c r="AR27" s="1" t="s">
        <v>212</v>
      </c>
      <c r="AS27" s="3" t="str">
        <f>HYPERLINK("https://icf.clappia.com/app/GMB253374/submission/RWW15365735/ICF247370-GMB253374-3oa48de19e1400000000/SIG-20250704_10351ah805.jpeg", "SIG-20250704_10351ah805.jpeg")</f>
        <v>SIG-20250704_10351ah805.jpeg</v>
      </c>
      <c r="AT27" s="1" t="s">
        <v>213</v>
      </c>
      <c r="AU27" s="3" t="str">
        <f>HYPERLINK("https://icf.clappia.com/app/GMB253374/submission/RWW15365735/ICF247370-GMB253374-5gpgbcp2oli000000000/SIG-20250704_1035aje03.jpeg", "SIG-20250704_1035aje03.jpeg")</f>
        <v>SIG-20250704_1035aje03.jpeg</v>
      </c>
      <c r="AV27" s="3" t="str">
        <f>HYPERLINK("https://www.google.com/maps/place/7.8750488%2C-11.7080748", "7.8750488,-11.7080748")</f>
        <v>7.8750488,-11.7080748</v>
      </c>
    </row>
    <row r="28" ht="15.75" customHeight="1">
      <c r="A28" s="1" t="s">
        <v>214</v>
      </c>
      <c r="B28" s="1" t="s">
        <v>215</v>
      </c>
      <c r="C28" s="1" t="s">
        <v>209</v>
      </c>
      <c r="D28" s="1" t="s">
        <v>209</v>
      </c>
      <c r="E28" s="1" t="s">
        <v>216</v>
      </c>
      <c r="F28" s="1" t="s">
        <v>64</v>
      </c>
      <c r="G28" s="1">
        <v>372.0</v>
      </c>
      <c r="H28" s="1" t="s">
        <v>50</v>
      </c>
      <c r="I28" s="1">
        <v>77.0</v>
      </c>
      <c r="J28" s="1">
        <v>47.0</v>
      </c>
      <c r="K28" s="1">
        <v>44.0</v>
      </c>
      <c r="L28" s="1">
        <v>30.0</v>
      </c>
      <c r="M28" s="1">
        <v>30.0</v>
      </c>
      <c r="N28" s="1" t="s">
        <v>51</v>
      </c>
      <c r="O28" s="1">
        <v>75.0</v>
      </c>
      <c r="P28" s="1">
        <v>30.0</v>
      </c>
      <c r="Q28" s="1">
        <v>28.0</v>
      </c>
      <c r="R28" s="1">
        <v>45.0</v>
      </c>
      <c r="S28" s="1">
        <v>44.0</v>
      </c>
      <c r="T28" s="1" t="s">
        <v>52</v>
      </c>
      <c r="U28" s="1">
        <v>59.0</v>
      </c>
      <c r="V28" s="1">
        <v>29.0</v>
      </c>
      <c r="W28" s="1">
        <v>28.0</v>
      </c>
      <c r="X28" s="1">
        <v>30.0</v>
      </c>
      <c r="Y28" s="1">
        <v>30.0</v>
      </c>
      <c r="Z28" s="1" t="s">
        <v>53</v>
      </c>
      <c r="AA28" s="1">
        <v>65.0</v>
      </c>
      <c r="AB28" s="1">
        <v>25.0</v>
      </c>
      <c r="AC28" s="1">
        <v>24.0</v>
      </c>
      <c r="AD28" s="1">
        <v>40.0</v>
      </c>
      <c r="AE28" s="1">
        <v>38.0</v>
      </c>
      <c r="AF28" s="1" t="s">
        <v>54</v>
      </c>
      <c r="AG28" s="1">
        <v>59.0</v>
      </c>
      <c r="AH28" s="1">
        <v>29.0</v>
      </c>
      <c r="AI28" s="1">
        <v>28.0</v>
      </c>
      <c r="AJ28" s="1">
        <v>30.0</v>
      </c>
      <c r="AK28" s="1">
        <v>29.0</v>
      </c>
      <c r="AL28" s="1">
        <v>323.0</v>
      </c>
      <c r="AM28" s="1" t="s">
        <v>55</v>
      </c>
      <c r="AN28" s="1">
        <v>49.0</v>
      </c>
      <c r="AO28" s="1">
        <v>49.0</v>
      </c>
      <c r="AP28" s="1" t="s">
        <v>217</v>
      </c>
      <c r="AQ28" s="3" t="str">
        <f>HYPERLINK("https://icf.clappia.com/app/GMB253374/submission/NMZ49261266/ICF247370-GMB253374-1meo239cepj7m0000000/SIG-20250701_1541hbbg8.jpeg", "SIG-20250701_1541hbbg8.jpeg")</f>
        <v>SIG-20250701_1541hbbg8.jpeg</v>
      </c>
      <c r="AR28" s="1" t="s">
        <v>218</v>
      </c>
      <c r="AS28" s="3" t="str">
        <f>HYPERLINK("https://icf.clappia.com/app/GMB253374/submission/NMZ49261266/ICF247370-GMB253374-1g7e51ikhilnm0000000/SIG-20250701_1541fb63c.jpeg", "SIG-20250701_1541fb63c.jpeg")</f>
        <v>SIG-20250701_1541fb63c.jpeg</v>
      </c>
      <c r="AT28" s="1" t="s">
        <v>219</v>
      </c>
      <c r="AU28" s="3" t="str">
        <f>HYPERLINK("https://icf.clappia.com/app/GMB253374/submission/NMZ49261266/ICF247370-GMB253374-1f9j639bfee080000000/SIG-20250701_154110ai26.jpeg", "SIG-20250701_154110ai26.jpeg")</f>
        <v>SIG-20250701_154110ai26.jpeg</v>
      </c>
      <c r="AV28" s="3" t="str">
        <f>HYPERLINK("https://www.google.com/maps/place/8.70287%2C-12.14166", "8.70287,-12.14166")</f>
        <v>8.70287,-12.14166</v>
      </c>
    </row>
    <row r="29" ht="15.75" customHeight="1">
      <c r="A29" s="1" t="s">
        <v>220</v>
      </c>
      <c r="B29" s="1" t="s">
        <v>102</v>
      </c>
      <c r="C29" s="1" t="s">
        <v>221</v>
      </c>
      <c r="D29" s="1" t="s">
        <v>221</v>
      </c>
      <c r="E29" s="1" t="s">
        <v>222</v>
      </c>
      <c r="F29" s="1" t="s">
        <v>64</v>
      </c>
      <c r="G29" s="1">
        <v>100.0</v>
      </c>
      <c r="H29" s="1" t="s">
        <v>50</v>
      </c>
      <c r="I29" s="1">
        <v>60.0</v>
      </c>
      <c r="J29" s="1">
        <v>12.0</v>
      </c>
      <c r="K29" s="1">
        <v>12.0</v>
      </c>
      <c r="L29" s="1">
        <v>10.0</v>
      </c>
      <c r="M29" s="1">
        <v>10.0</v>
      </c>
      <c r="N29" s="1" t="s">
        <v>51</v>
      </c>
      <c r="O29" s="1">
        <v>15.0</v>
      </c>
      <c r="P29" s="1">
        <v>8.0</v>
      </c>
      <c r="Q29" s="1">
        <v>8.0</v>
      </c>
      <c r="R29" s="1">
        <v>7.0</v>
      </c>
      <c r="S29" s="1">
        <v>7.0</v>
      </c>
      <c r="T29" s="1" t="s">
        <v>52</v>
      </c>
      <c r="U29" s="1">
        <v>12.0</v>
      </c>
      <c r="V29" s="1">
        <v>6.0</v>
      </c>
      <c r="W29" s="1">
        <v>6.0</v>
      </c>
      <c r="X29" s="1">
        <v>6.0</v>
      </c>
      <c r="Y29" s="1">
        <v>6.0</v>
      </c>
      <c r="Z29" s="1" t="s">
        <v>53</v>
      </c>
      <c r="AA29" s="1">
        <v>11.0</v>
      </c>
      <c r="AB29" s="1">
        <v>6.0</v>
      </c>
      <c r="AC29" s="1">
        <v>6.0</v>
      </c>
      <c r="AD29" s="1">
        <v>5.0</v>
      </c>
      <c r="AE29" s="1">
        <v>5.0</v>
      </c>
      <c r="AF29" s="1" t="s">
        <v>54</v>
      </c>
      <c r="AG29" s="1" t="s">
        <v>55</v>
      </c>
      <c r="AH29" s="1" t="s">
        <v>55</v>
      </c>
      <c r="AI29" s="1" t="s">
        <v>55</v>
      </c>
      <c r="AJ29" s="1" t="s">
        <v>55</v>
      </c>
      <c r="AK29" s="1" t="s">
        <v>55</v>
      </c>
      <c r="AL29" s="1">
        <v>60.0</v>
      </c>
      <c r="AM29" s="1" t="s">
        <v>55</v>
      </c>
      <c r="AN29" s="1">
        <v>40.0</v>
      </c>
      <c r="AO29" s="1">
        <v>40.0</v>
      </c>
      <c r="AP29" s="1" t="s">
        <v>223</v>
      </c>
      <c r="AQ29" s="3" t="str">
        <f>HYPERLINK("https://icf.clappia.com/app/GMB253374/submission/NCN03903349/ICF247370-GMB253374-2e05kc75jiao00000000/SIG-20250704_103123f6.jpeg", "SIG-20250704_103123f6.jpeg")</f>
        <v>SIG-20250704_103123f6.jpeg</v>
      </c>
      <c r="AR29" s="1" t="s">
        <v>224</v>
      </c>
      <c r="AS29" s="3" t="str">
        <f>HYPERLINK("https://icf.clappia.com/app/GMB253374/submission/NCN03903349/ICF247370-GMB253374-4io745namhb400000000/SIG-20250704_103243383.jpeg", "SIG-20250704_103243383.jpeg")</f>
        <v>SIG-20250704_103243383.jpeg</v>
      </c>
      <c r="AT29" s="1" t="s">
        <v>225</v>
      </c>
      <c r="AU29" s="3" t="str">
        <f>HYPERLINK("https://icf.clappia.com/app/GMB253374/submission/NCN03903349/ICF247370-GMB253374-5fk91hhoec8600000000/SIG-20250704_1032alma5.jpeg", "SIG-20250704_1032alma5.jpeg")</f>
        <v>SIG-20250704_1032alma5.jpeg</v>
      </c>
      <c r="AV29" s="3" t="str">
        <f>HYPERLINK("https://www.google.com/maps/place/9.15716%2C-11.9615117", "9.15716,-11.9615117")</f>
        <v>9.15716,-11.9615117</v>
      </c>
    </row>
    <row r="30" ht="15.75" customHeight="1">
      <c r="A30" s="1" t="s">
        <v>226</v>
      </c>
      <c r="B30" s="1" t="s">
        <v>81</v>
      </c>
      <c r="C30" s="1" t="s">
        <v>227</v>
      </c>
      <c r="D30" s="1" t="s">
        <v>227</v>
      </c>
      <c r="E30" s="1" t="s">
        <v>228</v>
      </c>
      <c r="F30" s="1" t="s">
        <v>64</v>
      </c>
      <c r="G30" s="1">
        <v>450.0</v>
      </c>
      <c r="H30" s="1" t="s">
        <v>50</v>
      </c>
      <c r="I30" s="1">
        <v>76.0</v>
      </c>
      <c r="J30" s="1">
        <v>76.0</v>
      </c>
      <c r="K30" s="1">
        <v>22.0</v>
      </c>
      <c r="L30" s="1" t="s">
        <v>55</v>
      </c>
      <c r="M30" s="1" t="s">
        <v>55</v>
      </c>
      <c r="N30" s="1" t="s">
        <v>51</v>
      </c>
      <c r="O30" s="1">
        <v>81.0</v>
      </c>
      <c r="P30" s="1">
        <v>81.0</v>
      </c>
      <c r="Q30" s="1">
        <v>33.0</v>
      </c>
      <c r="R30" s="1" t="s">
        <v>55</v>
      </c>
      <c r="S30" s="1" t="s">
        <v>55</v>
      </c>
      <c r="T30" s="1" t="s">
        <v>52</v>
      </c>
      <c r="U30" s="1">
        <v>100.0</v>
      </c>
      <c r="V30" s="1">
        <v>100.0</v>
      </c>
      <c r="W30" s="1">
        <v>37.0</v>
      </c>
      <c r="X30" s="1" t="s">
        <v>55</v>
      </c>
      <c r="Y30" s="1" t="s">
        <v>55</v>
      </c>
      <c r="Z30" s="1" t="s">
        <v>53</v>
      </c>
      <c r="AA30" s="1">
        <v>99.0</v>
      </c>
      <c r="AB30" s="1">
        <v>99.0</v>
      </c>
      <c r="AC30" s="1">
        <v>40.0</v>
      </c>
      <c r="AD30" s="1" t="s">
        <v>55</v>
      </c>
      <c r="AE30" s="1" t="s">
        <v>55</v>
      </c>
      <c r="AF30" s="1" t="s">
        <v>54</v>
      </c>
      <c r="AG30" s="1">
        <v>94.0</v>
      </c>
      <c r="AH30" s="1">
        <v>94.0</v>
      </c>
      <c r="AI30" s="1">
        <v>53.0</v>
      </c>
      <c r="AJ30" s="1" t="s">
        <v>55</v>
      </c>
      <c r="AK30" s="1" t="s">
        <v>55</v>
      </c>
      <c r="AL30" s="1">
        <v>185.0</v>
      </c>
      <c r="AM30" s="1" t="s">
        <v>55</v>
      </c>
      <c r="AN30" s="1">
        <v>265.0</v>
      </c>
      <c r="AO30" s="1">
        <v>265.0</v>
      </c>
      <c r="AP30" s="1" t="s">
        <v>90</v>
      </c>
      <c r="AQ30" s="3" t="str">
        <f>HYPERLINK("https://icf.clappia.com/app/GMB253374/submission/EBN80965165/ICF247370-GMB253374-52eg4g32m94k00000000/SIG-20250704_10274eihl.jpeg", "SIG-20250704_10274eihl.jpeg")</f>
        <v>SIG-20250704_10274eihl.jpeg</v>
      </c>
      <c r="AR30" s="1" t="s">
        <v>91</v>
      </c>
      <c r="AS30" s="3" t="str">
        <f>HYPERLINK("https://icf.clappia.com/app/GMB253374/submission/EBN80965165/ICF247370-GMB253374-3cdj4jb6f7ag00000000/SIG-20250704_102411ll0e.jpeg", "SIG-20250704_102411ll0e.jpeg")</f>
        <v>SIG-20250704_102411ll0e.jpeg</v>
      </c>
      <c r="AT30" s="1" t="s">
        <v>92</v>
      </c>
      <c r="AU30" s="3" t="str">
        <f>HYPERLINK("https://icf.clappia.com/app/GMB253374/submission/EBN80965165/ICF247370-GMB253374-48j5ej4g97c800000000/SIG-20250704_10261081bp.jpeg", "SIG-20250704_10261081bp.jpeg")</f>
        <v>SIG-20250704_10261081bp.jpeg</v>
      </c>
      <c r="AV30" s="3" t="str">
        <f>HYPERLINK("https://www.google.com/maps/place/7.9654263%2C-11.7393928", "7.9654263,-11.7393928")</f>
        <v>7.9654263,-11.7393928</v>
      </c>
    </row>
    <row r="31" ht="15.75" customHeight="1">
      <c r="A31" s="1" t="s">
        <v>229</v>
      </c>
      <c r="B31" s="1" t="s">
        <v>81</v>
      </c>
      <c r="C31" s="1" t="s">
        <v>230</v>
      </c>
      <c r="D31" s="1" t="s">
        <v>230</v>
      </c>
      <c r="E31" s="1" t="s">
        <v>231</v>
      </c>
      <c r="F31" s="1" t="s">
        <v>64</v>
      </c>
      <c r="G31" s="1">
        <v>300.0</v>
      </c>
      <c r="H31" s="1" t="s">
        <v>50</v>
      </c>
      <c r="I31" s="1">
        <v>50.0</v>
      </c>
      <c r="J31" s="1">
        <v>20.0</v>
      </c>
      <c r="K31" s="1">
        <v>20.0</v>
      </c>
      <c r="L31" s="1">
        <v>30.0</v>
      </c>
      <c r="M31" s="1">
        <v>30.0</v>
      </c>
      <c r="N31" s="1" t="s">
        <v>51</v>
      </c>
      <c r="O31" s="1">
        <v>55.0</v>
      </c>
      <c r="P31" s="1">
        <v>20.0</v>
      </c>
      <c r="Q31" s="1">
        <v>20.0</v>
      </c>
      <c r="R31" s="1">
        <v>35.0</v>
      </c>
      <c r="S31" s="1">
        <v>35.0</v>
      </c>
      <c r="T31" s="1" t="s">
        <v>52</v>
      </c>
      <c r="U31" s="1">
        <v>80.0</v>
      </c>
      <c r="V31" s="1">
        <v>40.0</v>
      </c>
      <c r="W31" s="1">
        <v>40.0</v>
      </c>
      <c r="X31" s="1">
        <v>40.0</v>
      </c>
      <c r="Y31" s="1">
        <v>40.0</v>
      </c>
      <c r="Z31" s="1" t="s">
        <v>53</v>
      </c>
      <c r="AA31" s="1">
        <v>55.0</v>
      </c>
      <c r="AB31" s="1">
        <v>25.0</v>
      </c>
      <c r="AC31" s="1">
        <v>25.0</v>
      </c>
      <c r="AD31" s="1">
        <v>30.0</v>
      </c>
      <c r="AE31" s="1">
        <v>30.0</v>
      </c>
      <c r="AF31" s="1" t="s">
        <v>54</v>
      </c>
      <c r="AG31" s="1">
        <v>50.0</v>
      </c>
      <c r="AH31" s="1">
        <v>20.0</v>
      </c>
      <c r="AI31" s="1">
        <v>20.0</v>
      </c>
      <c r="AJ31" s="1">
        <v>30.0</v>
      </c>
      <c r="AK31" s="1">
        <v>30.0</v>
      </c>
      <c r="AL31" s="1">
        <v>290.0</v>
      </c>
      <c r="AM31" s="1">
        <v>10.0</v>
      </c>
      <c r="AN31" s="1" t="s">
        <v>55</v>
      </c>
      <c r="AO31" s="1" t="s">
        <v>55</v>
      </c>
      <c r="AP31" s="1" t="s">
        <v>232</v>
      </c>
      <c r="AQ31" s="3" t="str">
        <f>HYPERLINK("https://icf.clappia.com/app/GMB253374/submission/CJR37600992/ICF247370-GMB253374-67aa9pem5pe000000000/SIG-20250704_1016p19mp.jpeg", "SIG-20250704_1016p19mp.jpeg")</f>
        <v>SIG-20250704_1016p19mp.jpeg</v>
      </c>
      <c r="AR31" s="1" t="s">
        <v>233</v>
      </c>
      <c r="AS31" s="3" t="str">
        <f>HYPERLINK("https://icf.clappia.com/app/GMB253374/submission/CJR37600992/ICF247370-GMB253374-4pg7b32gmbok00000000/SIG-20250704_101619ajm2.jpeg", "SIG-20250704_101619ajm2.jpeg")</f>
        <v>SIG-20250704_101619ajm2.jpeg</v>
      </c>
      <c r="AT31" s="1" t="s">
        <v>234</v>
      </c>
      <c r="AU31" s="3" t="str">
        <f>HYPERLINK("https://icf.clappia.com/app/GMB253374/submission/CJR37600992/ICF247370-GMB253374-2cfha0aolnn800000000/SIG-20250704_1017aj00a.jpeg", "SIG-20250704_1017aj00a.jpeg")</f>
        <v>SIG-20250704_1017aj00a.jpeg</v>
      </c>
      <c r="AV31" s="3" t="str">
        <f>HYPERLINK("https://www.google.com/maps/place/7.9704017%2C-11.7681633", "7.9704017,-11.7681633")</f>
        <v>7.9704017,-11.7681633</v>
      </c>
    </row>
    <row r="32" ht="15.75" customHeight="1">
      <c r="A32" s="1" t="s">
        <v>235</v>
      </c>
      <c r="B32" s="1" t="s">
        <v>215</v>
      </c>
      <c r="C32" s="1" t="s">
        <v>230</v>
      </c>
      <c r="D32" s="1" t="s">
        <v>230</v>
      </c>
      <c r="E32" s="1" t="s">
        <v>236</v>
      </c>
      <c r="F32" s="1" t="s">
        <v>64</v>
      </c>
      <c r="G32" s="1">
        <v>300.0</v>
      </c>
      <c r="H32" s="1" t="s">
        <v>50</v>
      </c>
      <c r="I32" s="1">
        <v>80.0</v>
      </c>
      <c r="J32" s="1">
        <v>34.0</v>
      </c>
      <c r="K32" s="1">
        <v>34.0</v>
      </c>
      <c r="L32" s="1">
        <v>46.0</v>
      </c>
      <c r="M32" s="1">
        <v>44.0</v>
      </c>
      <c r="N32" s="1" t="s">
        <v>51</v>
      </c>
      <c r="O32" s="1">
        <v>60.0</v>
      </c>
      <c r="P32" s="1">
        <v>27.0</v>
      </c>
      <c r="Q32" s="1">
        <v>26.0</v>
      </c>
      <c r="R32" s="1">
        <v>33.0</v>
      </c>
      <c r="S32" s="1">
        <v>30.0</v>
      </c>
      <c r="T32" s="1" t="s">
        <v>52</v>
      </c>
      <c r="U32" s="1">
        <v>45.0</v>
      </c>
      <c r="V32" s="1">
        <v>20.0</v>
      </c>
      <c r="W32" s="1">
        <v>20.0</v>
      </c>
      <c r="X32" s="1">
        <v>25.0</v>
      </c>
      <c r="Y32" s="1">
        <v>24.0</v>
      </c>
      <c r="Z32" s="1" t="s">
        <v>53</v>
      </c>
      <c r="AA32" s="1">
        <v>47.0</v>
      </c>
      <c r="AB32" s="1">
        <v>24.0</v>
      </c>
      <c r="AC32" s="1">
        <v>24.0</v>
      </c>
      <c r="AD32" s="1">
        <v>23.0</v>
      </c>
      <c r="AE32" s="1">
        <v>23.0</v>
      </c>
      <c r="AF32" s="1" t="s">
        <v>54</v>
      </c>
      <c r="AG32" s="1">
        <v>35.0</v>
      </c>
      <c r="AH32" s="1">
        <v>15.0</v>
      </c>
      <c r="AI32" s="1">
        <v>15.0</v>
      </c>
      <c r="AJ32" s="1">
        <v>20.0</v>
      </c>
      <c r="AK32" s="1">
        <v>20.0</v>
      </c>
      <c r="AL32" s="1">
        <v>260.0</v>
      </c>
      <c r="AM32" s="1">
        <v>7.0</v>
      </c>
      <c r="AN32" s="1">
        <v>33.0</v>
      </c>
      <c r="AO32" s="1">
        <v>33.0</v>
      </c>
      <c r="AP32" s="1" t="s">
        <v>237</v>
      </c>
      <c r="AQ32" s="3" t="str">
        <f>HYPERLINK("https://icf.clappia.com/app/GMB253374/submission/MAL60214989/ICF247370-GMB253374-51pnklgaa63a00000000/SIG-20250704_10106j1hj.jpeg", "SIG-20250704_10106j1hj.jpeg")</f>
        <v>SIG-20250704_10106j1hj.jpeg</v>
      </c>
      <c r="AR32" s="1" t="s">
        <v>238</v>
      </c>
      <c r="AS32" s="3" t="str">
        <f>HYPERLINK("https://icf.clappia.com/app/GMB253374/submission/MAL60214989/ICF247370-GMB253374-1icmm4leh5li00000000/SIG-20250704_10141718d7.jpeg", "SIG-20250704_10141718d7.jpeg")</f>
        <v>SIG-20250704_10141718d7.jpeg</v>
      </c>
      <c r="AT32" s="1" t="s">
        <v>239</v>
      </c>
      <c r="AU32" s="3" t="str">
        <f>HYPERLINK("https://icf.clappia.com/app/GMB253374/submission/MAL60214989/ICF247370-GMB253374-523p3893gnle00000000/SIG-20250704_1011b75i8.jpeg", "SIG-20250704_1011b75i8.jpeg")</f>
        <v>SIG-20250704_1011b75i8.jpeg</v>
      </c>
      <c r="AV32" s="3" t="str">
        <f>HYPERLINK("https://www.google.com/maps/place/8.678725%2C-12.2411483", "8.678725,-12.2411483")</f>
        <v>8.678725,-12.2411483</v>
      </c>
    </row>
    <row r="33" ht="15.75" customHeight="1">
      <c r="A33" s="1" t="s">
        <v>240</v>
      </c>
      <c r="B33" s="1" t="s">
        <v>81</v>
      </c>
      <c r="C33" s="1" t="s">
        <v>241</v>
      </c>
      <c r="D33" s="1" t="s">
        <v>242</v>
      </c>
      <c r="E33" s="1" t="s">
        <v>243</v>
      </c>
      <c r="F33" s="1" t="s">
        <v>64</v>
      </c>
      <c r="G33" s="1">
        <v>393.0</v>
      </c>
      <c r="H33" s="1" t="s">
        <v>50</v>
      </c>
      <c r="I33" s="1">
        <v>77.0</v>
      </c>
      <c r="J33" s="1">
        <v>42.0</v>
      </c>
      <c r="K33" s="1">
        <v>38.0</v>
      </c>
      <c r="L33" s="1">
        <v>35.0</v>
      </c>
      <c r="M33" s="1">
        <v>30.0</v>
      </c>
      <c r="N33" s="1" t="s">
        <v>51</v>
      </c>
      <c r="O33" s="1">
        <v>58.0</v>
      </c>
      <c r="P33" s="1">
        <v>23.0</v>
      </c>
      <c r="Q33" s="1">
        <v>17.0</v>
      </c>
      <c r="R33" s="1">
        <v>35.0</v>
      </c>
      <c r="S33" s="1">
        <v>24.0</v>
      </c>
      <c r="T33" s="1" t="s">
        <v>52</v>
      </c>
      <c r="U33" s="1">
        <v>75.0</v>
      </c>
      <c r="V33" s="1">
        <v>37.0</v>
      </c>
      <c r="W33" s="1">
        <v>34.0</v>
      </c>
      <c r="X33" s="1">
        <v>38.0</v>
      </c>
      <c r="Y33" s="1">
        <v>36.0</v>
      </c>
      <c r="Z33" s="1" t="s">
        <v>53</v>
      </c>
      <c r="AA33" s="1">
        <v>68.0</v>
      </c>
      <c r="AB33" s="1">
        <v>29.0</v>
      </c>
      <c r="AC33" s="1">
        <v>28.0</v>
      </c>
      <c r="AD33" s="1">
        <v>39.0</v>
      </c>
      <c r="AE33" s="1">
        <v>39.0</v>
      </c>
      <c r="AF33" s="1" t="s">
        <v>54</v>
      </c>
      <c r="AG33" s="1">
        <v>59.0</v>
      </c>
      <c r="AH33" s="1">
        <v>28.0</v>
      </c>
      <c r="AI33" s="1">
        <v>28.0</v>
      </c>
      <c r="AJ33" s="1">
        <v>31.0</v>
      </c>
      <c r="AK33" s="1">
        <v>31.0</v>
      </c>
      <c r="AL33" s="1">
        <v>305.0</v>
      </c>
      <c r="AM33" s="1">
        <v>10.0</v>
      </c>
      <c r="AN33" s="1">
        <v>78.0</v>
      </c>
      <c r="AO33" s="1">
        <v>45.0</v>
      </c>
      <c r="AP33" s="1" t="s">
        <v>244</v>
      </c>
      <c r="AQ33" s="3" t="str">
        <f>HYPERLINK("https://icf.clappia.com/app/GMB253374/submission/YYQ62498498/ICF247370-GMB253374-mnmo6ilm0a560000000/SIG-20250702_1115ed4h.jpeg", "SIG-20250702_1115ed4h.jpeg")</f>
        <v>SIG-20250702_1115ed4h.jpeg</v>
      </c>
      <c r="AR33" s="1" t="s">
        <v>245</v>
      </c>
      <c r="AS33" s="3" t="str">
        <f>HYPERLINK("https://icf.clappia.com/app/GMB253374/submission/YYQ62498498/ICF247370-GMB253374-3528ie4ccoje00000000/SIG-20250702_111513h2a5.jpeg", "SIG-20250702_111513h2a5.jpeg")</f>
        <v>SIG-20250702_111513h2a5.jpeg</v>
      </c>
      <c r="AT33" s="1" t="s">
        <v>246</v>
      </c>
      <c r="AU33" s="3" t="str">
        <f>HYPERLINK("https://icf.clappia.com/app/GMB253374/submission/YYQ62498498/ICF247370-GMB253374-1976no1bip07i0000000/SIG-20250702_1116emhno.jpeg", "SIG-20250702_1116emhno.jpeg")</f>
        <v>SIG-20250702_1116emhno.jpeg</v>
      </c>
      <c r="AV33" s="3" t="str">
        <f>HYPERLINK("https://www.google.com/maps/place/7.94392%2C-11.7546767", "7.94392,-11.7546767")</f>
        <v>7.94392,-11.7546767</v>
      </c>
    </row>
    <row r="34" ht="15.75" customHeight="1">
      <c r="A34" s="1" t="s">
        <v>247</v>
      </c>
      <c r="B34" s="1" t="s">
        <v>248</v>
      </c>
      <c r="C34" s="1" t="s">
        <v>249</v>
      </c>
      <c r="D34" s="1" t="s">
        <v>249</v>
      </c>
      <c r="E34" s="1" t="s">
        <v>250</v>
      </c>
      <c r="F34" s="1" t="s">
        <v>64</v>
      </c>
      <c r="G34" s="1">
        <v>175.0</v>
      </c>
      <c r="H34" s="1" t="s">
        <v>50</v>
      </c>
      <c r="I34" s="1">
        <v>60.0</v>
      </c>
      <c r="J34" s="1">
        <v>30.0</v>
      </c>
      <c r="K34" s="1">
        <v>30.0</v>
      </c>
      <c r="L34" s="1">
        <v>30.0</v>
      </c>
      <c r="M34" s="1">
        <v>30.0</v>
      </c>
      <c r="N34" s="1" t="s">
        <v>51</v>
      </c>
      <c r="O34" s="1">
        <v>32.0</v>
      </c>
      <c r="P34" s="1">
        <v>15.0</v>
      </c>
      <c r="Q34" s="1">
        <v>15.0</v>
      </c>
      <c r="R34" s="1">
        <v>17.0</v>
      </c>
      <c r="S34" s="1">
        <v>17.0</v>
      </c>
      <c r="T34" s="1" t="s">
        <v>52</v>
      </c>
      <c r="U34" s="1">
        <v>30.0</v>
      </c>
      <c r="V34" s="1">
        <v>15.0</v>
      </c>
      <c r="W34" s="1">
        <v>15.0</v>
      </c>
      <c r="X34" s="1">
        <v>15.0</v>
      </c>
      <c r="Y34" s="1">
        <v>15.0</v>
      </c>
      <c r="Z34" s="1" t="s">
        <v>53</v>
      </c>
      <c r="AA34" s="1">
        <v>26.0</v>
      </c>
      <c r="AB34" s="1">
        <v>16.0</v>
      </c>
      <c r="AC34" s="1">
        <v>16.0</v>
      </c>
      <c r="AD34" s="1">
        <v>10.0</v>
      </c>
      <c r="AE34" s="1">
        <v>10.0</v>
      </c>
      <c r="AF34" s="1" t="s">
        <v>54</v>
      </c>
      <c r="AG34" s="1">
        <v>27.0</v>
      </c>
      <c r="AH34" s="1">
        <v>14.0</v>
      </c>
      <c r="AI34" s="1">
        <v>14.0</v>
      </c>
      <c r="AJ34" s="1">
        <v>13.0</v>
      </c>
      <c r="AK34" s="1">
        <v>13.0</v>
      </c>
      <c r="AL34" s="1">
        <v>175.0</v>
      </c>
      <c r="AM34" s="1" t="s">
        <v>55</v>
      </c>
      <c r="AN34" s="1" t="s">
        <v>55</v>
      </c>
      <c r="AO34" s="1" t="s">
        <v>55</v>
      </c>
      <c r="AP34" s="1" t="s">
        <v>251</v>
      </c>
      <c r="AQ34" s="3" t="str">
        <f>HYPERLINK("https://icf.clappia.com/app/GMB253374/submission/SRS12522982/ICF247370-GMB253374-ab7d4a8ok8g00000000/SIG-20250704_100414f7eg.jpeg", "SIG-20250704_100414f7eg.jpeg")</f>
        <v>SIG-20250704_100414f7eg.jpeg</v>
      </c>
      <c r="AR34" s="1" t="s">
        <v>252</v>
      </c>
      <c r="AS34" s="3" t="str">
        <f>HYPERLINK("https://icf.clappia.com/app/GMB253374/submission/SRS12522982/ICF247370-GMB253374-5om53o6n9bi800000000/SIG-20250704_10046fmgp.jpeg", "SIG-20250704_10046fmgp.jpeg")</f>
        <v>SIG-20250704_10046fmgp.jpeg</v>
      </c>
      <c r="AT34" s="1" t="s">
        <v>253</v>
      </c>
      <c r="AU34" s="3" t="str">
        <f>HYPERLINK("https://icf.clappia.com/app/GMB253374/submission/SRS12522982/ICF247370-GMB253374-4iakjf577ek40000000/SIG-20250704_1005bc95h.jpeg", "SIG-20250704_1005bc95h.jpeg")</f>
        <v>SIG-20250704_1005bc95h.jpeg</v>
      </c>
      <c r="AV34" s="3" t="str">
        <f>HYPERLINK("https://www.google.com/maps/place/7.9333495%2C-11.6319545", "7.9333495,-11.6319545")</f>
        <v>7.9333495,-11.6319545</v>
      </c>
    </row>
    <row r="35" ht="15.75" customHeight="1">
      <c r="A35" s="1" t="s">
        <v>254</v>
      </c>
      <c r="B35" s="1" t="s">
        <v>69</v>
      </c>
      <c r="C35" s="1" t="s">
        <v>255</v>
      </c>
      <c r="D35" s="1" t="s">
        <v>255</v>
      </c>
      <c r="E35" s="1" t="s">
        <v>256</v>
      </c>
      <c r="F35" s="1" t="s">
        <v>64</v>
      </c>
      <c r="G35" s="1">
        <v>299.0</v>
      </c>
      <c r="H35" s="1" t="s">
        <v>50</v>
      </c>
      <c r="I35" s="1">
        <v>90.0</v>
      </c>
      <c r="J35" s="1">
        <v>47.0</v>
      </c>
      <c r="K35" s="1">
        <v>47.0</v>
      </c>
      <c r="L35" s="1">
        <v>43.0</v>
      </c>
      <c r="M35" s="1">
        <v>43.0</v>
      </c>
      <c r="N35" s="1" t="s">
        <v>51</v>
      </c>
      <c r="O35" s="1">
        <v>70.0</v>
      </c>
      <c r="P35" s="1">
        <v>36.0</v>
      </c>
      <c r="Q35" s="1">
        <v>36.0</v>
      </c>
      <c r="R35" s="1">
        <v>34.0</v>
      </c>
      <c r="S35" s="1">
        <v>34.0</v>
      </c>
      <c r="T35" s="1" t="s">
        <v>52</v>
      </c>
      <c r="U35" s="1">
        <v>62.0</v>
      </c>
      <c r="V35" s="1">
        <v>35.0</v>
      </c>
      <c r="W35" s="1">
        <v>35.0</v>
      </c>
      <c r="X35" s="1">
        <v>27.0</v>
      </c>
      <c r="Y35" s="1">
        <v>27.0</v>
      </c>
      <c r="Z35" s="1" t="s">
        <v>53</v>
      </c>
      <c r="AA35" s="1">
        <v>52.0</v>
      </c>
      <c r="AB35" s="1">
        <v>27.0</v>
      </c>
      <c r="AC35" s="1">
        <v>27.0</v>
      </c>
      <c r="AD35" s="1">
        <v>25.0</v>
      </c>
      <c r="AE35" s="1">
        <v>25.0</v>
      </c>
      <c r="AF35" s="1" t="s">
        <v>54</v>
      </c>
      <c r="AG35" s="1">
        <v>24.0</v>
      </c>
      <c r="AH35" s="1">
        <v>14.0</v>
      </c>
      <c r="AI35" s="1">
        <v>14.0</v>
      </c>
      <c r="AJ35" s="1">
        <v>10.0</v>
      </c>
      <c r="AK35" s="1">
        <v>10.0</v>
      </c>
      <c r="AL35" s="1">
        <v>298.0</v>
      </c>
      <c r="AM35" s="1">
        <v>1.0</v>
      </c>
      <c r="AN35" s="1" t="s">
        <v>55</v>
      </c>
      <c r="AO35" s="1" t="s">
        <v>55</v>
      </c>
      <c r="AP35" s="1" t="s">
        <v>257</v>
      </c>
      <c r="AQ35" s="3" t="str">
        <f>HYPERLINK("https://icf.clappia.com/app/GMB253374/submission/VMQ96733101/ICF247370-GMB253374-5l7enaplh9de00000000/SIG-20250704_1002ho83i.jpeg", "SIG-20250704_1002ho83i.jpeg")</f>
        <v>SIG-20250704_1002ho83i.jpeg</v>
      </c>
      <c r="AR35" s="1" t="s">
        <v>258</v>
      </c>
      <c r="AS35" s="3" t="str">
        <f>HYPERLINK("https://icf.clappia.com/app/GMB253374/submission/VMQ96733101/ICF247370-GMB253374-2094hf309d9a00000000/SIG-20250704_1002hm6bk.jpeg", "SIG-20250704_1002hm6bk.jpeg")</f>
        <v>SIG-20250704_1002hm6bk.jpeg</v>
      </c>
      <c r="AT35" s="1" t="s">
        <v>259</v>
      </c>
      <c r="AU35" s="3" t="str">
        <f>HYPERLINK("https://icf.clappia.com/app/GMB253374/submission/VMQ96733101/ICF247370-GMB253374-je1iaoe8ehg40000000/SIG-20250704_095917pdif.jpeg", "SIG-20250704_095917pdif.jpeg")</f>
        <v>SIG-20250704_095917pdif.jpeg</v>
      </c>
      <c r="AV35" s="3" t="str">
        <f>HYPERLINK("https://www.google.com/maps/place/8.8714517%2C-12.2638783", "8.8714517,-12.2638783")</f>
        <v>8.8714517,-12.2638783</v>
      </c>
    </row>
    <row r="36" ht="15.75" customHeight="1">
      <c r="A36" s="1" t="s">
        <v>260</v>
      </c>
      <c r="B36" s="1" t="s">
        <v>215</v>
      </c>
      <c r="C36" s="1" t="s">
        <v>261</v>
      </c>
      <c r="D36" s="1" t="s">
        <v>261</v>
      </c>
      <c r="E36" s="1" t="s">
        <v>262</v>
      </c>
      <c r="F36" s="1" t="s">
        <v>64</v>
      </c>
      <c r="G36" s="1">
        <v>425.0</v>
      </c>
      <c r="H36" s="1" t="s">
        <v>50</v>
      </c>
      <c r="I36" s="1">
        <v>153.0</v>
      </c>
      <c r="J36" s="1">
        <v>80.0</v>
      </c>
      <c r="K36" s="1">
        <v>76.0</v>
      </c>
      <c r="L36" s="1">
        <v>73.0</v>
      </c>
      <c r="M36" s="1">
        <v>69.0</v>
      </c>
      <c r="N36" s="1" t="s">
        <v>51</v>
      </c>
      <c r="O36" s="1">
        <v>80.0</v>
      </c>
      <c r="P36" s="1">
        <v>30.0</v>
      </c>
      <c r="Q36" s="1">
        <v>29.0</v>
      </c>
      <c r="R36" s="1">
        <v>50.0</v>
      </c>
      <c r="S36" s="1">
        <v>49.0</v>
      </c>
      <c r="T36" s="1" t="s">
        <v>52</v>
      </c>
      <c r="U36" s="1">
        <v>70.0</v>
      </c>
      <c r="V36" s="1">
        <v>32.0</v>
      </c>
      <c r="W36" s="1">
        <v>30.0</v>
      </c>
      <c r="X36" s="1">
        <v>38.0</v>
      </c>
      <c r="Y36" s="1">
        <v>34.0</v>
      </c>
      <c r="Z36" s="1" t="s">
        <v>53</v>
      </c>
      <c r="AA36" s="1">
        <v>65.0</v>
      </c>
      <c r="AB36" s="1">
        <v>35.0</v>
      </c>
      <c r="AC36" s="1">
        <v>35.0</v>
      </c>
      <c r="AD36" s="1">
        <v>30.0</v>
      </c>
      <c r="AE36" s="1">
        <v>30.0</v>
      </c>
      <c r="AF36" s="1" t="s">
        <v>54</v>
      </c>
      <c r="AG36" s="1">
        <v>55.0</v>
      </c>
      <c r="AH36" s="1">
        <v>21.0</v>
      </c>
      <c r="AI36" s="1">
        <v>21.0</v>
      </c>
      <c r="AJ36" s="1">
        <v>34.0</v>
      </c>
      <c r="AK36" s="1">
        <v>32.0</v>
      </c>
      <c r="AL36" s="1">
        <v>405.0</v>
      </c>
      <c r="AM36" s="1" t="s">
        <v>55</v>
      </c>
      <c r="AN36" s="1">
        <v>20.0</v>
      </c>
      <c r="AO36" s="1">
        <v>20.0</v>
      </c>
      <c r="AP36" s="1" t="s">
        <v>263</v>
      </c>
      <c r="AQ36" s="3" t="str">
        <f>HYPERLINK("https://icf.clappia.com/app/GMB253374/submission/ZOX41453840/ICF247370-GMB253374-1p7p39ng7ka8o0000000/SIG-20250703_1106b4f1b.jpeg", "SIG-20250703_1106b4f1b.jpeg")</f>
        <v>SIG-20250703_1106b4f1b.jpeg</v>
      </c>
      <c r="AR36" s="1" t="s">
        <v>264</v>
      </c>
      <c r="AS36" s="3" t="str">
        <f>HYPERLINK("https://icf.clappia.com/app/GMB253374/submission/ZOX41453840/ICF247370-GMB253374-4p20bk8m09h200000000/SIG-20250703_1107ceg20.jpeg", "SIG-20250703_1107ceg20.jpeg")</f>
        <v>SIG-20250703_1107ceg20.jpeg</v>
      </c>
      <c r="AT36" s="1" t="s">
        <v>265</v>
      </c>
      <c r="AU36" s="3" t="str">
        <f>HYPERLINK("https://icf.clappia.com/app/GMB253374/submission/ZOX41453840/ICF247370-GMB253374-68okp14c2mkg00000000/SIG-20250703_110719i63c.jpeg", "SIG-20250703_110719i63c.jpeg")</f>
        <v>SIG-20250703_110719i63c.jpeg</v>
      </c>
      <c r="AV36" s="3" t="str">
        <f>HYPERLINK("https://www.google.com/maps/place/8.6640017%2C-12.21279", "8.6640017,-12.21279")</f>
        <v>8.6640017,-12.21279</v>
      </c>
    </row>
    <row r="37" ht="15.75" customHeight="1">
      <c r="A37" s="1" t="s">
        <v>266</v>
      </c>
      <c r="B37" s="1" t="s">
        <v>167</v>
      </c>
      <c r="C37" s="1" t="s">
        <v>267</v>
      </c>
      <c r="D37" s="1" t="s">
        <v>267</v>
      </c>
      <c r="E37" s="1" t="s">
        <v>268</v>
      </c>
      <c r="F37" s="1" t="s">
        <v>49</v>
      </c>
      <c r="G37" s="1">
        <v>109.0</v>
      </c>
      <c r="H37" s="1" t="s">
        <v>50</v>
      </c>
      <c r="I37" s="1">
        <v>10.0</v>
      </c>
      <c r="J37" s="1">
        <v>7.0</v>
      </c>
      <c r="K37" s="1">
        <v>7.0</v>
      </c>
      <c r="L37" s="1">
        <v>3.0</v>
      </c>
      <c r="M37" s="1">
        <v>3.0</v>
      </c>
      <c r="N37" s="1" t="s">
        <v>51</v>
      </c>
      <c r="O37" s="1">
        <v>11.0</v>
      </c>
      <c r="P37" s="1">
        <v>8.0</v>
      </c>
      <c r="Q37" s="1">
        <v>8.0</v>
      </c>
      <c r="R37" s="1">
        <v>3.0</v>
      </c>
      <c r="S37" s="1">
        <v>3.0</v>
      </c>
      <c r="T37" s="1" t="s">
        <v>52</v>
      </c>
      <c r="U37" s="1">
        <v>11.0</v>
      </c>
      <c r="V37" s="1">
        <v>7.0</v>
      </c>
      <c r="W37" s="1">
        <v>7.0</v>
      </c>
      <c r="X37" s="1">
        <v>4.0</v>
      </c>
      <c r="Y37" s="1">
        <v>4.0</v>
      </c>
      <c r="Z37" s="1" t="s">
        <v>53</v>
      </c>
      <c r="AA37" s="1">
        <v>12.0</v>
      </c>
      <c r="AB37" s="1">
        <v>4.0</v>
      </c>
      <c r="AC37" s="1">
        <v>4.0</v>
      </c>
      <c r="AD37" s="1">
        <v>8.0</v>
      </c>
      <c r="AE37" s="1">
        <v>8.0</v>
      </c>
      <c r="AF37" s="1" t="s">
        <v>54</v>
      </c>
      <c r="AG37" s="1">
        <v>7.0</v>
      </c>
      <c r="AH37" s="1">
        <v>3.0</v>
      </c>
      <c r="AI37" s="1">
        <v>3.0</v>
      </c>
      <c r="AJ37" s="1">
        <v>4.0</v>
      </c>
      <c r="AK37" s="1">
        <v>4.0</v>
      </c>
      <c r="AL37" s="1">
        <v>51.0</v>
      </c>
      <c r="AM37" s="1">
        <v>10.0</v>
      </c>
      <c r="AN37" s="1">
        <v>48.0</v>
      </c>
      <c r="AO37" s="1">
        <v>48.0</v>
      </c>
      <c r="AP37" s="1" t="s">
        <v>170</v>
      </c>
      <c r="AQ37" s="3" t="str">
        <f>HYPERLINK("https://icf.clappia.com/app/GMB253374/submission/GGX77987719/ICF247370-GMB253374-2p44ihd7hk3o00000000/SIG-20250704_094314017e.jpeg", "SIG-20250704_094314017e.jpeg")</f>
        <v>SIG-20250704_094314017e.jpeg</v>
      </c>
      <c r="AR37" s="1" t="s">
        <v>171</v>
      </c>
      <c r="AS37" s="3" t="str">
        <f>HYPERLINK("https://icf.clappia.com/app/GMB253374/submission/GGX77987719/ICF247370-GMB253374-36dkdk8bplbi00000000/SIG-20250704_09459gmj2.jpeg", "SIG-20250704_09459gmj2.jpeg")</f>
        <v>SIG-20250704_09459gmj2.jpeg</v>
      </c>
      <c r="AT37" s="1" t="s">
        <v>172</v>
      </c>
      <c r="AU37" s="3" t="str">
        <f>HYPERLINK("https://icf.clappia.com/app/GMB253374/submission/GGX77987719/ICF247370-GMB253374-acblk7j2gfhi0000000/SIG-20250704_0946oho40.jpeg", "SIG-20250704_0946oho40.jpeg")</f>
        <v>SIG-20250704_0946oho40.jpeg</v>
      </c>
      <c r="AV37" s="3" t="str">
        <f>HYPERLINK("https://www.google.com/maps/place/7.93006%2C-11.7226517", "7.93006,-11.7226517")</f>
        <v>7.93006,-11.7226517</v>
      </c>
    </row>
    <row r="38" ht="15.75" customHeight="1">
      <c r="A38" s="1" t="s">
        <v>269</v>
      </c>
      <c r="B38" s="1" t="s">
        <v>81</v>
      </c>
      <c r="C38" s="1" t="s">
        <v>267</v>
      </c>
      <c r="D38" s="1" t="s">
        <v>267</v>
      </c>
      <c r="E38" s="1" t="s">
        <v>270</v>
      </c>
      <c r="F38" s="1" t="s">
        <v>64</v>
      </c>
      <c r="G38" s="1">
        <v>53.0</v>
      </c>
      <c r="H38" s="1" t="s">
        <v>50</v>
      </c>
      <c r="I38" s="1">
        <v>18.0</v>
      </c>
      <c r="J38" s="1">
        <v>9.0</v>
      </c>
      <c r="K38" s="1">
        <v>9.0</v>
      </c>
      <c r="L38" s="1">
        <v>9.0</v>
      </c>
      <c r="M38" s="1">
        <v>7.0</v>
      </c>
      <c r="N38" s="1" t="s">
        <v>51</v>
      </c>
      <c r="O38" s="1">
        <v>15.0</v>
      </c>
      <c r="P38" s="1">
        <v>6.0</v>
      </c>
      <c r="Q38" s="1">
        <v>5.0</v>
      </c>
      <c r="R38" s="1">
        <v>9.0</v>
      </c>
      <c r="S38" s="1">
        <v>9.0</v>
      </c>
      <c r="T38" s="1" t="s">
        <v>52</v>
      </c>
      <c r="U38" s="1">
        <v>3.0</v>
      </c>
      <c r="V38" s="1" t="s">
        <v>55</v>
      </c>
      <c r="W38" s="1" t="s">
        <v>55</v>
      </c>
      <c r="X38" s="1">
        <v>3.0</v>
      </c>
      <c r="Y38" s="1">
        <v>3.0</v>
      </c>
      <c r="Z38" s="1" t="s">
        <v>53</v>
      </c>
      <c r="AA38" s="1">
        <v>8.0</v>
      </c>
      <c r="AB38" s="1">
        <v>5.0</v>
      </c>
      <c r="AC38" s="1">
        <v>3.0</v>
      </c>
      <c r="AD38" s="1">
        <v>3.0</v>
      </c>
      <c r="AE38" s="1">
        <v>2.0</v>
      </c>
      <c r="AF38" s="1" t="s">
        <v>54</v>
      </c>
      <c r="AG38" s="1">
        <v>21.0</v>
      </c>
      <c r="AH38" s="1">
        <v>10.0</v>
      </c>
      <c r="AI38" s="1">
        <v>7.0</v>
      </c>
      <c r="AJ38" s="1">
        <v>10.0</v>
      </c>
      <c r="AK38" s="1">
        <v>8.0</v>
      </c>
      <c r="AL38" s="1">
        <v>53.0</v>
      </c>
      <c r="AM38" s="1" t="s">
        <v>55</v>
      </c>
      <c r="AN38" s="1" t="s">
        <v>55</v>
      </c>
      <c r="AO38" s="1" t="s">
        <v>55</v>
      </c>
      <c r="AP38" s="1" t="s">
        <v>119</v>
      </c>
      <c r="AQ38" s="3" t="str">
        <f>HYPERLINK("https://icf.clappia.com/app/GMB253374/submission/CXR44656830/ICF247370-GMB253374-2kfnbg9k3p4e00000000/SIG-20250704_09396lp1.jpeg", "SIG-20250704_09396lp1.jpeg")</f>
        <v>SIG-20250704_09396lp1.jpeg</v>
      </c>
      <c r="AR38" s="1" t="s">
        <v>120</v>
      </c>
      <c r="AS38" s="3" t="str">
        <f>HYPERLINK("https://icf.clappia.com/app/GMB253374/submission/CXR44656830/ICF247370-GMB253374-5fhnik8ep5d200000000/SIG-20250704_0939155oc7.jpeg", "SIG-20250704_0939155oc7.jpeg")</f>
        <v>SIG-20250704_0939155oc7.jpeg</v>
      </c>
      <c r="AT38" s="1" t="s">
        <v>121</v>
      </c>
      <c r="AU38" s="3" t="str">
        <f>HYPERLINK("https://icf.clappia.com/app/GMB253374/submission/CXR44656830/ICF247370-GMB253374-691gi7i32j1200000000/SIG-20250704_09401a5cnf.jpeg", "SIG-20250704_09401a5cnf.jpeg")</f>
        <v>SIG-20250704_09401a5cnf.jpeg</v>
      </c>
      <c r="AV38" s="3" t="str">
        <f>HYPERLINK("https://www.google.com/maps/place/7.9663601%2C-11.7399393", "7.9663601,-11.7399393")</f>
        <v>7.9663601,-11.7399393</v>
      </c>
    </row>
    <row r="39" ht="15.75" customHeight="1">
      <c r="A39" s="1" t="s">
        <v>271</v>
      </c>
      <c r="B39" s="1" t="s">
        <v>215</v>
      </c>
      <c r="C39" s="1" t="s">
        <v>272</v>
      </c>
      <c r="D39" s="1" t="s">
        <v>272</v>
      </c>
      <c r="E39" s="1" t="s">
        <v>273</v>
      </c>
      <c r="F39" s="1" t="s">
        <v>64</v>
      </c>
      <c r="G39" s="1">
        <v>225.0</v>
      </c>
      <c r="H39" s="1" t="s">
        <v>50</v>
      </c>
      <c r="I39" s="1">
        <v>50.0</v>
      </c>
      <c r="J39" s="1">
        <v>32.0</v>
      </c>
      <c r="K39" s="1">
        <v>32.0</v>
      </c>
      <c r="L39" s="1">
        <v>18.0</v>
      </c>
      <c r="M39" s="1">
        <v>18.0</v>
      </c>
      <c r="N39" s="1" t="s">
        <v>51</v>
      </c>
      <c r="O39" s="1">
        <v>39.0</v>
      </c>
      <c r="P39" s="1">
        <v>18.0</v>
      </c>
      <c r="Q39" s="1">
        <v>18.0</v>
      </c>
      <c r="R39" s="1">
        <v>21.0</v>
      </c>
      <c r="S39" s="1">
        <v>21.0</v>
      </c>
      <c r="T39" s="1" t="s">
        <v>52</v>
      </c>
      <c r="U39" s="1">
        <v>29.0</v>
      </c>
      <c r="V39" s="1">
        <v>16.0</v>
      </c>
      <c r="W39" s="1">
        <v>16.0</v>
      </c>
      <c r="X39" s="1">
        <v>13.0</v>
      </c>
      <c r="Y39" s="1">
        <v>13.0</v>
      </c>
      <c r="Z39" s="1" t="s">
        <v>53</v>
      </c>
      <c r="AA39" s="1">
        <v>39.0</v>
      </c>
      <c r="AB39" s="1">
        <v>19.0</v>
      </c>
      <c r="AC39" s="1">
        <v>19.0</v>
      </c>
      <c r="AD39" s="1">
        <v>20.0</v>
      </c>
      <c r="AE39" s="1">
        <v>20.0</v>
      </c>
      <c r="AF39" s="1" t="s">
        <v>54</v>
      </c>
      <c r="AG39" s="1">
        <v>68.0</v>
      </c>
      <c r="AH39" s="1">
        <v>38.0</v>
      </c>
      <c r="AI39" s="1">
        <v>38.0</v>
      </c>
      <c r="AJ39" s="1">
        <v>30.0</v>
      </c>
      <c r="AK39" s="1">
        <v>30.0</v>
      </c>
      <c r="AL39" s="1">
        <v>225.0</v>
      </c>
      <c r="AM39" s="1" t="s">
        <v>55</v>
      </c>
      <c r="AN39" s="1" t="s">
        <v>55</v>
      </c>
      <c r="AO39" s="1" t="s">
        <v>55</v>
      </c>
      <c r="AP39" s="1" t="s">
        <v>274</v>
      </c>
      <c r="AQ39" s="3" t="str">
        <f>HYPERLINK("https://icf.clappia.com/app/GMB253374/submission/ZCY40555849/ICF247370-GMB253374-465029hbbdpg00000000/SIG-20250702_06592e2j6.jpeg", "SIG-20250702_06592e2j6.jpeg")</f>
        <v>SIG-20250702_06592e2j6.jpeg</v>
      </c>
      <c r="AR39" s="1" t="s">
        <v>275</v>
      </c>
      <c r="AS39" s="3" t="str">
        <f>HYPERLINK("https://icf.clappia.com/app/GMB253374/submission/ZCY40555849/ICF247370-GMB253374-35k0hpa34o3c0000000/SIG-20250704_09402illo.jpeg", "SIG-20250704_09402illo.jpeg")</f>
        <v>SIG-20250704_09402illo.jpeg</v>
      </c>
      <c r="AT39" s="1" t="s">
        <v>276</v>
      </c>
      <c r="AU39" s="3" t="str">
        <f>HYPERLINK("https://icf.clappia.com/app/GMB253374/submission/ZCY40555849/ICF247370-GMB253374-1d6ode4ndbh0k0000000/SIG-20250704_0941djccg.jpeg", "SIG-20250704_0941djccg.jpeg")</f>
        <v>SIG-20250704_0941djccg.jpeg</v>
      </c>
      <c r="AV39" s="3" t="str">
        <f>HYPERLINK("https://www.google.com/maps/place/8.6629583%2C-12.2425217", "8.6629583,-12.2425217")</f>
        <v>8.6629583,-12.2425217</v>
      </c>
    </row>
    <row r="40" ht="15.75" customHeight="1">
      <c r="A40" s="1" t="s">
        <v>277</v>
      </c>
      <c r="B40" s="1" t="s">
        <v>278</v>
      </c>
      <c r="C40" s="1" t="s">
        <v>279</v>
      </c>
      <c r="D40" s="1" t="s">
        <v>279</v>
      </c>
      <c r="E40" s="1" t="s">
        <v>280</v>
      </c>
      <c r="F40" s="1" t="s">
        <v>64</v>
      </c>
      <c r="G40" s="1">
        <v>200.0</v>
      </c>
      <c r="H40" s="1" t="s">
        <v>50</v>
      </c>
      <c r="I40" s="1">
        <v>27.0</v>
      </c>
      <c r="J40" s="1">
        <v>15.0</v>
      </c>
      <c r="K40" s="1">
        <v>15.0</v>
      </c>
      <c r="L40" s="1">
        <v>12.0</v>
      </c>
      <c r="M40" s="1">
        <v>12.0</v>
      </c>
      <c r="N40" s="1" t="s">
        <v>51</v>
      </c>
      <c r="O40" s="1">
        <v>25.0</v>
      </c>
      <c r="P40" s="1">
        <v>10.0</v>
      </c>
      <c r="Q40" s="1">
        <v>10.0</v>
      </c>
      <c r="R40" s="1">
        <v>15.0</v>
      </c>
      <c r="S40" s="1">
        <v>15.0</v>
      </c>
      <c r="T40" s="1" t="s">
        <v>52</v>
      </c>
      <c r="U40" s="1">
        <v>23.0</v>
      </c>
      <c r="V40" s="1">
        <v>10.0</v>
      </c>
      <c r="W40" s="1">
        <v>10.0</v>
      </c>
      <c r="X40" s="1">
        <v>13.0</v>
      </c>
      <c r="Y40" s="1">
        <v>13.0</v>
      </c>
      <c r="Z40" s="1" t="s">
        <v>53</v>
      </c>
      <c r="AA40" s="1">
        <v>42.0</v>
      </c>
      <c r="AB40" s="1">
        <v>20.0</v>
      </c>
      <c r="AC40" s="1">
        <v>20.0</v>
      </c>
      <c r="AD40" s="1">
        <v>22.0</v>
      </c>
      <c r="AE40" s="1">
        <v>22.0</v>
      </c>
      <c r="AF40" s="1" t="s">
        <v>54</v>
      </c>
      <c r="AG40" s="1">
        <v>40.0</v>
      </c>
      <c r="AH40" s="1">
        <v>18.0</v>
      </c>
      <c r="AI40" s="1">
        <v>18.0</v>
      </c>
      <c r="AJ40" s="1">
        <v>22.0</v>
      </c>
      <c r="AK40" s="1">
        <v>22.0</v>
      </c>
      <c r="AL40" s="1">
        <v>157.0</v>
      </c>
      <c r="AM40" s="1" t="s">
        <v>55</v>
      </c>
      <c r="AN40" s="1">
        <v>43.0</v>
      </c>
      <c r="AO40" s="1">
        <v>43.0</v>
      </c>
      <c r="AP40" s="1" t="s">
        <v>281</v>
      </c>
      <c r="AQ40" s="3" t="str">
        <f>HYPERLINK("https://icf.clappia.com/app/GMB253374/submission/FJX59285328/ICF247370-GMB253374-27b318l1n04g00000000/SIG-20250704_0935h6kcb.jpeg", "SIG-20250704_0935h6kcb.jpeg")</f>
        <v>SIG-20250704_0935h6kcb.jpeg</v>
      </c>
      <c r="AR40" s="1" t="s">
        <v>282</v>
      </c>
      <c r="AS40" s="3" t="str">
        <f>HYPERLINK("https://icf.clappia.com/app/GMB253374/submission/FJX59285328/ICF247370-GMB253374-8d1pg8pbi09a0000000/SIG-20250704_0936e7ob0.jpeg", "SIG-20250704_0936e7ob0.jpeg")</f>
        <v>SIG-20250704_0936e7ob0.jpeg</v>
      </c>
      <c r="AT40" s="1" t="s">
        <v>283</v>
      </c>
      <c r="AU40" s="3" t="str">
        <f>HYPERLINK("https://icf.clappia.com/app/GMB253374/submission/FJX59285328/ICF247370-GMB253374-5bge3dbamf6e00000000/SIG-20250704_0938dgd9g.jpeg", "SIG-20250704_0938dgd9g.jpeg")</f>
        <v>SIG-20250704_0938dgd9g.jpeg</v>
      </c>
      <c r="AV40" s="3" t="str">
        <f>HYPERLINK("https://www.google.com/maps/place/9.2196681%2C-12.2095586", "9.2196681,-12.2095586")</f>
        <v>9.2196681,-12.2095586</v>
      </c>
    </row>
    <row r="41" ht="15.75" customHeight="1">
      <c r="A41" s="1" t="s">
        <v>284</v>
      </c>
      <c r="B41" s="1" t="s">
        <v>81</v>
      </c>
      <c r="C41" s="1" t="s">
        <v>285</v>
      </c>
      <c r="D41" s="1" t="s">
        <v>285</v>
      </c>
      <c r="E41" s="1" t="s">
        <v>286</v>
      </c>
      <c r="F41" s="1" t="s">
        <v>64</v>
      </c>
      <c r="G41" s="1">
        <v>200.0</v>
      </c>
      <c r="H41" s="1" t="s">
        <v>50</v>
      </c>
      <c r="I41" s="1">
        <v>61.0</v>
      </c>
      <c r="J41" s="1">
        <v>27.0</v>
      </c>
      <c r="K41" s="1">
        <v>20.0</v>
      </c>
      <c r="L41" s="1">
        <v>34.0</v>
      </c>
      <c r="M41" s="1">
        <v>27.0</v>
      </c>
      <c r="N41" s="1" t="s">
        <v>51</v>
      </c>
      <c r="O41" s="1">
        <v>42.0</v>
      </c>
      <c r="P41" s="1">
        <v>19.0</v>
      </c>
      <c r="Q41" s="1">
        <v>17.0</v>
      </c>
      <c r="R41" s="1">
        <v>23.0</v>
      </c>
      <c r="S41" s="1">
        <v>16.0</v>
      </c>
      <c r="T41" s="1" t="s">
        <v>52</v>
      </c>
      <c r="U41" s="1">
        <v>51.0</v>
      </c>
      <c r="V41" s="1">
        <v>22.0</v>
      </c>
      <c r="W41" s="1">
        <v>14.0</v>
      </c>
      <c r="X41" s="1">
        <v>29.0</v>
      </c>
      <c r="Y41" s="1">
        <v>11.0</v>
      </c>
      <c r="Z41" s="1" t="s">
        <v>53</v>
      </c>
      <c r="AA41" s="1">
        <v>36.0</v>
      </c>
      <c r="AB41" s="1">
        <v>14.0</v>
      </c>
      <c r="AC41" s="1">
        <v>14.0</v>
      </c>
      <c r="AD41" s="1">
        <v>22.0</v>
      </c>
      <c r="AE41" s="1">
        <v>22.0</v>
      </c>
      <c r="AF41" s="1" t="s">
        <v>54</v>
      </c>
      <c r="AG41" s="1">
        <v>60.0</v>
      </c>
      <c r="AH41" s="1">
        <v>27.0</v>
      </c>
      <c r="AI41" s="1">
        <v>26.0</v>
      </c>
      <c r="AJ41" s="1">
        <v>33.0</v>
      </c>
      <c r="AK41" s="1">
        <v>33.0</v>
      </c>
      <c r="AL41" s="1">
        <v>200.0</v>
      </c>
      <c r="AM41" s="1" t="s">
        <v>55</v>
      </c>
      <c r="AN41" s="1" t="s">
        <v>55</v>
      </c>
      <c r="AO41" s="1" t="s">
        <v>55</v>
      </c>
      <c r="AP41" s="1" t="s">
        <v>287</v>
      </c>
      <c r="AQ41" s="3" t="str">
        <f>HYPERLINK("https://icf.clappia.com/app/GMB253374/submission/BVW21278923/ICF247370-GMB253374-5en840on0fpe00000000/SIG-20250703_1045109fm8.jpeg", "SIG-20250703_1045109fm8.jpeg")</f>
        <v>SIG-20250703_1045109fm8.jpeg</v>
      </c>
      <c r="AR41" s="1" t="s">
        <v>288</v>
      </c>
      <c r="AS41" s="3" t="str">
        <f>HYPERLINK("https://icf.clappia.com/app/GMB253374/submission/BVW21278923/ICF247370-GMB253374-dbh3le2nbl6g0000000/SIG-20250703_1046ga50f.jpeg", "SIG-20250703_1046ga50f.jpeg")</f>
        <v>SIG-20250703_1046ga50f.jpeg</v>
      </c>
      <c r="AT41" s="1" t="s">
        <v>289</v>
      </c>
      <c r="AU41" s="3" t="str">
        <f>HYPERLINK("https://icf.clappia.com/app/GMB253374/submission/BVW21278923/ICF247370-GMB253374-3db7i3p2h5lg00000000/SIG-20250703_104719nk70.jpeg", "SIG-20250703_104719nk70.jpeg")</f>
        <v>SIG-20250703_104719nk70.jpeg</v>
      </c>
      <c r="AV41" s="3" t="str">
        <f>HYPERLINK("https://www.google.com/maps/place/7.9791737%2C-11.7148358", "7.9791737,-11.7148358")</f>
        <v>7.9791737,-11.7148358</v>
      </c>
    </row>
    <row r="42" ht="15.75" customHeight="1">
      <c r="A42" s="1" t="s">
        <v>290</v>
      </c>
      <c r="B42" s="1" t="s">
        <v>215</v>
      </c>
      <c r="C42" s="1" t="s">
        <v>291</v>
      </c>
      <c r="D42" s="1" t="s">
        <v>291</v>
      </c>
      <c r="E42" s="1" t="s">
        <v>292</v>
      </c>
      <c r="F42" s="1" t="s">
        <v>64</v>
      </c>
      <c r="G42" s="1">
        <v>283.0</v>
      </c>
      <c r="H42" s="1" t="s">
        <v>50</v>
      </c>
      <c r="I42" s="1">
        <v>76.0</v>
      </c>
      <c r="J42" s="1">
        <v>35.0</v>
      </c>
      <c r="K42" s="1">
        <v>34.0</v>
      </c>
      <c r="L42" s="1">
        <v>41.0</v>
      </c>
      <c r="M42" s="1">
        <v>40.0</v>
      </c>
      <c r="N42" s="1" t="s">
        <v>51</v>
      </c>
      <c r="O42" s="1">
        <v>65.0</v>
      </c>
      <c r="P42" s="1">
        <v>28.0</v>
      </c>
      <c r="Q42" s="1">
        <v>28.0</v>
      </c>
      <c r="R42" s="1">
        <v>37.0</v>
      </c>
      <c r="S42" s="1">
        <v>35.0</v>
      </c>
      <c r="T42" s="1" t="s">
        <v>52</v>
      </c>
      <c r="U42" s="1">
        <v>25.0</v>
      </c>
      <c r="V42" s="1">
        <v>10.0</v>
      </c>
      <c r="W42" s="1">
        <v>10.0</v>
      </c>
      <c r="X42" s="1">
        <v>15.0</v>
      </c>
      <c r="Y42" s="1">
        <v>14.0</v>
      </c>
      <c r="Z42" s="1" t="s">
        <v>53</v>
      </c>
      <c r="AA42" s="1">
        <v>41.0</v>
      </c>
      <c r="AB42" s="1">
        <v>19.0</v>
      </c>
      <c r="AC42" s="1">
        <v>18.0</v>
      </c>
      <c r="AD42" s="1">
        <v>22.0</v>
      </c>
      <c r="AE42" s="1">
        <v>21.0</v>
      </c>
      <c r="AF42" s="1" t="s">
        <v>54</v>
      </c>
      <c r="AG42" s="1">
        <v>59.0</v>
      </c>
      <c r="AH42" s="1">
        <v>30.0</v>
      </c>
      <c r="AI42" s="1">
        <v>29.0</v>
      </c>
      <c r="AJ42" s="1">
        <v>29.0</v>
      </c>
      <c r="AK42" s="1">
        <v>29.0</v>
      </c>
      <c r="AL42" s="1">
        <v>258.0</v>
      </c>
      <c r="AM42" s="1">
        <v>8.0</v>
      </c>
      <c r="AN42" s="1">
        <v>17.0</v>
      </c>
      <c r="AO42" s="1">
        <v>17.0</v>
      </c>
      <c r="AP42" s="1" t="s">
        <v>293</v>
      </c>
      <c r="AQ42" s="3" t="str">
        <f>HYPERLINK("https://icf.clappia.com/app/GMB253374/submission/JOK59848845/ICF247370-GMB253374-2mo5f3b5jhg600000000/SIG-20250704_09249lci.jpeg", "SIG-20250704_09249lci.jpeg")</f>
        <v>SIG-20250704_09249lci.jpeg</v>
      </c>
      <c r="AR42" s="1" t="s">
        <v>294</v>
      </c>
      <c r="AS42" s="3" t="str">
        <f>HYPERLINK("https://icf.clappia.com/app/GMB253374/submission/JOK59848845/ICF247370-GMB253374-7jgh1hp1oik40000000/SIG-20250704_0924pgfj5.jpeg", "SIG-20250704_0924pgfj5.jpeg")</f>
        <v>SIG-20250704_0924pgfj5.jpeg</v>
      </c>
      <c r="AT42" s="1" t="s">
        <v>295</v>
      </c>
      <c r="AU42" s="3" t="str">
        <f>HYPERLINK("https://icf.clappia.com/app/GMB253374/submission/JOK59848845/ICF247370-GMB253374-9eo6cg9a905e0000000/SIG-20250704_0924md5fp.jpeg", "SIG-20250704_0924md5fp.jpeg")</f>
        <v>SIG-20250704_0924md5fp.jpeg</v>
      </c>
      <c r="AV42" s="3" t="str">
        <f>HYPERLINK("https://www.google.com/maps/place/8.6736341%2C-12.1902766", "8.6736341,-12.1902766")</f>
        <v>8.6736341,-12.1902766</v>
      </c>
    </row>
    <row r="43" ht="15.75" customHeight="1">
      <c r="A43" s="1" t="s">
        <v>296</v>
      </c>
      <c r="B43" s="1" t="s">
        <v>155</v>
      </c>
      <c r="C43" s="1" t="s">
        <v>297</v>
      </c>
      <c r="D43" s="1" t="s">
        <v>297</v>
      </c>
      <c r="E43" s="1" t="s">
        <v>298</v>
      </c>
      <c r="F43" s="1" t="s">
        <v>64</v>
      </c>
      <c r="G43" s="1">
        <v>141.0</v>
      </c>
      <c r="H43" s="1" t="s">
        <v>50</v>
      </c>
      <c r="I43" s="1">
        <v>79.0</v>
      </c>
      <c r="J43" s="1">
        <v>37.0</v>
      </c>
      <c r="K43" s="1">
        <v>24.0</v>
      </c>
      <c r="L43" s="1">
        <v>42.0</v>
      </c>
      <c r="M43" s="1">
        <v>18.0</v>
      </c>
      <c r="N43" s="1" t="s">
        <v>51</v>
      </c>
      <c r="O43" s="1">
        <v>62.0</v>
      </c>
      <c r="P43" s="1">
        <v>24.0</v>
      </c>
      <c r="Q43" s="1">
        <v>12.0</v>
      </c>
      <c r="R43" s="1">
        <v>38.0</v>
      </c>
      <c r="S43" s="1">
        <v>17.0</v>
      </c>
      <c r="T43" s="1" t="s">
        <v>52</v>
      </c>
      <c r="U43" s="1">
        <v>48.0</v>
      </c>
      <c r="V43" s="1">
        <v>21.0</v>
      </c>
      <c r="W43" s="1">
        <v>13.0</v>
      </c>
      <c r="X43" s="1">
        <v>27.0</v>
      </c>
      <c r="Y43" s="1">
        <v>16.0</v>
      </c>
      <c r="Z43" s="1" t="s">
        <v>53</v>
      </c>
      <c r="AA43" s="1">
        <v>40.0</v>
      </c>
      <c r="AB43" s="1">
        <v>18.0</v>
      </c>
      <c r="AC43" s="1">
        <v>8.0</v>
      </c>
      <c r="AD43" s="1">
        <v>22.0</v>
      </c>
      <c r="AE43" s="1">
        <v>13.0</v>
      </c>
      <c r="AF43" s="1" t="s">
        <v>54</v>
      </c>
      <c r="AG43" s="1">
        <v>36.0</v>
      </c>
      <c r="AH43" s="1">
        <v>12.0</v>
      </c>
      <c r="AI43" s="1">
        <v>8.0</v>
      </c>
      <c r="AJ43" s="1">
        <v>24.0</v>
      </c>
      <c r="AK43" s="1">
        <v>12.0</v>
      </c>
      <c r="AL43" s="1">
        <v>141.0</v>
      </c>
      <c r="AM43" s="1" t="s">
        <v>55</v>
      </c>
      <c r="AN43" s="1" t="s">
        <v>55</v>
      </c>
      <c r="AO43" s="1" t="s">
        <v>55</v>
      </c>
      <c r="AP43" s="1" t="s">
        <v>159</v>
      </c>
      <c r="AQ43" s="3" t="str">
        <f>HYPERLINK("https://icf.clappia.com/app/GMB253374/submission/KUJ95356487/ICF247370-GMB253374-22g90c5lp82f20000000/SIG-20250704_09209i2oi.jpeg", "SIG-20250704_09209i2oi.jpeg")</f>
        <v>SIG-20250704_09209i2oi.jpeg</v>
      </c>
      <c r="AR43" s="1" t="s">
        <v>299</v>
      </c>
      <c r="AS43" s="3" t="str">
        <f>HYPERLINK("https://icf.clappia.com/app/GMB253374/submission/KUJ95356487/ICF247370-GMB253374-4a1klg5pn0h200000000/SIG-20250704_0921762o3.jpeg", "SIG-20250704_0921762o3.jpeg")</f>
        <v>SIG-20250704_0921762o3.jpeg</v>
      </c>
      <c r="AT43" s="1" t="s">
        <v>300</v>
      </c>
      <c r="AU43" s="3" t="str">
        <f>HYPERLINK("https://icf.clappia.com/app/GMB253374/submission/KUJ95356487/ICF247370-GMB253374-3o1jl7l9418000000000/SIG-20250704_0921158e1o.jpeg", "SIG-20250704_0921158e1o.jpeg")</f>
        <v>SIG-20250704_0921158e1o.jpeg</v>
      </c>
      <c r="AV43" s="3" t="str">
        <f>HYPERLINK("https://www.google.com/maps/place/8.7038733%2C-12.0592583", "8.7038733,-12.0592583")</f>
        <v>8.7038733,-12.0592583</v>
      </c>
    </row>
    <row r="44" ht="15.75" customHeight="1">
      <c r="A44" s="1" t="s">
        <v>301</v>
      </c>
      <c r="B44" s="1" t="s">
        <v>302</v>
      </c>
      <c r="C44" s="1" t="s">
        <v>303</v>
      </c>
      <c r="D44" s="1" t="s">
        <v>303</v>
      </c>
      <c r="E44" s="1" t="s">
        <v>304</v>
      </c>
      <c r="F44" s="1" t="s">
        <v>64</v>
      </c>
      <c r="G44" s="1">
        <v>120.0</v>
      </c>
      <c r="H44" s="1" t="s">
        <v>50</v>
      </c>
      <c r="I44" s="1">
        <v>33.0</v>
      </c>
      <c r="J44" s="1">
        <v>15.0</v>
      </c>
      <c r="K44" s="1">
        <v>15.0</v>
      </c>
      <c r="L44" s="1">
        <v>18.0</v>
      </c>
      <c r="M44" s="1">
        <v>18.0</v>
      </c>
      <c r="N44" s="1" t="s">
        <v>51</v>
      </c>
      <c r="O44" s="1">
        <v>31.0</v>
      </c>
      <c r="P44" s="1">
        <v>14.0</v>
      </c>
      <c r="Q44" s="1">
        <v>14.0</v>
      </c>
      <c r="R44" s="1">
        <v>17.0</v>
      </c>
      <c r="S44" s="1">
        <v>17.0</v>
      </c>
      <c r="T44" s="1" t="s">
        <v>52</v>
      </c>
      <c r="U44" s="1">
        <v>21.0</v>
      </c>
      <c r="V44" s="1">
        <v>11.0</v>
      </c>
      <c r="W44" s="1">
        <v>11.0</v>
      </c>
      <c r="X44" s="1">
        <v>10.0</v>
      </c>
      <c r="Y44" s="1">
        <v>10.0</v>
      </c>
      <c r="Z44" s="1" t="s">
        <v>53</v>
      </c>
      <c r="AA44" s="1">
        <v>22.0</v>
      </c>
      <c r="AB44" s="1">
        <v>10.0</v>
      </c>
      <c r="AC44" s="1">
        <v>10.0</v>
      </c>
      <c r="AD44" s="1">
        <v>12.0</v>
      </c>
      <c r="AE44" s="1">
        <v>12.0</v>
      </c>
      <c r="AF44" s="1" t="s">
        <v>54</v>
      </c>
      <c r="AG44" s="1">
        <v>13.0</v>
      </c>
      <c r="AH44" s="1">
        <v>5.0</v>
      </c>
      <c r="AI44" s="1">
        <v>5.0</v>
      </c>
      <c r="AJ44" s="1">
        <v>8.0</v>
      </c>
      <c r="AK44" s="1">
        <v>8.0</v>
      </c>
      <c r="AL44" s="1">
        <v>120.0</v>
      </c>
      <c r="AM44" s="1" t="s">
        <v>55</v>
      </c>
      <c r="AN44" s="1" t="s">
        <v>55</v>
      </c>
      <c r="AO44" s="1" t="s">
        <v>55</v>
      </c>
      <c r="AP44" s="1" t="s">
        <v>305</v>
      </c>
      <c r="AQ44" s="3" t="str">
        <f>HYPERLINK("https://icf.clappia.com/app/GMB253374/submission/UZI18513491/ICF247370-GMB253374-3h9cia0c320o00000000/SIG-20250703_1159133eod.jpeg", "SIG-20250703_1159133eod.jpeg")</f>
        <v>SIG-20250703_1159133eod.jpeg</v>
      </c>
      <c r="AR44" s="1" t="s">
        <v>306</v>
      </c>
      <c r="AS44" s="3" t="str">
        <f>HYPERLINK("https://icf.clappia.com/app/GMB253374/submission/UZI18513491/ICF247370-GMB253374-4m1ehglhfn2400000000/SIG-20250703_1201f077h.jpeg", "SIG-20250703_1201f077h.jpeg")</f>
        <v>SIG-20250703_1201f077h.jpeg</v>
      </c>
      <c r="AT44" s="1" t="s">
        <v>307</v>
      </c>
      <c r="AU44" s="3" t="str">
        <f>HYPERLINK("https://icf.clappia.com/app/GMB253374/submission/UZI18513491/ICF247370-GMB253374-5308ij17hoca00000000/SIG-20250703_1202a1n12.jpeg", "SIG-20250703_1202a1n12.jpeg")</f>
        <v>SIG-20250703_1202a1n12.jpeg</v>
      </c>
      <c r="AV44" s="3" t="str">
        <f>HYPERLINK("https://www.google.com/maps/place/8.7791283%2C-12.0439867", "8.7791283,-12.0439867")</f>
        <v>8.7791283,-12.0439867</v>
      </c>
    </row>
    <row r="45" ht="15.75" customHeight="1">
      <c r="A45" s="1" t="s">
        <v>308</v>
      </c>
      <c r="B45" s="1" t="s">
        <v>102</v>
      </c>
      <c r="C45" s="1" t="s">
        <v>309</v>
      </c>
      <c r="D45" s="1" t="s">
        <v>310</v>
      </c>
      <c r="E45" s="1" t="s">
        <v>311</v>
      </c>
      <c r="F45" s="1" t="s">
        <v>64</v>
      </c>
      <c r="G45" s="1">
        <v>74.0</v>
      </c>
      <c r="H45" s="1" t="s">
        <v>50</v>
      </c>
      <c r="I45" s="1">
        <v>21.0</v>
      </c>
      <c r="J45" s="1">
        <v>13.0</v>
      </c>
      <c r="K45" s="1">
        <v>13.0</v>
      </c>
      <c r="L45" s="1">
        <v>8.0</v>
      </c>
      <c r="M45" s="1">
        <v>8.0</v>
      </c>
      <c r="N45" s="1" t="s">
        <v>51</v>
      </c>
      <c r="O45" s="1">
        <v>13.0</v>
      </c>
      <c r="P45" s="1">
        <v>5.0</v>
      </c>
      <c r="Q45" s="1">
        <v>5.0</v>
      </c>
      <c r="R45" s="1">
        <v>8.0</v>
      </c>
      <c r="S45" s="1">
        <v>8.0</v>
      </c>
      <c r="T45" s="1" t="s">
        <v>52</v>
      </c>
      <c r="U45" s="1">
        <v>17.0</v>
      </c>
      <c r="V45" s="1">
        <v>7.0</v>
      </c>
      <c r="W45" s="1">
        <v>7.0</v>
      </c>
      <c r="X45" s="1">
        <v>10.0</v>
      </c>
      <c r="Y45" s="1">
        <v>10.0</v>
      </c>
      <c r="Z45" s="1" t="s">
        <v>53</v>
      </c>
      <c r="AA45" s="1">
        <v>14.0</v>
      </c>
      <c r="AB45" s="1">
        <v>8.0</v>
      </c>
      <c r="AC45" s="1">
        <v>8.0</v>
      </c>
      <c r="AD45" s="1">
        <v>6.0</v>
      </c>
      <c r="AE45" s="1">
        <v>6.0</v>
      </c>
      <c r="AF45" s="1" t="s">
        <v>54</v>
      </c>
      <c r="AG45" s="1">
        <v>8.0</v>
      </c>
      <c r="AH45" s="1">
        <v>3.0</v>
      </c>
      <c r="AI45" s="1">
        <v>3.0</v>
      </c>
      <c r="AJ45" s="1">
        <v>5.0</v>
      </c>
      <c r="AK45" s="1">
        <v>5.0</v>
      </c>
      <c r="AL45" s="1">
        <v>73.0</v>
      </c>
      <c r="AM45" s="1" t="s">
        <v>55</v>
      </c>
      <c r="AN45" s="1">
        <v>1.0</v>
      </c>
      <c r="AO45" s="1">
        <v>1.0</v>
      </c>
      <c r="AP45" s="1" t="s">
        <v>312</v>
      </c>
      <c r="AQ45" s="3" t="str">
        <f>HYPERLINK("https://icf.clappia.com/app/GMB253374/submission/MEG66519861/ICF247370-GMB253374-2771a183c9cg80000000/SIG-20250703_10455fhn2.jpeg", "SIG-20250703_10455fhn2.jpeg")</f>
        <v>SIG-20250703_10455fhn2.jpeg</v>
      </c>
      <c r="AR45" s="1" t="s">
        <v>313</v>
      </c>
      <c r="AS45" s="3" t="str">
        <f>HYPERLINK("https://icf.clappia.com/app/GMB253374/submission/MEG66519861/ICF247370-GMB253374-356hcn8jc2p800000000/SIG-20250703_1046191k3g.jpeg", "SIG-20250703_1046191k3g.jpeg")</f>
        <v>SIG-20250703_1046191k3g.jpeg</v>
      </c>
      <c r="AT45" s="1" t="s">
        <v>314</v>
      </c>
      <c r="AU45" s="3" t="str">
        <f>HYPERLINK("https://icf.clappia.com/app/GMB253374/submission/MEG66519861/ICF247370-GMB253374-21ec1m25le9n60000000/SIG-20250703_1046nk8of.jpeg", "SIG-20250703_1046nk8of.jpeg")</f>
        <v>SIG-20250703_1046nk8of.jpeg</v>
      </c>
      <c r="AV45" s="3" t="str">
        <f>HYPERLINK("https://www.google.com/maps/place/9.0896667%2C-12.0045533", "9.0896667,-12.0045533")</f>
        <v>9.0896667,-12.0045533</v>
      </c>
    </row>
    <row r="46" ht="15.75" customHeight="1">
      <c r="A46" s="1" t="s">
        <v>315</v>
      </c>
      <c r="B46" s="1" t="s">
        <v>215</v>
      </c>
      <c r="C46" s="1" t="s">
        <v>316</v>
      </c>
      <c r="D46" s="1" t="s">
        <v>316</v>
      </c>
      <c r="E46" s="1" t="s">
        <v>317</v>
      </c>
      <c r="F46" s="1" t="s">
        <v>64</v>
      </c>
      <c r="G46" s="1">
        <v>286.0</v>
      </c>
      <c r="H46" s="1" t="s">
        <v>50</v>
      </c>
      <c r="I46" s="1">
        <v>76.0</v>
      </c>
      <c r="J46" s="1">
        <v>38.0</v>
      </c>
      <c r="K46" s="1">
        <v>38.0</v>
      </c>
      <c r="L46" s="1">
        <v>38.0</v>
      </c>
      <c r="M46" s="1">
        <v>34.0</v>
      </c>
      <c r="N46" s="1" t="s">
        <v>51</v>
      </c>
      <c r="O46" s="1">
        <v>49.0</v>
      </c>
      <c r="P46" s="1">
        <v>29.0</v>
      </c>
      <c r="Q46" s="1">
        <v>29.0</v>
      </c>
      <c r="R46" s="1">
        <v>20.0</v>
      </c>
      <c r="S46" s="1">
        <v>20.0</v>
      </c>
      <c r="T46" s="1" t="s">
        <v>52</v>
      </c>
      <c r="U46" s="1">
        <v>45.0</v>
      </c>
      <c r="V46" s="1">
        <v>25.0</v>
      </c>
      <c r="W46" s="1">
        <v>24.0</v>
      </c>
      <c r="X46" s="1">
        <v>20.0</v>
      </c>
      <c r="Y46" s="1">
        <v>20.0</v>
      </c>
      <c r="Z46" s="1" t="s">
        <v>53</v>
      </c>
      <c r="AA46" s="1">
        <v>45.0</v>
      </c>
      <c r="AB46" s="1">
        <v>23.0</v>
      </c>
      <c r="AC46" s="1">
        <v>23.0</v>
      </c>
      <c r="AD46" s="1">
        <v>22.0</v>
      </c>
      <c r="AE46" s="1">
        <v>20.0</v>
      </c>
      <c r="AF46" s="1" t="s">
        <v>54</v>
      </c>
      <c r="AG46" s="1">
        <v>52.0</v>
      </c>
      <c r="AH46" s="1">
        <v>29.0</v>
      </c>
      <c r="AI46" s="1">
        <v>29.0</v>
      </c>
      <c r="AJ46" s="1">
        <v>23.0</v>
      </c>
      <c r="AK46" s="1">
        <v>23.0</v>
      </c>
      <c r="AL46" s="1">
        <v>260.0</v>
      </c>
      <c r="AM46" s="1">
        <v>7.0</v>
      </c>
      <c r="AN46" s="1">
        <v>19.0</v>
      </c>
      <c r="AO46" s="1">
        <v>19.0</v>
      </c>
      <c r="AP46" s="1" t="s">
        <v>318</v>
      </c>
      <c r="AQ46" s="3" t="str">
        <f>HYPERLINK("https://icf.clappia.com/app/GMB253374/submission/YUQ08340681/ICF247370-GMB253374-1n35c3h5alg3a0000000/SIG-20250704_090117m3dl.jpeg", "SIG-20250704_090117m3dl.jpeg")</f>
        <v>SIG-20250704_090117m3dl.jpeg</v>
      </c>
      <c r="AR46" s="1" t="s">
        <v>319</v>
      </c>
      <c r="AS46" s="3" t="str">
        <f>HYPERLINK("https://icf.clappia.com/app/GMB253374/submission/YUQ08340681/ICF247370-GMB253374-34k48i2fj4bc00000000/SIG-20250704_0902elcj6.jpeg", "SIG-20250704_0902elcj6.jpeg")</f>
        <v>SIG-20250704_0902elcj6.jpeg</v>
      </c>
      <c r="AT46" s="1" t="s">
        <v>320</v>
      </c>
      <c r="AU46" s="3" t="str">
        <f>HYPERLINK("https://icf.clappia.com/app/GMB253374/submission/YUQ08340681/ICF247370-GMB253374-1jko858j560ko0000000/SIG-20250704_09024edep.jpeg", "SIG-20250704_09024edep.jpeg")</f>
        <v>SIG-20250704_09024edep.jpeg</v>
      </c>
      <c r="AV46" s="3" t="str">
        <f>HYPERLINK("https://www.google.com/maps/place/8.70317%2C-12.1413267", "8.70317,-12.1413267")</f>
        <v>8.70317,-12.1413267</v>
      </c>
    </row>
    <row r="47" ht="15.75" customHeight="1">
      <c r="A47" s="1" t="s">
        <v>321</v>
      </c>
      <c r="B47" s="1" t="s">
        <v>189</v>
      </c>
      <c r="C47" s="1" t="s">
        <v>322</v>
      </c>
      <c r="D47" s="1" t="s">
        <v>322</v>
      </c>
      <c r="E47" s="1" t="s">
        <v>323</v>
      </c>
      <c r="F47" s="1" t="s">
        <v>49</v>
      </c>
      <c r="G47" s="1">
        <v>150.0</v>
      </c>
      <c r="H47" s="1" t="s">
        <v>50</v>
      </c>
      <c r="I47" s="1">
        <v>27.0</v>
      </c>
      <c r="J47" s="1">
        <v>16.0</v>
      </c>
      <c r="K47" s="1">
        <v>16.0</v>
      </c>
      <c r="L47" s="1">
        <v>11.0</v>
      </c>
      <c r="M47" s="1">
        <v>11.0</v>
      </c>
      <c r="N47" s="1" t="s">
        <v>51</v>
      </c>
      <c r="O47" s="1">
        <v>33.0</v>
      </c>
      <c r="P47" s="1">
        <v>20.0</v>
      </c>
      <c r="Q47" s="1">
        <v>20.0</v>
      </c>
      <c r="R47" s="1">
        <v>13.0</v>
      </c>
      <c r="S47" s="1">
        <v>13.0</v>
      </c>
      <c r="T47" s="1" t="s">
        <v>52</v>
      </c>
      <c r="U47" s="1">
        <v>28.0</v>
      </c>
      <c r="V47" s="1">
        <v>17.0</v>
      </c>
      <c r="W47" s="1">
        <v>17.0</v>
      </c>
      <c r="X47" s="1">
        <v>11.0</v>
      </c>
      <c r="Y47" s="1">
        <v>11.0</v>
      </c>
      <c r="Z47" s="1" t="s">
        <v>53</v>
      </c>
      <c r="AA47" s="1">
        <v>34.0</v>
      </c>
      <c r="AB47" s="1">
        <v>19.0</v>
      </c>
      <c r="AC47" s="1">
        <v>19.0</v>
      </c>
      <c r="AD47" s="1">
        <v>15.0</v>
      </c>
      <c r="AE47" s="1">
        <v>15.0</v>
      </c>
      <c r="AF47" s="1" t="s">
        <v>54</v>
      </c>
      <c r="AG47" s="1">
        <v>26.0</v>
      </c>
      <c r="AH47" s="1">
        <v>11.0</v>
      </c>
      <c r="AI47" s="1">
        <v>11.0</v>
      </c>
      <c r="AJ47" s="1">
        <v>15.0</v>
      </c>
      <c r="AK47" s="1">
        <v>15.0</v>
      </c>
      <c r="AL47" s="1">
        <v>148.0</v>
      </c>
      <c r="AM47" s="1">
        <v>2.0</v>
      </c>
      <c r="AN47" s="1" t="s">
        <v>55</v>
      </c>
      <c r="AO47" s="1" t="s">
        <v>55</v>
      </c>
      <c r="AP47" s="1" t="s">
        <v>324</v>
      </c>
      <c r="AQ47" s="3" t="str">
        <f>HYPERLINK("https://icf.clappia.com/app/GMB253374/submission/BNE85327911/ICF247370-GMB253374-5cgdi9hbo7m20000000/SIG-20250703_123913eb5l.jpeg", "SIG-20250703_123913eb5l.jpeg")</f>
        <v>SIG-20250703_123913eb5l.jpeg</v>
      </c>
      <c r="AR47" s="1" t="s">
        <v>325</v>
      </c>
      <c r="AS47" s="3" t="str">
        <f>HYPERLINK("https://icf.clappia.com/app/GMB253374/submission/BNE85327911/ICF247370-GMB253374-38g8052glhpc00000000/SIG-20250703_12381940ap.jpeg", "SIG-20250703_12381940ap.jpeg")</f>
        <v>SIG-20250703_12381940ap.jpeg</v>
      </c>
      <c r="AT47" s="1" t="s">
        <v>326</v>
      </c>
      <c r="AU47" s="3" t="str">
        <f>HYPERLINK("https://icf.clappia.com/app/GMB253374/submission/BNE85327911/ICF247370-GMB253374-1mmgb13id9ha00000000/SIG-20250703_12393gc6e.jpeg", "SIG-20250703_12393gc6e.jpeg")</f>
        <v>SIG-20250703_12393gc6e.jpeg</v>
      </c>
      <c r="AV47" s="3" t="str">
        <f>HYPERLINK("https://www.google.com/maps/place/8.8917181%2C-12.0365743", "8.8917181,-12.0365743")</f>
        <v>8.8917181,-12.0365743</v>
      </c>
    </row>
    <row r="48" ht="15.75" customHeight="1">
      <c r="A48" s="1" t="s">
        <v>327</v>
      </c>
      <c r="B48" s="1" t="s">
        <v>46</v>
      </c>
      <c r="C48" s="1" t="s">
        <v>328</v>
      </c>
      <c r="D48" s="1" t="s">
        <v>329</v>
      </c>
      <c r="E48" s="1" t="s">
        <v>330</v>
      </c>
      <c r="F48" s="1" t="s">
        <v>49</v>
      </c>
      <c r="G48" s="1">
        <v>79.0</v>
      </c>
      <c r="H48" s="1" t="s">
        <v>50</v>
      </c>
      <c r="I48" s="1">
        <v>4.0</v>
      </c>
      <c r="J48" s="1">
        <v>2.0</v>
      </c>
      <c r="K48" s="1">
        <v>1.0</v>
      </c>
      <c r="L48" s="1">
        <v>2.0</v>
      </c>
      <c r="M48" s="1">
        <v>2.0</v>
      </c>
      <c r="N48" s="1" t="s">
        <v>51</v>
      </c>
      <c r="O48" s="1">
        <v>5.0</v>
      </c>
      <c r="P48" s="1">
        <v>1.0</v>
      </c>
      <c r="Q48" s="1">
        <v>1.0</v>
      </c>
      <c r="R48" s="1">
        <v>4.0</v>
      </c>
      <c r="S48" s="1">
        <v>3.0</v>
      </c>
      <c r="T48" s="1" t="s">
        <v>52</v>
      </c>
      <c r="U48" s="1">
        <v>5.0</v>
      </c>
      <c r="V48" s="1">
        <v>1.0</v>
      </c>
      <c r="W48" s="1">
        <v>1.0</v>
      </c>
      <c r="X48" s="1">
        <v>4.0</v>
      </c>
      <c r="Y48" s="1">
        <v>4.0</v>
      </c>
      <c r="Z48" s="1" t="s">
        <v>53</v>
      </c>
      <c r="AA48" s="1">
        <v>5.0</v>
      </c>
      <c r="AB48" s="1">
        <v>2.0</v>
      </c>
      <c r="AC48" s="1">
        <v>2.0</v>
      </c>
      <c r="AD48" s="1">
        <v>3.0</v>
      </c>
      <c r="AE48" s="1">
        <v>3.0</v>
      </c>
      <c r="AF48" s="1" t="s">
        <v>54</v>
      </c>
      <c r="AG48" s="1">
        <v>7.0</v>
      </c>
      <c r="AH48" s="1">
        <v>2.0</v>
      </c>
      <c r="AI48" s="1">
        <v>2.0</v>
      </c>
      <c r="AJ48" s="1">
        <v>5.0</v>
      </c>
      <c r="AK48" s="1">
        <v>4.0</v>
      </c>
      <c r="AL48" s="1">
        <v>23.0</v>
      </c>
      <c r="AM48" s="1">
        <v>3.0</v>
      </c>
      <c r="AN48" s="1">
        <v>53.0</v>
      </c>
      <c r="AO48" s="1">
        <v>53.0</v>
      </c>
      <c r="AP48" s="1" t="s">
        <v>331</v>
      </c>
      <c r="AQ48" s="3" t="str">
        <f>HYPERLINK("https://icf.clappia.com/app/GMB253374/submission/YPA76756950/ICF247370-GMB253374-4f53mc80b7pk00000000/SIG-20250701_1303a02nb.jpeg", "SIG-20250701_1303a02nb.jpeg")</f>
        <v>SIG-20250701_1303a02nb.jpeg</v>
      </c>
      <c r="AR48" s="1" t="s">
        <v>332</v>
      </c>
      <c r="AS48" s="3" t="str">
        <f>HYPERLINK("https://icf.clappia.com/app/GMB253374/submission/YPA76756950/ICF247370-GMB253374-36oddod787k800000000/SIG-20250701_13039321j.jpeg", "SIG-20250701_13039321j.jpeg")</f>
        <v>SIG-20250701_13039321j.jpeg</v>
      </c>
      <c r="AT48" s="1" t="s">
        <v>333</v>
      </c>
      <c r="AU48" s="3" t="str">
        <f>HYPERLINK("https://icf.clappia.com/app/GMB253374/submission/YPA76756950/ICF247370-GMB253374-5p87h5k2728a00000000/SIG-20250701_1304841if.jpeg", "SIG-20250701_1304841if.jpeg")</f>
        <v>SIG-20250701_1304841if.jpeg</v>
      </c>
      <c r="AV48" s="3" t="str">
        <f>HYPERLINK("https://www.google.com/maps/place/8.8987067%2C-12.0517933", "8.8987067,-12.0517933")</f>
        <v>8.8987067,-12.0517933</v>
      </c>
    </row>
    <row r="49" ht="15.75" customHeight="1">
      <c r="A49" s="1" t="s">
        <v>334</v>
      </c>
      <c r="B49" s="1" t="s">
        <v>335</v>
      </c>
      <c r="C49" s="1" t="s">
        <v>336</v>
      </c>
      <c r="D49" s="1" t="s">
        <v>336</v>
      </c>
      <c r="E49" s="1" t="s">
        <v>337</v>
      </c>
      <c r="F49" s="1" t="s">
        <v>64</v>
      </c>
      <c r="G49" s="1">
        <v>70.0</v>
      </c>
      <c r="H49" s="1" t="s">
        <v>50</v>
      </c>
      <c r="I49" s="1">
        <v>48.0</v>
      </c>
      <c r="J49" s="1">
        <v>23.0</v>
      </c>
      <c r="K49" s="1">
        <v>23.0</v>
      </c>
      <c r="L49" s="1">
        <v>25.0</v>
      </c>
      <c r="M49" s="1">
        <v>25.0</v>
      </c>
      <c r="N49" s="1" t="s">
        <v>51</v>
      </c>
      <c r="O49" s="1">
        <v>6.0</v>
      </c>
      <c r="P49" s="1">
        <v>1.0</v>
      </c>
      <c r="Q49" s="1">
        <v>1.0</v>
      </c>
      <c r="R49" s="1">
        <v>5.0</v>
      </c>
      <c r="S49" s="1">
        <v>5.0</v>
      </c>
      <c r="T49" s="1" t="s">
        <v>52</v>
      </c>
      <c r="U49" s="1">
        <v>10.0</v>
      </c>
      <c r="V49" s="1">
        <v>3.0</v>
      </c>
      <c r="W49" s="1">
        <v>3.0</v>
      </c>
      <c r="X49" s="1">
        <v>7.0</v>
      </c>
      <c r="Y49" s="1">
        <v>7.0</v>
      </c>
      <c r="Z49" s="1" t="s">
        <v>53</v>
      </c>
      <c r="AA49" s="1">
        <v>4.0</v>
      </c>
      <c r="AB49" s="1">
        <v>1.0</v>
      </c>
      <c r="AC49" s="1">
        <v>1.0</v>
      </c>
      <c r="AD49" s="1">
        <v>3.0</v>
      </c>
      <c r="AE49" s="1">
        <v>3.0</v>
      </c>
      <c r="AF49" s="1" t="s">
        <v>54</v>
      </c>
      <c r="AG49" s="1">
        <v>2.0</v>
      </c>
      <c r="AH49" s="1">
        <v>1.0</v>
      </c>
      <c r="AI49" s="1">
        <v>1.0</v>
      </c>
      <c r="AJ49" s="1">
        <v>1.0</v>
      </c>
      <c r="AK49" s="1">
        <v>1.0</v>
      </c>
      <c r="AL49" s="1">
        <v>70.0</v>
      </c>
      <c r="AM49" s="1" t="s">
        <v>55</v>
      </c>
      <c r="AN49" s="1" t="s">
        <v>55</v>
      </c>
      <c r="AO49" s="1" t="s">
        <v>55</v>
      </c>
      <c r="AP49" s="1" t="s">
        <v>338</v>
      </c>
      <c r="AQ49" s="3" t="str">
        <f>HYPERLINK("https://icf.clappia.com/app/GMB253374/submission/MXP58675583/ICF247370-GMB253374-1icbimkb42bg40000000/SIG-20250704_0647bg2h5.jpeg", "SIG-20250704_0647bg2h5.jpeg")</f>
        <v>SIG-20250704_0647bg2h5.jpeg</v>
      </c>
      <c r="AR49" s="1" t="s">
        <v>339</v>
      </c>
      <c r="AS49" s="3" t="str">
        <f>HYPERLINK("https://icf.clappia.com/app/GMB253374/submission/MXP58675583/ICF247370-GMB253374-483681nc134c00000000/SIG-20250704_06482ak5m.jpeg", "SIG-20250704_06482ak5m.jpeg")</f>
        <v>SIG-20250704_06482ak5m.jpeg</v>
      </c>
      <c r="AT49" s="1" t="s">
        <v>340</v>
      </c>
      <c r="AU49" s="3" t="str">
        <f>HYPERLINK("https://icf.clappia.com/app/GMB253374/submission/MXP58675583/ICF247370-GMB253374-332fhpime35400000000/SIG-20250704_0649o7poi.jpeg", "SIG-20250704_0649o7poi.jpeg")</f>
        <v>SIG-20250704_0649o7poi.jpeg</v>
      </c>
      <c r="AV49" s="3" t="str">
        <f>HYPERLINK("https://www.google.com/maps/place/8.1585961%2C-11.5924936", "8.1585961,-11.5924936")</f>
        <v>8.1585961,-11.5924936</v>
      </c>
    </row>
    <row r="50" ht="15.75" customHeight="1">
      <c r="A50" s="1" t="s">
        <v>341</v>
      </c>
      <c r="B50" s="1" t="s">
        <v>342</v>
      </c>
      <c r="C50" s="1" t="s">
        <v>343</v>
      </c>
      <c r="D50" s="1" t="s">
        <v>343</v>
      </c>
      <c r="E50" s="1" t="s">
        <v>344</v>
      </c>
      <c r="F50" s="1" t="s">
        <v>64</v>
      </c>
      <c r="G50" s="1">
        <v>212.0</v>
      </c>
      <c r="H50" s="1" t="s">
        <v>50</v>
      </c>
      <c r="I50" s="1">
        <v>61.0</v>
      </c>
      <c r="J50" s="1">
        <v>28.0</v>
      </c>
      <c r="K50" s="1">
        <v>27.0</v>
      </c>
      <c r="L50" s="1">
        <v>33.0</v>
      </c>
      <c r="M50" s="1">
        <v>32.0</v>
      </c>
      <c r="N50" s="1" t="s">
        <v>51</v>
      </c>
      <c r="O50" s="1">
        <v>50.0</v>
      </c>
      <c r="P50" s="1">
        <v>26.0</v>
      </c>
      <c r="Q50" s="1">
        <v>25.0</v>
      </c>
      <c r="R50" s="1">
        <v>24.0</v>
      </c>
      <c r="S50" s="1">
        <v>24.0</v>
      </c>
      <c r="T50" s="1" t="s">
        <v>52</v>
      </c>
      <c r="U50" s="1">
        <v>34.0</v>
      </c>
      <c r="V50" s="1">
        <v>15.0</v>
      </c>
      <c r="W50" s="1">
        <v>15.0</v>
      </c>
      <c r="X50" s="1">
        <v>19.0</v>
      </c>
      <c r="Y50" s="1">
        <v>19.0</v>
      </c>
      <c r="Z50" s="1" t="s">
        <v>53</v>
      </c>
      <c r="AA50" s="1">
        <v>29.0</v>
      </c>
      <c r="AB50" s="1">
        <v>17.0</v>
      </c>
      <c r="AC50" s="1">
        <v>16.0</v>
      </c>
      <c r="AD50" s="1">
        <v>12.0</v>
      </c>
      <c r="AE50" s="1">
        <v>12.0</v>
      </c>
      <c r="AF50" s="1" t="s">
        <v>54</v>
      </c>
      <c r="AG50" s="1">
        <v>38.0</v>
      </c>
      <c r="AH50" s="1">
        <v>19.0</v>
      </c>
      <c r="AI50" s="1">
        <v>18.0</v>
      </c>
      <c r="AJ50" s="1">
        <v>19.0</v>
      </c>
      <c r="AK50" s="1">
        <v>19.0</v>
      </c>
      <c r="AL50" s="1">
        <v>207.0</v>
      </c>
      <c r="AM50" s="1">
        <v>5.0</v>
      </c>
      <c r="AN50" s="1" t="s">
        <v>55</v>
      </c>
      <c r="AO50" s="1" t="s">
        <v>55</v>
      </c>
      <c r="AP50" s="1" t="s">
        <v>345</v>
      </c>
      <c r="AQ50" s="3" t="str">
        <f>HYPERLINK("https://icf.clappia.com/app/GMB253374/submission/RAD26504080/ICF247370-GMB253374-4k9762g1ae2000000000/SIG-20250703_20449426k.jpeg", "SIG-20250703_20449426k.jpeg")</f>
        <v>SIG-20250703_20449426k.jpeg</v>
      </c>
      <c r="AR50" s="1" t="s">
        <v>346</v>
      </c>
      <c r="AS50" s="3" t="str">
        <f>HYPERLINK("https://icf.clappia.com/app/GMB253374/submission/RAD26504080/ICF247370-GMB253374-52g0697e60240000000/SIG-20250703_20438nkfe.jpeg", "SIG-20250703_20438nkfe.jpeg")</f>
        <v>SIG-20250703_20438nkfe.jpeg</v>
      </c>
      <c r="AT50" s="1" t="s">
        <v>347</v>
      </c>
      <c r="AU50" s="3" t="str">
        <f>HYPERLINK("https://icf.clappia.com/app/GMB253374/submission/RAD26504080/ICF247370-GMB253374-5a031pb4co4400000000/SIG-20250703_204419l412.jpeg", "SIG-20250703_204419l412.jpeg")</f>
        <v>SIG-20250703_204419l412.jpeg</v>
      </c>
      <c r="AV50" s="3" t="str">
        <f>HYPERLINK("https://www.google.com/maps/place/9.121005%2C-12.1112567", "9.121005,-12.1112567")</f>
        <v>9.121005,-12.1112567</v>
      </c>
    </row>
    <row r="51" ht="15.75" customHeight="1">
      <c r="A51" s="1" t="s">
        <v>348</v>
      </c>
      <c r="B51" s="1" t="s">
        <v>349</v>
      </c>
      <c r="C51" s="1" t="s">
        <v>350</v>
      </c>
      <c r="D51" s="1" t="s">
        <v>350</v>
      </c>
      <c r="E51" s="1" t="s">
        <v>351</v>
      </c>
      <c r="F51" s="1" t="s">
        <v>64</v>
      </c>
      <c r="G51" s="1">
        <v>350.0</v>
      </c>
      <c r="H51" s="1" t="s">
        <v>50</v>
      </c>
      <c r="I51" s="1">
        <v>66.0</v>
      </c>
      <c r="J51" s="1">
        <v>35.0</v>
      </c>
      <c r="K51" s="1">
        <v>35.0</v>
      </c>
      <c r="L51" s="1">
        <v>31.0</v>
      </c>
      <c r="M51" s="1">
        <v>31.0</v>
      </c>
      <c r="N51" s="1" t="s">
        <v>51</v>
      </c>
      <c r="O51" s="1">
        <v>64.0</v>
      </c>
      <c r="P51" s="1">
        <v>35.0</v>
      </c>
      <c r="Q51" s="1">
        <v>35.0</v>
      </c>
      <c r="R51" s="1">
        <v>29.0</v>
      </c>
      <c r="S51" s="1">
        <v>29.0</v>
      </c>
      <c r="T51" s="1" t="s">
        <v>52</v>
      </c>
      <c r="U51" s="1">
        <v>65.0</v>
      </c>
      <c r="V51" s="1">
        <v>35.0</v>
      </c>
      <c r="W51" s="1">
        <v>35.0</v>
      </c>
      <c r="X51" s="1">
        <v>30.0</v>
      </c>
      <c r="Y51" s="1">
        <v>30.0</v>
      </c>
      <c r="Z51" s="1" t="s">
        <v>53</v>
      </c>
      <c r="AA51" s="1">
        <v>63.0</v>
      </c>
      <c r="AB51" s="1">
        <v>28.0</v>
      </c>
      <c r="AC51" s="1">
        <v>28.0</v>
      </c>
      <c r="AD51" s="1">
        <v>35.0</v>
      </c>
      <c r="AE51" s="1">
        <v>35.0</v>
      </c>
      <c r="AF51" s="1" t="s">
        <v>54</v>
      </c>
      <c r="AG51" s="1">
        <v>55.0</v>
      </c>
      <c r="AH51" s="1">
        <v>22.0</v>
      </c>
      <c r="AI51" s="1">
        <v>22.0</v>
      </c>
      <c r="AJ51" s="1">
        <v>33.0</v>
      </c>
      <c r="AK51" s="1">
        <v>33.0</v>
      </c>
      <c r="AL51" s="1">
        <v>313.0</v>
      </c>
      <c r="AM51" s="1" t="s">
        <v>55</v>
      </c>
      <c r="AN51" s="1">
        <v>37.0</v>
      </c>
      <c r="AO51" s="1">
        <v>37.0</v>
      </c>
      <c r="AP51" s="1" t="s">
        <v>352</v>
      </c>
      <c r="AQ51" s="3" t="str">
        <f>HYPERLINK("https://icf.clappia.com/app/GMB253374/submission/FYQ00687942/ICF247370-GMB253374-4me6mnom17hg00000000/SIG-20250703_202710j33f.jpeg", "SIG-20250703_202710j33f.jpeg")</f>
        <v>SIG-20250703_202710j33f.jpeg</v>
      </c>
      <c r="AR51" s="1" t="s">
        <v>353</v>
      </c>
      <c r="AS51" s="3" t="str">
        <f>HYPERLINK("https://icf.clappia.com/app/GMB253374/submission/FYQ00687942/ICF247370-GMB253374-3ehkmo8g803800000000/SIG-20250703_20273o902.jpeg", "SIG-20250703_20273o902.jpeg")</f>
        <v>SIG-20250703_20273o902.jpeg</v>
      </c>
      <c r="AT51" s="1" t="s">
        <v>354</v>
      </c>
      <c r="AU51" s="3" t="str">
        <f>HYPERLINK("https://icf.clappia.com/app/GMB253374/submission/FYQ00687942/ICF247370-GMB253374-1if3o3n5m1fh2000000/SIG-20250703_2028ha15.jpeg", "SIG-20250703_2028ha15.jpeg")</f>
        <v>SIG-20250703_2028ha15.jpeg</v>
      </c>
      <c r="AV51" s="3" t="str">
        <f>HYPERLINK("https://www.google.com/maps/place/8.9502333%2C-11.9820017", "8.9502333,-11.9820017")</f>
        <v>8.9502333,-11.9820017</v>
      </c>
    </row>
    <row r="52" ht="15.75" customHeight="1">
      <c r="A52" s="1" t="s">
        <v>355</v>
      </c>
      <c r="B52" s="1" t="s">
        <v>356</v>
      </c>
      <c r="C52" s="1" t="s">
        <v>357</v>
      </c>
      <c r="D52" s="1" t="s">
        <v>357</v>
      </c>
      <c r="E52" s="1" t="s">
        <v>358</v>
      </c>
      <c r="F52" s="1" t="s">
        <v>64</v>
      </c>
      <c r="G52" s="1">
        <v>180.0</v>
      </c>
      <c r="H52" s="1" t="s">
        <v>50</v>
      </c>
      <c r="I52" s="1">
        <v>82.0</v>
      </c>
      <c r="J52" s="1">
        <v>40.0</v>
      </c>
      <c r="K52" s="1">
        <v>35.0</v>
      </c>
      <c r="L52" s="1">
        <v>42.0</v>
      </c>
      <c r="M52" s="1">
        <v>42.0</v>
      </c>
      <c r="N52" s="1" t="s">
        <v>51</v>
      </c>
      <c r="O52" s="1">
        <v>20.0</v>
      </c>
      <c r="P52" s="1">
        <v>10.0</v>
      </c>
      <c r="Q52" s="1">
        <v>10.0</v>
      </c>
      <c r="R52" s="1">
        <v>10.0</v>
      </c>
      <c r="S52" s="1">
        <v>10.0</v>
      </c>
      <c r="T52" s="1" t="s">
        <v>52</v>
      </c>
      <c r="U52" s="1">
        <v>27.0</v>
      </c>
      <c r="V52" s="1">
        <v>10.0</v>
      </c>
      <c r="W52" s="1">
        <v>10.0</v>
      </c>
      <c r="X52" s="1">
        <v>17.0</v>
      </c>
      <c r="Y52" s="1">
        <v>17.0</v>
      </c>
      <c r="Z52" s="1" t="s">
        <v>53</v>
      </c>
      <c r="AA52" s="1">
        <v>21.0</v>
      </c>
      <c r="AB52" s="1">
        <v>5.0</v>
      </c>
      <c r="AC52" s="1">
        <v>5.0</v>
      </c>
      <c r="AD52" s="1">
        <v>16.0</v>
      </c>
      <c r="AE52" s="1">
        <v>16.0</v>
      </c>
      <c r="AF52" s="1" t="s">
        <v>54</v>
      </c>
      <c r="AG52" s="1">
        <v>24.0</v>
      </c>
      <c r="AH52" s="1">
        <v>13.0</v>
      </c>
      <c r="AI52" s="1">
        <v>13.0</v>
      </c>
      <c r="AJ52" s="1">
        <v>11.0</v>
      </c>
      <c r="AK52" s="1">
        <v>10.0</v>
      </c>
      <c r="AL52" s="1">
        <v>168.0</v>
      </c>
      <c r="AM52" s="1" t="s">
        <v>55</v>
      </c>
      <c r="AN52" s="1">
        <v>12.0</v>
      </c>
      <c r="AO52" s="1">
        <v>12.0</v>
      </c>
      <c r="AP52" s="1" t="s">
        <v>359</v>
      </c>
      <c r="AQ52" s="3" t="str">
        <f>HYPERLINK("https://icf.clappia.com/app/GMB253374/submission/MGU12946357/ICF247370-GMB253374-2g384e8nib6800000000/SIG-20250703_19538fjcl.jpeg", "SIG-20250703_19538fjcl.jpeg")</f>
        <v>SIG-20250703_19538fjcl.jpeg</v>
      </c>
      <c r="AR52" s="1" t="s">
        <v>360</v>
      </c>
      <c r="AS52" s="3" t="str">
        <f>HYPERLINK("https://icf.clappia.com/app/GMB253374/submission/MGU12946357/ICF247370-GMB253374-3o0fcne3o40200000000/SIG-20250703_195411loen.jpeg", "SIG-20250703_195411loen.jpeg")</f>
        <v>SIG-20250703_195411loen.jpeg</v>
      </c>
      <c r="AT52" s="1" t="s">
        <v>361</v>
      </c>
      <c r="AU52" s="3" t="str">
        <f>HYPERLINK("https://icf.clappia.com/app/GMB253374/submission/MGU12946357/ICF247370-GMB253374-ld8edpmf14ba0000000/SIG-20250703_1954g60i.jpeg", "SIG-20250703_1954g60i.jpeg")</f>
        <v>SIG-20250703_1954g60i.jpeg</v>
      </c>
      <c r="AV52" s="3" t="str">
        <f>HYPERLINK("https://www.google.com/maps/place/8.32304%2C-11.7341767", "8.32304,-11.7341767")</f>
        <v>8.32304,-11.7341767</v>
      </c>
    </row>
    <row r="53" ht="15.75" customHeight="1">
      <c r="A53" s="1" t="s">
        <v>362</v>
      </c>
      <c r="B53" s="1" t="s">
        <v>356</v>
      </c>
      <c r="C53" s="1" t="s">
        <v>363</v>
      </c>
      <c r="D53" s="1" t="s">
        <v>364</v>
      </c>
      <c r="E53" s="1" t="s">
        <v>365</v>
      </c>
      <c r="F53" s="1" t="s">
        <v>64</v>
      </c>
      <c r="G53" s="1">
        <v>86.0</v>
      </c>
      <c r="H53" s="1" t="s">
        <v>50</v>
      </c>
      <c r="I53" s="1">
        <v>12.0</v>
      </c>
      <c r="J53" s="1">
        <v>8.0</v>
      </c>
      <c r="K53" s="1">
        <v>5.0</v>
      </c>
      <c r="L53" s="1">
        <v>4.0</v>
      </c>
      <c r="M53" s="1">
        <v>3.0</v>
      </c>
      <c r="N53" s="1" t="s">
        <v>51</v>
      </c>
      <c r="O53" s="1">
        <v>14.0</v>
      </c>
      <c r="P53" s="1">
        <v>10.0</v>
      </c>
      <c r="Q53" s="1">
        <v>4.0</v>
      </c>
      <c r="R53" s="1">
        <v>4.0</v>
      </c>
      <c r="S53" s="1">
        <v>2.0</v>
      </c>
      <c r="T53" s="1" t="s">
        <v>52</v>
      </c>
      <c r="U53" s="1">
        <v>11.0</v>
      </c>
      <c r="V53" s="1">
        <v>6.0</v>
      </c>
      <c r="W53" s="1">
        <v>4.0</v>
      </c>
      <c r="X53" s="1">
        <v>5.0</v>
      </c>
      <c r="Y53" s="1">
        <v>3.0</v>
      </c>
      <c r="Z53" s="1" t="s">
        <v>53</v>
      </c>
      <c r="AA53" s="1">
        <v>19.0</v>
      </c>
      <c r="AB53" s="1">
        <v>12.0</v>
      </c>
      <c r="AC53" s="1">
        <v>7.0</v>
      </c>
      <c r="AD53" s="1">
        <v>7.0</v>
      </c>
      <c r="AE53" s="1">
        <v>4.0</v>
      </c>
      <c r="AF53" s="1" t="s">
        <v>54</v>
      </c>
      <c r="AG53" s="1">
        <v>10.0</v>
      </c>
      <c r="AH53" s="1">
        <v>6.0</v>
      </c>
      <c r="AI53" s="1">
        <v>4.0</v>
      </c>
      <c r="AJ53" s="1">
        <v>4.0</v>
      </c>
      <c r="AK53" s="1">
        <v>3.0</v>
      </c>
      <c r="AL53" s="1">
        <v>39.0</v>
      </c>
      <c r="AM53" s="1">
        <v>10.0</v>
      </c>
      <c r="AN53" s="1">
        <v>37.0</v>
      </c>
      <c r="AO53" s="1">
        <v>37.0</v>
      </c>
      <c r="AP53" s="1" t="s">
        <v>366</v>
      </c>
      <c r="AQ53" s="3" t="str">
        <f>HYPERLINK("https://icf.clappia.com/app/GMB253374/submission/EAC05769865/ICF247370-GMB253374-80pkdg0cbj2c0000000/SIG-20250703_1648mo2fo.jpeg", "SIG-20250703_1648mo2fo.jpeg")</f>
        <v>SIG-20250703_1648mo2fo.jpeg</v>
      </c>
      <c r="AR53" s="1" t="s">
        <v>367</v>
      </c>
      <c r="AS53" s="3" t="str">
        <f>HYPERLINK("https://icf.clappia.com/app/GMB253374/submission/EAC05769865/ICF247370-GMB253374-1ghog17h2e9ng0000000/SIG-20250703_16492clbf.jpeg", "SIG-20250703_16492clbf.jpeg")</f>
        <v>SIG-20250703_16492clbf.jpeg</v>
      </c>
      <c r="AT53" s="1" t="s">
        <v>368</v>
      </c>
      <c r="AU53" s="3" t="str">
        <f>HYPERLINK("https://icf.clappia.com/app/GMB253374/submission/EAC05769865/ICF247370-GMB253374-245p3m9388poc0000000/SIG-20250703_1649go99g.jpeg", "SIG-20250703_1649go99g.jpeg")</f>
        <v>SIG-20250703_1649go99g.jpeg</v>
      </c>
      <c r="AV53" s="3" t="str">
        <f>HYPERLINK("https://www.google.com/maps/place/8.1271818%2C-11.7045165", "8.1271818,-11.7045165")</f>
        <v>8.1271818,-11.7045165</v>
      </c>
    </row>
    <row r="54" ht="15.75" customHeight="1">
      <c r="A54" s="1" t="s">
        <v>369</v>
      </c>
      <c r="B54" s="1" t="s">
        <v>356</v>
      </c>
      <c r="C54" s="1" t="s">
        <v>370</v>
      </c>
      <c r="D54" s="1" t="s">
        <v>370</v>
      </c>
      <c r="E54" s="1" t="s">
        <v>371</v>
      </c>
      <c r="F54" s="1" t="s">
        <v>64</v>
      </c>
      <c r="G54" s="1">
        <v>68.0</v>
      </c>
      <c r="H54" s="1" t="s">
        <v>50</v>
      </c>
      <c r="I54" s="1">
        <v>95.0</v>
      </c>
      <c r="J54" s="1">
        <v>41.0</v>
      </c>
      <c r="K54" s="1">
        <v>15.0</v>
      </c>
      <c r="L54" s="1">
        <v>54.0</v>
      </c>
      <c r="M54" s="1">
        <v>10.0</v>
      </c>
      <c r="N54" s="1" t="s">
        <v>51</v>
      </c>
      <c r="O54" s="1">
        <v>57.0</v>
      </c>
      <c r="P54" s="1">
        <v>30.0</v>
      </c>
      <c r="Q54" s="1">
        <v>9.0</v>
      </c>
      <c r="R54" s="1">
        <v>27.0</v>
      </c>
      <c r="S54" s="1">
        <v>11.0</v>
      </c>
      <c r="T54" s="1" t="s">
        <v>52</v>
      </c>
      <c r="U54" s="1">
        <v>43.0</v>
      </c>
      <c r="V54" s="1">
        <v>20.0</v>
      </c>
      <c r="W54" s="1">
        <v>6.0</v>
      </c>
      <c r="X54" s="1">
        <v>23.0</v>
      </c>
      <c r="Y54" s="1">
        <v>4.0</v>
      </c>
      <c r="Z54" s="1" t="s">
        <v>53</v>
      </c>
      <c r="AA54" s="1">
        <v>33.0</v>
      </c>
      <c r="AB54" s="1">
        <v>16.0</v>
      </c>
      <c r="AC54" s="1">
        <v>3.0</v>
      </c>
      <c r="AD54" s="1">
        <v>17.0</v>
      </c>
      <c r="AE54" s="1">
        <v>3.0</v>
      </c>
      <c r="AF54" s="1" t="s">
        <v>54</v>
      </c>
      <c r="AG54" s="1">
        <v>24.0</v>
      </c>
      <c r="AH54" s="1">
        <v>13.0</v>
      </c>
      <c r="AI54" s="1">
        <v>4.0</v>
      </c>
      <c r="AJ54" s="1">
        <v>5.0</v>
      </c>
      <c r="AK54" s="1">
        <v>3.0</v>
      </c>
      <c r="AL54" s="1">
        <v>68.0</v>
      </c>
      <c r="AM54" s="1" t="s">
        <v>55</v>
      </c>
      <c r="AN54" s="1" t="s">
        <v>55</v>
      </c>
      <c r="AO54" s="1" t="s">
        <v>55</v>
      </c>
      <c r="AP54" s="1" t="s">
        <v>372</v>
      </c>
      <c r="AQ54" s="3" t="str">
        <f>HYPERLINK("https://icf.clappia.com/app/GMB253374/submission/LLR59416010/ICF247370-GMB253374-o4go5587k0bo0000000/SIG-20250703_1927ebk6d.jpeg", "SIG-20250703_1927ebk6d.jpeg")</f>
        <v>SIG-20250703_1927ebk6d.jpeg</v>
      </c>
      <c r="AR54" s="1" t="s">
        <v>373</v>
      </c>
      <c r="AS54" s="3" t="str">
        <f>HYPERLINK("https://icf.clappia.com/app/GMB253374/submission/LLR59416010/ICF247370-GMB253374-27016d2b3lpjg0000000/SIG-20250703_19281aha8e.jpeg", "SIG-20250703_19281aha8e.jpeg")</f>
        <v>SIG-20250703_19281aha8e.jpeg</v>
      </c>
      <c r="AT54" s="1" t="s">
        <v>374</v>
      </c>
      <c r="AU54" s="3" t="str">
        <f>HYPERLINK("https://icf.clappia.com/app/GMB253374/submission/LLR59416010/ICF247370-GMB253374-42kcapge1ca200000000/SIG-20250703_19298e0hf.jpeg", "SIG-20250703_19298e0hf.jpeg")</f>
        <v>SIG-20250703_19298e0hf.jpeg</v>
      </c>
      <c r="AV54" s="3" t="str">
        <f>HYPERLINK("https://www.google.com/maps/place/8.3218367%2C-11.73492", "8.3218367,-11.73492")</f>
        <v>8.3218367,-11.73492</v>
      </c>
    </row>
    <row r="55" ht="15.75" customHeight="1">
      <c r="A55" s="1" t="s">
        <v>375</v>
      </c>
      <c r="B55" s="1" t="s">
        <v>356</v>
      </c>
      <c r="C55" s="1" t="s">
        <v>376</v>
      </c>
      <c r="D55" s="1" t="s">
        <v>376</v>
      </c>
      <c r="E55" s="1" t="s">
        <v>377</v>
      </c>
      <c r="F55" s="1" t="s">
        <v>64</v>
      </c>
      <c r="G55" s="1">
        <v>193.0</v>
      </c>
      <c r="H55" s="1" t="s">
        <v>50</v>
      </c>
      <c r="I55" s="1">
        <v>25.0</v>
      </c>
      <c r="J55" s="1">
        <v>16.0</v>
      </c>
      <c r="K55" s="1">
        <v>11.0</v>
      </c>
      <c r="L55" s="1">
        <v>9.0</v>
      </c>
      <c r="M55" s="1">
        <v>8.0</v>
      </c>
      <c r="N55" s="1" t="s">
        <v>51</v>
      </c>
      <c r="O55" s="1">
        <v>25.0</v>
      </c>
      <c r="P55" s="1">
        <v>14.0</v>
      </c>
      <c r="Q55" s="1">
        <v>8.0</v>
      </c>
      <c r="R55" s="1">
        <v>11.0</v>
      </c>
      <c r="S55" s="1">
        <v>7.0</v>
      </c>
      <c r="T55" s="1" t="s">
        <v>52</v>
      </c>
      <c r="U55" s="1">
        <v>18.0</v>
      </c>
      <c r="V55" s="1">
        <v>10.0</v>
      </c>
      <c r="W55" s="1">
        <v>6.0</v>
      </c>
      <c r="X55" s="1">
        <v>8.0</v>
      </c>
      <c r="Y55" s="1">
        <v>7.0</v>
      </c>
      <c r="Z55" s="1" t="s">
        <v>53</v>
      </c>
      <c r="AA55" s="1">
        <v>22.0</v>
      </c>
      <c r="AB55" s="1">
        <v>12.0</v>
      </c>
      <c r="AC55" s="1">
        <v>8.0</v>
      </c>
      <c r="AD55" s="1">
        <v>10.0</v>
      </c>
      <c r="AE55" s="1">
        <v>7.0</v>
      </c>
      <c r="AF55" s="1" t="s">
        <v>54</v>
      </c>
      <c r="AG55" s="1">
        <v>9.0</v>
      </c>
      <c r="AH55" s="1">
        <v>5.0</v>
      </c>
      <c r="AI55" s="1">
        <v>2.0</v>
      </c>
      <c r="AJ55" s="1">
        <v>4.0</v>
      </c>
      <c r="AK55" s="1">
        <v>2.0</v>
      </c>
      <c r="AL55" s="1">
        <v>66.0</v>
      </c>
      <c r="AM55" s="1">
        <v>10.0</v>
      </c>
      <c r="AN55" s="1">
        <v>117.0</v>
      </c>
      <c r="AO55" s="1">
        <v>117.0</v>
      </c>
      <c r="AP55" s="1" t="s">
        <v>366</v>
      </c>
      <c r="AQ55" s="3" t="str">
        <f>HYPERLINK("https://icf.clappia.com/app/GMB253374/submission/ANL66704774/ICF247370-GMB253374-8einfcpnehn60000000/SIG-20250703_1631khelb.jpeg", "SIG-20250703_1631khelb.jpeg")</f>
        <v>SIG-20250703_1631khelb.jpeg</v>
      </c>
      <c r="AR55" s="1" t="s">
        <v>367</v>
      </c>
      <c r="AS55" s="3" t="str">
        <f>HYPERLINK("https://icf.clappia.com/app/GMB253374/submission/ANL66704774/ICF247370-GMB253374-3b4l5pod18ho00000000/SIG-20250703_16321aa71g.jpeg", "SIG-20250703_16321aa71g.jpeg")</f>
        <v>SIG-20250703_16321aa71g.jpeg</v>
      </c>
      <c r="AT55" s="1" t="s">
        <v>378</v>
      </c>
      <c r="AU55" s="3" t="str">
        <f>HYPERLINK("https://icf.clappia.com/app/GMB253374/submission/ANL66704774/ICF247370-GMB253374-5lb0l9emhlha00000000/SIG-20250703_163211gf5l.jpeg", "SIG-20250703_163211gf5l.jpeg")</f>
        <v>SIG-20250703_163211gf5l.jpeg</v>
      </c>
      <c r="AV55" s="3" t="str">
        <f>HYPERLINK("https://www.google.com/maps/place/8.1926833%2C-11.742215", "8.1926833,-11.742215")</f>
        <v>8.1926833,-11.742215</v>
      </c>
    </row>
    <row r="56" ht="15.75" customHeight="1">
      <c r="A56" s="1" t="s">
        <v>379</v>
      </c>
      <c r="B56" s="1" t="s">
        <v>215</v>
      </c>
      <c r="C56" s="1" t="s">
        <v>380</v>
      </c>
      <c r="D56" s="1" t="s">
        <v>381</v>
      </c>
      <c r="E56" s="1" t="s">
        <v>382</v>
      </c>
      <c r="F56" s="1" t="s">
        <v>64</v>
      </c>
      <c r="G56" s="1">
        <v>389.0</v>
      </c>
      <c r="H56" s="1" t="s">
        <v>50</v>
      </c>
      <c r="I56" s="1">
        <v>80.0</v>
      </c>
      <c r="J56" s="1">
        <v>45.0</v>
      </c>
      <c r="K56" s="1">
        <v>43.0</v>
      </c>
      <c r="L56" s="1">
        <v>35.0</v>
      </c>
      <c r="M56" s="1">
        <v>32.0</v>
      </c>
      <c r="N56" s="1" t="s">
        <v>51</v>
      </c>
      <c r="O56" s="1">
        <v>80.0</v>
      </c>
      <c r="P56" s="1">
        <v>45.0</v>
      </c>
      <c r="Q56" s="1">
        <v>43.0</v>
      </c>
      <c r="R56" s="1">
        <v>33.0</v>
      </c>
      <c r="S56" s="1">
        <v>33.0</v>
      </c>
      <c r="T56" s="1" t="s">
        <v>52</v>
      </c>
      <c r="U56" s="1">
        <v>80.0</v>
      </c>
      <c r="V56" s="1">
        <v>40.0</v>
      </c>
      <c r="W56" s="1">
        <v>40.0</v>
      </c>
      <c r="X56" s="1">
        <v>40.0</v>
      </c>
      <c r="Y56" s="1">
        <v>40.0</v>
      </c>
      <c r="Z56" s="1" t="s">
        <v>53</v>
      </c>
      <c r="AA56" s="1">
        <v>69.0</v>
      </c>
      <c r="AB56" s="1">
        <v>48.0</v>
      </c>
      <c r="AC56" s="1">
        <v>48.0</v>
      </c>
      <c r="AD56" s="1">
        <v>21.0</v>
      </c>
      <c r="AE56" s="1">
        <v>21.0</v>
      </c>
      <c r="AF56" s="1" t="s">
        <v>54</v>
      </c>
      <c r="AG56" s="1">
        <v>80.0</v>
      </c>
      <c r="AH56" s="1">
        <v>47.0</v>
      </c>
      <c r="AI56" s="1">
        <v>47.0</v>
      </c>
      <c r="AJ56" s="1">
        <v>33.0</v>
      </c>
      <c r="AK56" s="1">
        <v>33.0</v>
      </c>
      <c r="AL56" s="1">
        <v>380.0</v>
      </c>
      <c r="AM56" s="1">
        <v>7.0</v>
      </c>
      <c r="AN56" s="1">
        <v>2.0</v>
      </c>
      <c r="AO56" s="1" t="s">
        <v>383</v>
      </c>
      <c r="AP56" s="1" t="s">
        <v>295</v>
      </c>
      <c r="AQ56" s="3" t="str">
        <f>HYPERLINK("https://icf.clappia.com/app/GMB253374/submission/LKH47624455/ICF247370-GMB253374-le0poh7dfbh20000000/SIG-20250703_1916afmj7.jpeg", "SIG-20250703_1916afmj7.jpeg")</f>
        <v>SIG-20250703_1916afmj7.jpeg</v>
      </c>
      <c r="AR56" s="1" t="s">
        <v>293</v>
      </c>
      <c r="AS56" s="3" t="str">
        <f>HYPERLINK("https://icf.clappia.com/app/GMB253374/submission/LKH47624455/ICF247370-GMB253374-3hpi1l6fc0ie00000000/SIG-20250703_1917742fc.jpeg", "SIG-20250703_1917742fc.jpeg")</f>
        <v>SIG-20250703_1917742fc.jpeg</v>
      </c>
      <c r="AT56" s="1" t="s">
        <v>294</v>
      </c>
      <c r="AU56" s="3" t="str">
        <f>HYPERLINK("https://icf.clappia.com/app/GMB253374/submission/LKH47624455/ICF247370-GMB253374-51khi7pk2kgc00000000/SIG-20250703_1917lmp91.jpeg", "SIG-20250703_1917lmp91.jpeg")</f>
        <v>SIG-20250703_1917lmp91.jpeg</v>
      </c>
      <c r="AV56" s="3" t="str">
        <f>HYPERLINK("https://www.google.com/maps/place/8.6532433%2C-12.2150633", "8.6532433,-12.2150633")</f>
        <v>8.6532433,-12.2150633</v>
      </c>
    </row>
    <row r="57" ht="15.75" customHeight="1">
      <c r="A57" s="1" t="s">
        <v>384</v>
      </c>
      <c r="B57" s="1" t="s">
        <v>356</v>
      </c>
      <c r="C57" s="1" t="s">
        <v>385</v>
      </c>
      <c r="D57" s="1" t="s">
        <v>385</v>
      </c>
      <c r="E57" s="1" t="s">
        <v>386</v>
      </c>
      <c r="F57" s="1" t="s">
        <v>64</v>
      </c>
      <c r="G57" s="1">
        <v>132.0</v>
      </c>
      <c r="H57" s="1" t="s">
        <v>50</v>
      </c>
      <c r="I57" s="1">
        <v>35.0</v>
      </c>
      <c r="J57" s="1">
        <v>15.0</v>
      </c>
      <c r="K57" s="1">
        <v>15.0</v>
      </c>
      <c r="L57" s="1">
        <v>20.0</v>
      </c>
      <c r="M57" s="1">
        <v>20.0</v>
      </c>
      <c r="N57" s="1" t="s">
        <v>51</v>
      </c>
      <c r="O57" s="1">
        <v>26.0</v>
      </c>
      <c r="P57" s="1">
        <v>10.0</v>
      </c>
      <c r="Q57" s="1">
        <v>9.0</v>
      </c>
      <c r="R57" s="1">
        <v>16.0</v>
      </c>
      <c r="S57" s="1">
        <v>14.0</v>
      </c>
      <c r="T57" s="1" t="s">
        <v>52</v>
      </c>
      <c r="U57" s="1">
        <v>24.0</v>
      </c>
      <c r="V57" s="1">
        <v>10.0</v>
      </c>
      <c r="W57" s="1">
        <v>8.0</v>
      </c>
      <c r="X57" s="1">
        <v>14.0</v>
      </c>
      <c r="Y57" s="1">
        <v>12.0</v>
      </c>
      <c r="Z57" s="1" t="s">
        <v>53</v>
      </c>
      <c r="AA57" s="1">
        <v>18.0</v>
      </c>
      <c r="AB57" s="1">
        <v>8.0</v>
      </c>
      <c r="AC57" s="1">
        <v>8.0</v>
      </c>
      <c r="AD57" s="1">
        <v>10.0</v>
      </c>
      <c r="AE57" s="1">
        <v>9.0</v>
      </c>
      <c r="AF57" s="1" t="s">
        <v>54</v>
      </c>
      <c r="AG57" s="1">
        <v>19.0</v>
      </c>
      <c r="AH57" s="1">
        <v>9.0</v>
      </c>
      <c r="AI57" s="1">
        <v>9.0</v>
      </c>
      <c r="AJ57" s="1">
        <v>10.0</v>
      </c>
      <c r="AK57" s="1">
        <v>9.0</v>
      </c>
      <c r="AL57" s="1">
        <v>113.0</v>
      </c>
      <c r="AM57" s="1" t="s">
        <v>55</v>
      </c>
      <c r="AN57" s="1">
        <v>19.0</v>
      </c>
      <c r="AO57" s="1" t="s">
        <v>55</v>
      </c>
      <c r="AP57" s="1" t="s">
        <v>387</v>
      </c>
      <c r="AQ57" s="3" t="str">
        <f>HYPERLINK("https://icf.clappia.com/app/GMB253374/submission/SNV92680816/ICF247370-GMB253374-59ea44o0cooe00000000/SIG-20250703_1415od3hc.jpeg", "SIG-20250703_1415od3hc.jpeg")</f>
        <v>SIG-20250703_1415od3hc.jpeg</v>
      </c>
      <c r="AR57" s="1" t="s">
        <v>388</v>
      </c>
      <c r="AS57" s="3" t="str">
        <f>HYPERLINK("https://icf.clappia.com/app/GMB253374/submission/SNV92680816/ICF247370-GMB253374-5fkgnmcnoha600000000/SIG-20250703_141619c6fk.jpeg", "SIG-20250703_141619c6fk.jpeg")</f>
        <v>SIG-20250703_141619c6fk.jpeg</v>
      </c>
      <c r="AT57" s="1" t="s">
        <v>389</v>
      </c>
      <c r="AU57" s="3" t="str">
        <f>HYPERLINK("https://icf.clappia.com/app/GMB253374/submission/SNV92680816/ICF247370-GMB253374-4n3iog0hmnh800000000/SIG-20250703_1416l5m31.jpeg", "SIG-20250703_1416l5m31.jpeg")</f>
        <v>SIG-20250703_1416l5m31.jpeg</v>
      </c>
      <c r="AV57" s="3" t="str">
        <f>HYPERLINK("https://www.google.com/maps/place/8.216435%2C-11.601755", "8.216435,-11.601755")</f>
        <v>8.216435,-11.601755</v>
      </c>
    </row>
    <row r="58" ht="15.75" customHeight="1">
      <c r="A58" s="1" t="s">
        <v>390</v>
      </c>
      <c r="B58" s="1" t="s">
        <v>356</v>
      </c>
      <c r="C58" s="1" t="s">
        <v>391</v>
      </c>
      <c r="D58" s="1" t="s">
        <v>391</v>
      </c>
      <c r="E58" s="1" t="s">
        <v>392</v>
      </c>
      <c r="F58" s="1" t="s">
        <v>64</v>
      </c>
      <c r="G58" s="1">
        <v>190.0</v>
      </c>
      <c r="H58" s="1" t="s">
        <v>50</v>
      </c>
      <c r="I58" s="1">
        <v>68.0</v>
      </c>
      <c r="J58" s="1">
        <v>37.0</v>
      </c>
      <c r="K58" s="1">
        <v>37.0</v>
      </c>
      <c r="L58" s="1">
        <v>31.0</v>
      </c>
      <c r="M58" s="1">
        <v>31.0</v>
      </c>
      <c r="N58" s="1" t="s">
        <v>51</v>
      </c>
      <c r="O58" s="1">
        <v>40.0</v>
      </c>
      <c r="P58" s="1">
        <v>22.0</v>
      </c>
      <c r="Q58" s="1">
        <v>22.0</v>
      </c>
      <c r="R58" s="1">
        <v>13.0</v>
      </c>
      <c r="S58" s="1">
        <v>13.0</v>
      </c>
      <c r="T58" s="1" t="s">
        <v>52</v>
      </c>
      <c r="U58" s="1">
        <v>50.0</v>
      </c>
      <c r="V58" s="1">
        <v>20.0</v>
      </c>
      <c r="W58" s="1">
        <v>20.0</v>
      </c>
      <c r="X58" s="1">
        <v>22.0</v>
      </c>
      <c r="Y58" s="1">
        <v>22.0</v>
      </c>
      <c r="Z58" s="1" t="s">
        <v>53</v>
      </c>
      <c r="AA58" s="1">
        <v>30.0</v>
      </c>
      <c r="AB58" s="1">
        <v>12.0</v>
      </c>
      <c r="AC58" s="1">
        <v>12.0</v>
      </c>
      <c r="AD58" s="1">
        <v>13.0</v>
      </c>
      <c r="AE58" s="1">
        <v>13.0</v>
      </c>
      <c r="AF58" s="1" t="s">
        <v>54</v>
      </c>
      <c r="AG58" s="1">
        <v>20.0</v>
      </c>
      <c r="AH58" s="1">
        <v>11.0</v>
      </c>
      <c r="AI58" s="1">
        <v>11.0</v>
      </c>
      <c r="AJ58" s="1">
        <v>8.0</v>
      </c>
      <c r="AK58" s="1">
        <v>8.0</v>
      </c>
      <c r="AL58" s="1">
        <v>189.0</v>
      </c>
      <c r="AM58" s="1" t="s">
        <v>55</v>
      </c>
      <c r="AN58" s="1">
        <v>1.0</v>
      </c>
      <c r="AO58" s="1" t="s">
        <v>55</v>
      </c>
      <c r="AP58" s="1" t="s">
        <v>359</v>
      </c>
      <c r="AQ58" s="3" t="str">
        <f>HYPERLINK("https://icf.clappia.com/app/GMB253374/submission/BFD13448304/ICF247370-GMB253374-4jf0n5cloe8400000000/SIG-20250702_212335kh4.jpeg", "SIG-20250702_212335kh4.jpeg")</f>
        <v>SIG-20250702_212335kh4.jpeg</v>
      </c>
      <c r="AR58" s="1" t="s">
        <v>360</v>
      </c>
      <c r="AS58" s="3" t="str">
        <f>HYPERLINK("https://icf.clappia.com/app/GMB253374/submission/BFD13448304/ICF247370-GMB253374-6a4chp0o7i280000000/SIG-20250702_211316nhb3.jpeg", "SIG-20250702_211316nhb3.jpeg")</f>
        <v>SIG-20250702_211316nhb3.jpeg</v>
      </c>
      <c r="AT58" s="1" t="s">
        <v>361</v>
      </c>
      <c r="AU58" s="3" t="str">
        <f>HYPERLINK("https://icf.clappia.com/app/GMB253374/submission/BFD13448304/ICF247370-GMB253374-4c3oonk7ai2i00000000/SIG-20250702_2124fd1fh.jpeg", "SIG-20250702_2124fd1fh.jpeg")</f>
        <v>SIG-20250702_2124fd1fh.jpeg</v>
      </c>
      <c r="AV58" s="3" t="str">
        <f>HYPERLINK("https://www.google.com/maps/place/8.321155%2C-11.7347833", "8.321155,-11.7347833")</f>
        <v>8.321155,-11.7347833</v>
      </c>
    </row>
    <row r="59" ht="15.75" customHeight="1">
      <c r="A59" s="1" t="s">
        <v>393</v>
      </c>
      <c r="B59" s="1" t="s">
        <v>155</v>
      </c>
      <c r="C59" s="1" t="s">
        <v>394</v>
      </c>
      <c r="D59" s="1" t="s">
        <v>394</v>
      </c>
      <c r="E59" s="1" t="s">
        <v>395</v>
      </c>
      <c r="F59" s="1" t="s">
        <v>64</v>
      </c>
      <c r="G59" s="1">
        <v>277.0</v>
      </c>
      <c r="H59" s="1" t="s">
        <v>50</v>
      </c>
      <c r="I59" s="1">
        <v>63.0</v>
      </c>
      <c r="J59" s="1">
        <v>33.0</v>
      </c>
      <c r="K59" s="1">
        <v>33.0</v>
      </c>
      <c r="L59" s="1">
        <v>30.0</v>
      </c>
      <c r="M59" s="1">
        <v>30.0</v>
      </c>
      <c r="N59" s="1" t="s">
        <v>51</v>
      </c>
      <c r="O59" s="1">
        <v>55.0</v>
      </c>
      <c r="P59" s="1">
        <v>30.0</v>
      </c>
      <c r="Q59" s="1">
        <v>30.0</v>
      </c>
      <c r="R59" s="1">
        <v>25.0</v>
      </c>
      <c r="S59" s="1">
        <v>25.0</v>
      </c>
      <c r="T59" s="1" t="s">
        <v>52</v>
      </c>
      <c r="U59" s="1">
        <v>46.0</v>
      </c>
      <c r="V59" s="1">
        <v>25.0</v>
      </c>
      <c r="W59" s="1">
        <v>25.0</v>
      </c>
      <c r="X59" s="1">
        <v>21.0</v>
      </c>
      <c r="Y59" s="1">
        <v>21.0</v>
      </c>
      <c r="Z59" s="1" t="s">
        <v>53</v>
      </c>
      <c r="AA59" s="1">
        <v>58.0</v>
      </c>
      <c r="AB59" s="1">
        <v>30.0</v>
      </c>
      <c r="AC59" s="1">
        <v>30.0</v>
      </c>
      <c r="AD59" s="1">
        <v>28.0</v>
      </c>
      <c r="AE59" s="1">
        <v>28.0</v>
      </c>
      <c r="AF59" s="1" t="s">
        <v>54</v>
      </c>
      <c r="AG59" s="1">
        <v>55.0</v>
      </c>
      <c r="AH59" s="1">
        <v>30.0</v>
      </c>
      <c r="AI59" s="1">
        <v>30.0</v>
      </c>
      <c r="AJ59" s="1">
        <v>25.0</v>
      </c>
      <c r="AK59" s="1">
        <v>25.0</v>
      </c>
      <c r="AL59" s="1">
        <v>277.0</v>
      </c>
      <c r="AM59" s="1" t="s">
        <v>55</v>
      </c>
      <c r="AN59" s="1" t="s">
        <v>55</v>
      </c>
      <c r="AO59" s="1" t="s">
        <v>55</v>
      </c>
      <c r="AP59" s="1" t="s">
        <v>396</v>
      </c>
      <c r="AQ59" s="3" t="str">
        <f>HYPERLINK("https://icf.clappia.com/app/GMB253374/submission/VZK06948969/ICF247370-GMB253374-4l4fk155i6pg00000000/SIG-20250703_18487pb8k.jpeg", "SIG-20250703_18487pb8k.jpeg")</f>
        <v>SIG-20250703_18487pb8k.jpeg</v>
      </c>
      <c r="AR59" s="1" t="s">
        <v>397</v>
      </c>
      <c r="AS59" s="3" t="str">
        <f>HYPERLINK("https://icf.clappia.com/app/GMB253374/submission/VZK06948969/ICF247370-GMB253374-4oa79i51b38c00000000/SIG-20250703_18498fed9.jpeg", "SIG-20250703_18498fed9.jpeg")</f>
        <v>SIG-20250703_18498fed9.jpeg</v>
      </c>
      <c r="AT59" s="1" t="s">
        <v>398</v>
      </c>
      <c r="AU59" s="3" t="str">
        <f>HYPERLINK("https://icf.clappia.com/app/GMB253374/submission/VZK06948969/ICF247370-GMB253374-3nhb3ic767p20000000/SIG-20250703_18493h7gf.jpeg", "SIG-20250703_18493h7gf.jpeg")</f>
        <v>SIG-20250703_18493h7gf.jpeg</v>
      </c>
      <c r="AV59" s="3" t="str">
        <f>HYPERLINK("https://www.google.com/maps/place/8.6991583%2C-12.0025633", "8.6991583,-12.0025633")</f>
        <v>8.6991583,-12.0025633</v>
      </c>
    </row>
    <row r="60" ht="15.75" customHeight="1">
      <c r="A60" s="1" t="s">
        <v>399</v>
      </c>
      <c r="B60" s="1" t="s">
        <v>215</v>
      </c>
      <c r="C60" s="1" t="s">
        <v>400</v>
      </c>
      <c r="D60" s="1" t="s">
        <v>400</v>
      </c>
      <c r="E60" s="1" t="s">
        <v>401</v>
      </c>
      <c r="F60" s="1" t="s">
        <v>64</v>
      </c>
      <c r="G60" s="1">
        <v>274.0</v>
      </c>
      <c r="H60" s="1" t="s">
        <v>50</v>
      </c>
      <c r="I60" s="1">
        <v>98.0</v>
      </c>
      <c r="J60" s="1">
        <v>53.0</v>
      </c>
      <c r="K60" s="1">
        <v>52.0</v>
      </c>
      <c r="L60" s="1">
        <v>45.0</v>
      </c>
      <c r="M60" s="1">
        <v>45.0</v>
      </c>
      <c r="N60" s="1" t="s">
        <v>51</v>
      </c>
      <c r="O60" s="1">
        <v>46.0</v>
      </c>
      <c r="P60" s="1">
        <v>25.0</v>
      </c>
      <c r="Q60" s="1">
        <v>24.0</v>
      </c>
      <c r="R60" s="1">
        <v>21.0</v>
      </c>
      <c r="S60" s="1">
        <v>21.0</v>
      </c>
      <c r="T60" s="1" t="s">
        <v>52</v>
      </c>
      <c r="U60" s="1">
        <v>42.0</v>
      </c>
      <c r="V60" s="1">
        <v>29.0</v>
      </c>
      <c r="W60" s="1">
        <v>29.0</v>
      </c>
      <c r="X60" s="1">
        <v>13.0</v>
      </c>
      <c r="Y60" s="1">
        <v>13.0</v>
      </c>
      <c r="Z60" s="1" t="s">
        <v>53</v>
      </c>
      <c r="AA60" s="1">
        <v>45.0</v>
      </c>
      <c r="AB60" s="1">
        <v>26.0</v>
      </c>
      <c r="AC60" s="1">
        <v>25.0</v>
      </c>
      <c r="AD60" s="1">
        <v>19.0</v>
      </c>
      <c r="AE60" s="1">
        <v>18.0</v>
      </c>
      <c r="AF60" s="1" t="s">
        <v>54</v>
      </c>
      <c r="AG60" s="1">
        <v>43.0</v>
      </c>
      <c r="AH60" s="1">
        <v>23.0</v>
      </c>
      <c r="AI60" s="1">
        <v>23.0</v>
      </c>
      <c r="AJ60" s="1">
        <v>20.0</v>
      </c>
      <c r="AK60" s="1">
        <v>20.0</v>
      </c>
      <c r="AL60" s="1">
        <v>270.0</v>
      </c>
      <c r="AM60" s="1" t="s">
        <v>402</v>
      </c>
      <c r="AN60" s="1" t="s">
        <v>55</v>
      </c>
      <c r="AO60" s="1" t="s">
        <v>55</v>
      </c>
      <c r="AP60" s="1" t="s">
        <v>403</v>
      </c>
      <c r="AQ60" s="3" t="str">
        <f>HYPERLINK("https://icf.clappia.com/app/GMB253374/submission/KKD70726504/ICF247370-GMB253374-58b6gad4gfp200000000/SIG-20250703_1015eoi4g.jpeg", "SIG-20250703_1015eoi4g.jpeg")</f>
        <v>SIG-20250703_1015eoi4g.jpeg</v>
      </c>
      <c r="AR60" s="1" t="s">
        <v>404</v>
      </c>
      <c r="AS60" s="3" t="str">
        <f>HYPERLINK("https://icf.clappia.com/app/GMB253374/submission/KKD70726504/ICF247370-GMB253374-3f7f807becf600000000/SIG-20250703_10162nn7b.jpeg", "SIG-20250703_10162nn7b.jpeg")</f>
        <v>SIG-20250703_10162nn7b.jpeg</v>
      </c>
      <c r="AT60" s="1" t="s">
        <v>405</v>
      </c>
      <c r="AU60" s="3" t="str">
        <f>HYPERLINK("https://icf.clappia.com/app/GMB253374/submission/KKD70726504/ICF247370-GMB253374-1o411166h4mn20000000/SIG-20250703_1018g00k3.jpeg", "SIG-20250703_1018g00k3.jpeg")</f>
        <v>SIG-20250703_1018g00k3.jpeg</v>
      </c>
      <c r="AV60" s="3" t="str">
        <f>HYPERLINK("https://www.google.com/maps/place/8.661735%2C-12.2437283", "8.661735,-12.2437283")</f>
        <v>8.661735,-12.2437283</v>
      </c>
    </row>
    <row r="61" ht="15.75" customHeight="1">
      <c r="A61" s="1" t="s">
        <v>406</v>
      </c>
      <c r="B61" s="1" t="s">
        <v>60</v>
      </c>
      <c r="C61" s="1" t="s">
        <v>407</v>
      </c>
      <c r="D61" s="1" t="s">
        <v>407</v>
      </c>
      <c r="E61" s="1" t="s">
        <v>408</v>
      </c>
      <c r="F61" s="1" t="s">
        <v>64</v>
      </c>
      <c r="G61" s="1">
        <v>200.0</v>
      </c>
      <c r="H61" s="1" t="s">
        <v>50</v>
      </c>
      <c r="I61" s="1">
        <v>89.0</v>
      </c>
      <c r="J61" s="1">
        <v>36.0</v>
      </c>
      <c r="K61" s="1">
        <v>36.0</v>
      </c>
      <c r="L61" s="1">
        <v>53.0</v>
      </c>
      <c r="M61" s="1">
        <v>53.0</v>
      </c>
      <c r="N61" s="1" t="s">
        <v>51</v>
      </c>
      <c r="O61" s="1">
        <v>55.0</v>
      </c>
      <c r="P61" s="1">
        <v>19.0</v>
      </c>
      <c r="Q61" s="1">
        <v>19.0</v>
      </c>
      <c r="R61" s="1">
        <v>36.0</v>
      </c>
      <c r="S61" s="1">
        <v>36.0</v>
      </c>
      <c r="T61" s="1" t="s">
        <v>52</v>
      </c>
      <c r="U61" s="1">
        <v>21.0</v>
      </c>
      <c r="V61" s="1">
        <v>12.0</v>
      </c>
      <c r="W61" s="1">
        <v>12.0</v>
      </c>
      <c r="X61" s="1">
        <v>9.0</v>
      </c>
      <c r="Y61" s="1">
        <v>9.0</v>
      </c>
      <c r="Z61" s="1" t="s">
        <v>53</v>
      </c>
      <c r="AA61" s="1">
        <v>23.0</v>
      </c>
      <c r="AB61" s="1">
        <v>8.0</v>
      </c>
      <c r="AC61" s="1">
        <v>8.0</v>
      </c>
      <c r="AD61" s="1">
        <v>15.0</v>
      </c>
      <c r="AE61" s="1">
        <v>15.0</v>
      </c>
      <c r="AF61" s="1" t="s">
        <v>54</v>
      </c>
      <c r="AG61" s="1">
        <v>12.0</v>
      </c>
      <c r="AH61" s="1">
        <v>7.0</v>
      </c>
      <c r="AI61" s="1">
        <v>7.0</v>
      </c>
      <c r="AJ61" s="1">
        <v>5.0</v>
      </c>
      <c r="AK61" s="1">
        <v>5.0</v>
      </c>
      <c r="AL61" s="1">
        <v>200.0</v>
      </c>
      <c r="AM61" s="1" t="s">
        <v>55</v>
      </c>
      <c r="AN61" s="1" t="s">
        <v>55</v>
      </c>
      <c r="AO61" s="1" t="s">
        <v>55</v>
      </c>
      <c r="AP61" s="1" t="s">
        <v>181</v>
      </c>
      <c r="AQ61" s="3" t="str">
        <f>HYPERLINK("https://icf.clappia.com/app/GMB253374/submission/JAM54477946/ICF247370-GMB253374-b488m2iah33e0000000/SIG-20250703_181817e6gl.jpeg", "SIG-20250703_181817e6gl.jpeg")</f>
        <v>SIG-20250703_181817e6gl.jpeg</v>
      </c>
      <c r="AR61" s="1" t="s">
        <v>152</v>
      </c>
      <c r="AS61" s="3" t="str">
        <f>HYPERLINK("https://icf.clappia.com/app/GMB253374/submission/JAM54477946/ICF247370-GMB253374-28mmfj1fa6cic0000000/SIG-20250703_1807jie60.jpeg", "SIG-20250703_1807jie60.jpeg")</f>
        <v>SIG-20250703_1807jie60.jpeg</v>
      </c>
      <c r="AT61" s="1" t="s">
        <v>153</v>
      </c>
      <c r="AU61" s="3" t="str">
        <f>HYPERLINK("https://icf.clappia.com/app/GMB253374/submission/JAM54477946/ICF247370-GMB253374-4nnn43d6f6f200000000/SIG-20250703_1807gm6c0.jpeg", "SIG-20250703_1807gm6c0.jpeg")</f>
        <v>SIG-20250703_1807gm6c0.jpeg</v>
      </c>
      <c r="AV61" s="3" t="str">
        <f>HYPERLINK("https://www.google.com/maps/place/7.7960833%2C-11.8707", "7.7960833,-11.8707")</f>
        <v>7.7960833,-11.8707</v>
      </c>
    </row>
    <row r="62" ht="15.75" customHeight="1">
      <c r="A62" s="1" t="s">
        <v>409</v>
      </c>
      <c r="B62" s="1" t="s">
        <v>278</v>
      </c>
      <c r="C62" s="1" t="s">
        <v>410</v>
      </c>
      <c r="D62" s="1" t="s">
        <v>410</v>
      </c>
      <c r="E62" s="1" t="s">
        <v>411</v>
      </c>
      <c r="F62" s="1" t="s">
        <v>64</v>
      </c>
      <c r="G62" s="1">
        <v>354.0</v>
      </c>
      <c r="H62" s="1" t="s">
        <v>50</v>
      </c>
      <c r="I62" s="1">
        <v>80.0</v>
      </c>
      <c r="J62" s="1">
        <v>38.0</v>
      </c>
      <c r="K62" s="1">
        <v>38.0</v>
      </c>
      <c r="L62" s="1">
        <v>42.0</v>
      </c>
      <c r="M62" s="1">
        <v>42.0</v>
      </c>
      <c r="N62" s="1" t="s">
        <v>51</v>
      </c>
      <c r="O62" s="1">
        <v>77.0</v>
      </c>
      <c r="P62" s="1">
        <v>40.0</v>
      </c>
      <c r="Q62" s="1">
        <v>40.0</v>
      </c>
      <c r="R62" s="1">
        <v>37.0</v>
      </c>
      <c r="S62" s="1">
        <v>37.0</v>
      </c>
      <c r="T62" s="1" t="s">
        <v>52</v>
      </c>
      <c r="U62" s="1">
        <v>62.0</v>
      </c>
      <c r="V62" s="1">
        <v>31.0</v>
      </c>
      <c r="W62" s="1">
        <v>31.0</v>
      </c>
      <c r="X62" s="1">
        <v>31.0</v>
      </c>
      <c r="Y62" s="1">
        <v>31.0</v>
      </c>
      <c r="Z62" s="1" t="s">
        <v>53</v>
      </c>
      <c r="AA62" s="1">
        <v>68.0</v>
      </c>
      <c r="AB62" s="1">
        <v>38.0</v>
      </c>
      <c r="AC62" s="1">
        <v>38.0</v>
      </c>
      <c r="AD62" s="1">
        <v>30.0</v>
      </c>
      <c r="AE62" s="1">
        <v>30.0</v>
      </c>
      <c r="AF62" s="1" t="s">
        <v>54</v>
      </c>
      <c r="AG62" s="1">
        <v>76.0</v>
      </c>
      <c r="AH62" s="1">
        <v>40.0</v>
      </c>
      <c r="AI62" s="1">
        <v>40.0</v>
      </c>
      <c r="AJ62" s="1">
        <v>36.0</v>
      </c>
      <c r="AK62" s="1">
        <v>36.0</v>
      </c>
      <c r="AL62" s="1">
        <v>363.0</v>
      </c>
      <c r="AM62" s="1" t="s">
        <v>55</v>
      </c>
      <c r="AN62" s="1">
        <v>-9.0</v>
      </c>
      <c r="AO62" s="1">
        <v>-9.0</v>
      </c>
      <c r="AP62" s="1" t="s">
        <v>412</v>
      </c>
      <c r="AQ62" s="3" t="str">
        <f>HYPERLINK("https://icf.clappia.com/app/GMB253374/submission/JBB84731463/ICF247370-GMB253374-49hifgplkfj600000000/SIG-20250703_1108ba690.jpeg", "SIG-20250703_1108ba690.jpeg")</f>
        <v>SIG-20250703_1108ba690.jpeg</v>
      </c>
      <c r="AR62" s="1" t="s">
        <v>413</v>
      </c>
      <c r="AS62" s="3" t="str">
        <f>HYPERLINK("https://icf.clappia.com/app/GMB253374/submission/JBB84731463/ICF247370-GMB253374-jc6nde9a698c0000000/SIG-20250703_110915j863.jpeg", "SIG-20250703_110915j863.jpeg")</f>
        <v>SIG-20250703_110915j863.jpeg</v>
      </c>
      <c r="AT62" s="1" t="s">
        <v>414</v>
      </c>
      <c r="AU62" s="3" t="str">
        <f>HYPERLINK("https://icf.clappia.com/app/GMB253374/submission/JBB84731463/ICF247370-GMB253374-4n45apl8hi9200000000/SIG-20250703_11115c84a.jpeg", "SIG-20250703_11115c84a.jpeg")</f>
        <v>SIG-20250703_11115c84a.jpeg</v>
      </c>
      <c r="AV62" s="3" t="str">
        <f>HYPERLINK("https://www.google.com/maps/place/9.2959783%2C-12.2153083", "9.2959783,-12.2153083")</f>
        <v>9.2959783,-12.2153083</v>
      </c>
    </row>
    <row r="63" ht="15.75" customHeight="1">
      <c r="A63" s="1" t="s">
        <v>415</v>
      </c>
      <c r="B63" s="1" t="s">
        <v>356</v>
      </c>
      <c r="C63" s="1" t="s">
        <v>416</v>
      </c>
      <c r="D63" s="1" t="s">
        <v>416</v>
      </c>
      <c r="E63" s="1" t="s">
        <v>417</v>
      </c>
      <c r="F63" s="1" t="s">
        <v>64</v>
      </c>
      <c r="G63" s="1">
        <v>150.0</v>
      </c>
      <c r="H63" s="1" t="s">
        <v>50</v>
      </c>
      <c r="I63" s="1">
        <v>34.0</v>
      </c>
      <c r="J63" s="1">
        <v>10.0</v>
      </c>
      <c r="K63" s="1">
        <v>10.0</v>
      </c>
      <c r="L63" s="1">
        <v>24.0</v>
      </c>
      <c r="M63" s="1">
        <v>24.0</v>
      </c>
      <c r="N63" s="1" t="s">
        <v>51</v>
      </c>
      <c r="O63" s="1">
        <v>10.0</v>
      </c>
      <c r="P63" s="1">
        <v>4.0</v>
      </c>
      <c r="Q63" s="1">
        <v>4.0</v>
      </c>
      <c r="R63" s="1">
        <v>1.0</v>
      </c>
      <c r="S63" s="1">
        <v>1.0</v>
      </c>
      <c r="T63" s="1" t="s">
        <v>52</v>
      </c>
      <c r="U63" s="1">
        <v>16.0</v>
      </c>
      <c r="V63" s="1">
        <v>12.0</v>
      </c>
      <c r="W63" s="1">
        <v>12.0</v>
      </c>
      <c r="X63" s="1">
        <v>4.0</v>
      </c>
      <c r="Y63" s="1">
        <v>4.0</v>
      </c>
      <c r="Z63" s="1" t="s">
        <v>53</v>
      </c>
      <c r="AA63" s="1">
        <v>30.0</v>
      </c>
      <c r="AB63" s="1">
        <v>10.0</v>
      </c>
      <c r="AC63" s="1">
        <v>10.0</v>
      </c>
      <c r="AD63" s="1">
        <v>8.0</v>
      </c>
      <c r="AE63" s="1">
        <v>8.0</v>
      </c>
      <c r="AF63" s="1" t="s">
        <v>54</v>
      </c>
      <c r="AG63" s="1">
        <v>33.0</v>
      </c>
      <c r="AH63" s="1">
        <v>9.0</v>
      </c>
      <c r="AI63" s="1">
        <v>9.0</v>
      </c>
      <c r="AJ63" s="1">
        <v>12.0</v>
      </c>
      <c r="AK63" s="1">
        <v>12.0</v>
      </c>
      <c r="AL63" s="1">
        <v>94.0</v>
      </c>
      <c r="AM63" s="1">
        <v>10.0</v>
      </c>
      <c r="AN63" s="1">
        <v>46.0</v>
      </c>
      <c r="AO63" s="1">
        <v>46.0</v>
      </c>
      <c r="AP63" s="1" t="s">
        <v>418</v>
      </c>
      <c r="AQ63" s="3" t="str">
        <f>HYPERLINK("https://icf.clappia.com/app/GMB253374/submission/GXY00368861/ICF247370-GMB253374-6afd9e1ho0be00000000/SIG-20250703_165413o6n5.jpeg", "SIG-20250703_165413o6n5.jpeg")</f>
        <v>SIG-20250703_165413o6n5.jpeg</v>
      </c>
      <c r="AR63" s="1" t="s">
        <v>419</v>
      </c>
      <c r="AS63" s="3" t="str">
        <f>HYPERLINK("https://icf.clappia.com/app/GMB253374/submission/GXY00368861/ICF247370-GMB253374-1mk20814f28m40000000/SIG-20250703_165417d4ab.jpeg", "SIG-20250703_165417d4ab.jpeg")</f>
        <v>SIG-20250703_165417d4ab.jpeg</v>
      </c>
      <c r="AT63" s="1" t="s">
        <v>420</v>
      </c>
      <c r="AU63" s="3" t="str">
        <f>HYPERLINK("https://icf.clappia.com/app/GMB253374/submission/GXY00368861/ICF247370-GMB253374-3k6ff9de2f4o00000000/SIG-20250703_16551af7d1.jpeg", "SIG-20250703_16551af7d1.jpeg")</f>
        <v>SIG-20250703_16551af7d1.jpeg</v>
      </c>
      <c r="AV63" s="3" t="str">
        <f>HYPERLINK("https://www.google.com/maps/place/8.2105409%2C-11.6991794", "8.2105409,-11.6991794")</f>
        <v>8.2105409,-11.6991794</v>
      </c>
    </row>
    <row r="64" ht="15.75" customHeight="1">
      <c r="A64" s="1" t="s">
        <v>421</v>
      </c>
      <c r="B64" s="1" t="s">
        <v>349</v>
      </c>
      <c r="C64" s="1" t="s">
        <v>422</v>
      </c>
      <c r="D64" s="1" t="s">
        <v>422</v>
      </c>
      <c r="E64" s="1" t="s">
        <v>423</v>
      </c>
      <c r="F64" s="1" t="s">
        <v>64</v>
      </c>
      <c r="G64" s="1">
        <v>149.0</v>
      </c>
      <c r="H64" s="1" t="s">
        <v>50</v>
      </c>
      <c r="I64" s="1">
        <v>45.0</v>
      </c>
      <c r="J64" s="1">
        <v>15.0</v>
      </c>
      <c r="K64" s="1">
        <v>15.0</v>
      </c>
      <c r="L64" s="1">
        <v>30.0</v>
      </c>
      <c r="M64" s="1">
        <v>30.0</v>
      </c>
      <c r="N64" s="1" t="s">
        <v>51</v>
      </c>
      <c r="O64" s="1">
        <v>38.0</v>
      </c>
      <c r="P64" s="1">
        <v>18.0</v>
      </c>
      <c r="Q64" s="1">
        <v>18.0</v>
      </c>
      <c r="R64" s="1">
        <v>20.0</v>
      </c>
      <c r="S64" s="1">
        <v>20.0</v>
      </c>
      <c r="T64" s="1" t="s">
        <v>52</v>
      </c>
      <c r="U64" s="1">
        <v>32.0</v>
      </c>
      <c r="V64" s="1">
        <v>19.0</v>
      </c>
      <c r="W64" s="1">
        <v>19.0</v>
      </c>
      <c r="X64" s="1">
        <v>13.0</v>
      </c>
      <c r="Y64" s="1">
        <v>13.0</v>
      </c>
      <c r="Z64" s="1" t="s">
        <v>53</v>
      </c>
      <c r="AA64" s="1">
        <v>22.0</v>
      </c>
      <c r="AB64" s="1">
        <v>12.0</v>
      </c>
      <c r="AC64" s="1">
        <v>12.0</v>
      </c>
      <c r="AD64" s="1">
        <v>10.0</v>
      </c>
      <c r="AE64" s="1">
        <v>10.0</v>
      </c>
      <c r="AF64" s="1" t="s">
        <v>54</v>
      </c>
      <c r="AG64" s="1">
        <v>12.0</v>
      </c>
      <c r="AH64" s="1">
        <v>8.0</v>
      </c>
      <c r="AI64" s="1">
        <v>8.0</v>
      </c>
      <c r="AJ64" s="1">
        <v>4.0</v>
      </c>
      <c r="AK64" s="1">
        <v>4.0</v>
      </c>
      <c r="AL64" s="1">
        <v>149.0</v>
      </c>
      <c r="AM64" s="1" t="s">
        <v>55</v>
      </c>
      <c r="AN64" s="1" t="s">
        <v>55</v>
      </c>
      <c r="AO64" s="1" t="s">
        <v>55</v>
      </c>
      <c r="AP64" s="1" t="s">
        <v>424</v>
      </c>
      <c r="AQ64" s="3" t="str">
        <f>HYPERLINK("https://icf.clappia.com/app/GMB253374/submission/UMC60194629/ICF247370-GMB253374-4fm9407p7fei00000000/SIG-20250703_1643o00f.jpeg", "SIG-20250703_1643o00f.jpeg")</f>
        <v>SIG-20250703_1643o00f.jpeg</v>
      </c>
      <c r="AR64" s="1" t="s">
        <v>425</v>
      </c>
      <c r="AS64" s="3" t="str">
        <f>HYPERLINK("https://icf.clappia.com/app/GMB253374/submission/UMC60194629/ICF247370-GMB253374-48enk7a42lo400000000/SIG-20250703_164417ek4m.jpeg", "SIG-20250703_164417ek4m.jpeg")</f>
        <v>SIG-20250703_164417ek4m.jpeg</v>
      </c>
      <c r="AT64" s="1" t="s">
        <v>426</v>
      </c>
      <c r="AU64" s="3" t="str">
        <f>HYPERLINK("https://icf.clappia.com/app/GMB253374/submission/UMC60194629/ICF247370-GMB253374-1adma535ajmhm0000000/SIG-20250703_164417idgb.jpeg", "SIG-20250703_164417idgb.jpeg")</f>
        <v>SIG-20250703_164417idgb.jpeg</v>
      </c>
      <c r="AV64" s="3" t="str">
        <f>HYPERLINK("https://www.google.com/maps/place/9.026405%2C-11.9880917", "9.026405,-11.9880917")</f>
        <v>9.026405,-11.9880917</v>
      </c>
    </row>
    <row r="65" ht="15.75" customHeight="1">
      <c r="A65" s="1" t="s">
        <v>427</v>
      </c>
      <c r="B65" s="1" t="s">
        <v>60</v>
      </c>
      <c r="C65" s="1" t="s">
        <v>428</v>
      </c>
      <c r="D65" s="1" t="s">
        <v>428</v>
      </c>
      <c r="E65" s="1" t="s">
        <v>429</v>
      </c>
      <c r="F65" s="1" t="s">
        <v>64</v>
      </c>
      <c r="G65" s="1">
        <v>50.0</v>
      </c>
      <c r="H65" s="1" t="s">
        <v>50</v>
      </c>
      <c r="I65" s="1">
        <v>21.0</v>
      </c>
      <c r="J65" s="1">
        <v>12.0</v>
      </c>
      <c r="K65" s="1">
        <v>12.0</v>
      </c>
      <c r="L65" s="1">
        <v>9.0</v>
      </c>
      <c r="M65" s="1">
        <v>8.0</v>
      </c>
      <c r="N65" s="1" t="s">
        <v>51</v>
      </c>
      <c r="O65" s="1">
        <v>13.0</v>
      </c>
      <c r="P65" s="1">
        <v>7.0</v>
      </c>
      <c r="Q65" s="1">
        <v>5.0</v>
      </c>
      <c r="R65" s="1">
        <v>6.0</v>
      </c>
      <c r="S65" s="1">
        <v>3.0</v>
      </c>
      <c r="T65" s="1" t="s">
        <v>52</v>
      </c>
      <c r="U65" s="1">
        <v>12.0</v>
      </c>
      <c r="V65" s="1">
        <v>5.0</v>
      </c>
      <c r="W65" s="1">
        <v>4.0</v>
      </c>
      <c r="X65" s="1">
        <v>7.0</v>
      </c>
      <c r="Y65" s="1">
        <v>6.0</v>
      </c>
      <c r="Z65" s="1" t="s">
        <v>53</v>
      </c>
      <c r="AA65" s="1">
        <v>5.0</v>
      </c>
      <c r="AB65" s="1">
        <v>1.0</v>
      </c>
      <c r="AC65" s="1">
        <v>1.0</v>
      </c>
      <c r="AD65" s="1">
        <v>4.0</v>
      </c>
      <c r="AE65" s="1">
        <v>4.0</v>
      </c>
      <c r="AF65" s="1" t="s">
        <v>54</v>
      </c>
      <c r="AG65" s="1" t="s">
        <v>55</v>
      </c>
      <c r="AH65" s="1" t="s">
        <v>55</v>
      </c>
      <c r="AI65" s="1" t="s">
        <v>55</v>
      </c>
      <c r="AJ65" s="1" t="s">
        <v>55</v>
      </c>
      <c r="AK65" s="1" t="s">
        <v>55</v>
      </c>
      <c r="AL65" s="1">
        <v>43.0</v>
      </c>
      <c r="AM65" s="1">
        <v>7.0</v>
      </c>
      <c r="AN65" s="1" t="s">
        <v>55</v>
      </c>
      <c r="AO65" s="1" t="s">
        <v>55</v>
      </c>
      <c r="AP65" s="1" t="s">
        <v>430</v>
      </c>
      <c r="AQ65" s="3" t="str">
        <f>HYPERLINK("https://icf.clappia.com/app/GMB253374/submission/HPT73844557/ICF247370-GMB253374-6866751bdpee00000000/SIG-20250703_1638h26jn.jpeg", "SIG-20250703_1638h26jn.jpeg")</f>
        <v>SIG-20250703_1638h26jn.jpeg</v>
      </c>
      <c r="AR65" s="1" t="s">
        <v>431</v>
      </c>
      <c r="AS65" s="3" t="str">
        <f>HYPERLINK("https://icf.clappia.com/app/GMB253374/submission/HPT73844557/ICF247370-GMB253374-1n034d80diaae0000000/SIG-20250703_1640iel4.jpeg", "SIG-20250703_1640iel4.jpeg")</f>
        <v>SIG-20250703_1640iel4.jpeg</v>
      </c>
      <c r="AT65" s="1" t="s">
        <v>432</v>
      </c>
      <c r="AU65" s="3" t="str">
        <f>HYPERLINK("https://icf.clappia.com/app/GMB253374/submission/HPT73844557/ICF247370-GMB253374-hm4nga3iaoo00000000/SIG-20250703_164016oonf.jpeg", "SIG-20250703_164016oonf.jpeg")</f>
        <v>SIG-20250703_164016oonf.jpeg</v>
      </c>
      <c r="AV65" s="3" t="str">
        <f>HYPERLINK("https://www.google.com/maps/place/9.268515%2C-11.9737167", "9.268515,-11.9737167")</f>
        <v>9.268515,-11.9737167</v>
      </c>
    </row>
    <row r="66" ht="15.75" customHeight="1">
      <c r="A66" s="1" t="s">
        <v>433</v>
      </c>
      <c r="B66" s="1" t="s">
        <v>356</v>
      </c>
      <c r="C66" s="1" t="s">
        <v>434</v>
      </c>
      <c r="D66" s="1" t="s">
        <v>435</v>
      </c>
      <c r="E66" s="1" t="s">
        <v>436</v>
      </c>
      <c r="F66" s="1" t="s">
        <v>64</v>
      </c>
      <c r="G66" s="1">
        <v>210.0</v>
      </c>
      <c r="H66" s="1" t="s">
        <v>50</v>
      </c>
      <c r="I66" s="1">
        <v>40.0</v>
      </c>
      <c r="J66" s="1">
        <v>19.0</v>
      </c>
      <c r="K66" s="1">
        <v>15.0</v>
      </c>
      <c r="L66" s="1">
        <v>21.0</v>
      </c>
      <c r="M66" s="1">
        <v>15.0</v>
      </c>
      <c r="N66" s="1" t="s">
        <v>51</v>
      </c>
      <c r="O66" s="1">
        <v>38.0</v>
      </c>
      <c r="P66" s="1">
        <v>18.0</v>
      </c>
      <c r="Q66" s="1">
        <v>15.0</v>
      </c>
      <c r="R66" s="1">
        <v>20.0</v>
      </c>
      <c r="S66" s="1">
        <v>16.0</v>
      </c>
      <c r="T66" s="1" t="s">
        <v>52</v>
      </c>
      <c r="U66" s="1">
        <v>24.0</v>
      </c>
      <c r="V66" s="1">
        <v>13.0</v>
      </c>
      <c r="W66" s="1">
        <v>10.0</v>
      </c>
      <c r="X66" s="1">
        <v>11.0</v>
      </c>
      <c r="Y66" s="1">
        <v>8.0</v>
      </c>
      <c r="Z66" s="1" t="s">
        <v>53</v>
      </c>
      <c r="AA66" s="1">
        <v>25.0</v>
      </c>
      <c r="AB66" s="1">
        <v>9.0</v>
      </c>
      <c r="AC66" s="1">
        <v>7.0</v>
      </c>
      <c r="AD66" s="1">
        <v>16.0</v>
      </c>
      <c r="AE66" s="1">
        <v>12.0</v>
      </c>
      <c r="AF66" s="1" t="s">
        <v>54</v>
      </c>
      <c r="AG66" s="1">
        <v>7.0</v>
      </c>
      <c r="AH66" s="1">
        <v>4.0</v>
      </c>
      <c r="AI66" s="1">
        <v>4.0</v>
      </c>
      <c r="AJ66" s="1">
        <v>3.0</v>
      </c>
      <c r="AK66" s="1">
        <v>3.0</v>
      </c>
      <c r="AL66" s="1">
        <v>105.0</v>
      </c>
      <c r="AM66" s="1">
        <v>10.0</v>
      </c>
      <c r="AN66" s="1">
        <v>95.0</v>
      </c>
      <c r="AO66" s="1">
        <v>95.0</v>
      </c>
      <c r="AP66" s="1" t="s">
        <v>366</v>
      </c>
      <c r="AQ66" s="3" t="str">
        <f>HYPERLINK("https://icf.clappia.com/app/GMB253374/submission/ZIQ54945976/ICF247370-GMB253374-3hfn0a26h72i00000000/SIG-20250703_134611kdco.jpeg", "SIG-20250703_134611kdco.jpeg")</f>
        <v>SIG-20250703_134611kdco.jpeg</v>
      </c>
      <c r="AR66" s="1" t="s">
        <v>367</v>
      </c>
      <c r="AS66" s="3" t="str">
        <f>HYPERLINK("https://icf.clappia.com/app/GMB253374/submission/ZIQ54945976/ICF247370-GMB253374-4mik5ifdp2d600000000/SIG-20250703_1347a4d7p.jpeg", "SIG-20250703_1347a4d7p.jpeg")</f>
        <v>SIG-20250703_1347a4d7p.jpeg</v>
      </c>
      <c r="AT66" s="1" t="s">
        <v>378</v>
      </c>
      <c r="AU66" s="3" t="str">
        <f>HYPERLINK("https://icf.clappia.com/app/GMB253374/submission/ZIQ54945976/ICF247370-GMB253374-1735lia2d8h1i0000000/SIG-20250703_1349dafe5.jpeg", "SIG-20250703_1349dafe5.jpeg")</f>
        <v>SIG-20250703_1349dafe5.jpeg</v>
      </c>
      <c r="AV66" s="3" t="str">
        <f>HYPERLINK("https://www.google.com/maps/place/8.19395%2C-11.7192217", "8.19395,-11.7192217")</f>
        <v>8.19395,-11.7192217</v>
      </c>
    </row>
    <row r="67" ht="15.75" customHeight="1">
      <c r="A67" s="1" t="s">
        <v>437</v>
      </c>
      <c r="B67" s="1" t="s">
        <v>438</v>
      </c>
      <c r="C67" s="1" t="s">
        <v>439</v>
      </c>
      <c r="D67" s="1" t="s">
        <v>439</v>
      </c>
      <c r="E67" s="1" t="s">
        <v>440</v>
      </c>
      <c r="F67" s="1" t="s">
        <v>64</v>
      </c>
      <c r="G67" s="1">
        <v>150.0</v>
      </c>
      <c r="H67" s="1" t="s">
        <v>50</v>
      </c>
      <c r="I67" s="1">
        <v>69.0</v>
      </c>
      <c r="J67" s="1">
        <v>31.0</v>
      </c>
      <c r="K67" s="1">
        <v>28.0</v>
      </c>
      <c r="L67" s="1">
        <v>38.0</v>
      </c>
      <c r="M67" s="1">
        <v>36.0</v>
      </c>
      <c r="N67" s="1" t="s">
        <v>51</v>
      </c>
      <c r="O67" s="1" t="s">
        <v>55</v>
      </c>
      <c r="P67" s="1" t="s">
        <v>55</v>
      </c>
      <c r="Q67" s="1" t="s">
        <v>55</v>
      </c>
      <c r="R67" s="1" t="s">
        <v>55</v>
      </c>
      <c r="S67" s="1" t="s">
        <v>55</v>
      </c>
      <c r="T67" s="1" t="s">
        <v>52</v>
      </c>
      <c r="U67" s="1" t="s">
        <v>55</v>
      </c>
      <c r="V67" s="1" t="s">
        <v>55</v>
      </c>
      <c r="W67" s="1" t="s">
        <v>55</v>
      </c>
      <c r="X67" s="1" t="s">
        <v>55</v>
      </c>
      <c r="Y67" s="1" t="s">
        <v>55</v>
      </c>
      <c r="Z67" s="1" t="s">
        <v>53</v>
      </c>
      <c r="AA67" s="1">
        <v>46.0</v>
      </c>
      <c r="AB67" s="1">
        <v>24.0</v>
      </c>
      <c r="AC67" s="1">
        <v>24.0</v>
      </c>
      <c r="AD67" s="1">
        <v>22.0</v>
      </c>
      <c r="AE67" s="1">
        <v>21.0</v>
      </c>
      <c r="AF67" s="1" t="s">
        <v>54</v>
      </c>
      <c r="AG67" s="1" t="s">
        <v>55</v>
      </c>
      <c r="AH67" s="1" t="s">
        <v>55</v>
      </c>
      <c r="AI67" s="1" t="s">
        <v>55</v>
      </c>
      <c r="AJ67" s="1" t="s">
        <v>55</v>
      </c>
      <c r="AK67" s="1" t="s">
        <v>55</v>
      </c>
      <c r="AL67" s="1">
        <v>109.0</v>
      </c>
      <c r="AM67" s="1">
        <v>5.0</v>
      </c>
      <c r="AN67" s="1">
        <v>36.0</v>
      </c>
      <c r="AO67" s="1">
        <v>36.0</v>
      </c>
      <c r="AP67" s="1" t="s">
        <v>441</v>
      </c>
      <c r="AQ67" s="3" t="str">
        <f>HYPERLINK("https://icf.clappia.com/app/GMB253374/submission/RWB53594442/ICF247370-GMB253374-e7in73k5lm8o0000000/SIG-20250702_153719l9go.jpeg", "SIG-20250702_153719l9go.jpeg")</f>
        <v>SIG-20250702_153719l9go.jpeg</v>
      </c>
      <c r="AR67" s="1" t="s">
        <v>442</v>
      </c>
      <c r="AS67" s="3" t="str">
        <f>HYPERLINK("https://icf.clappia.com/app/GMB253374/submission/RWB53594442/ICF247370-GMB253374-pmljdi2d36ac0000000/SIG-20250703_1212198pai.jpeg", "SIG-20250703_1212198pai.jpeg")</f>
        <v>SIG-20250703_1212198pai.jpeg</v>
      </c>
      <c r="AT67" s="1" t="s">
        <v>443</v>
      </c>
      <c r="AU67" s="3" t="str">
        <f>HYPERLINK("https://icf.clappia.com/app/GMB253374/submission/RWB53594442/ICF247370-GMB253374-18n26j8n1hh1a0000000/SIG-20250703_12131486co.jpeg", "SIG-20250703_12131486co.jpeg")</f>
        <v>SIG-20250703_12131486co.jpeg</v>
      </c>
      <c r="AV67" s="3" t="str">
        <f>HYPERLINK("https://www.google.com/maps/place/7.6838612%2C-11.7689399", "7.6838612,-11.7689399")</f>
        <v>7.6838612,-11.7689399</v>
      </c>
    </row>
    <row r="68" ht="15.75" customHeight="1">
      <c r="A68" s="1" t="s">
        <v>444</v>
      </c>
      <c r="B68" s="1" t="s">
        <v>142</v>
      </c>
      <c r="C68" s="1" t="s">
        <v>445</v>
      </c>
      <c r="D68" s="1" t="s">
        <v>445</v>
      </c>
      <c r="E68" s="1" t="s">
        <v>446</v>
      </c>
      <c r="F68" s="1" t="s">
        <v>64</v>
      </c>
      <c r="G68" s="1">
        <v>165.0</v>
      </c>
      <c r="H68" s="1" t="s">
        <v>50</v>
      </c>
      <c r="I68" s="1">
        <v>30.0</v>
      </c>
      <c r="J68" s="1">
        <v>16.0</v>
      </c>
      <c r="K68" s="1">
        <v>16.0</v>
      </c>
      <c r="L68" s="1">
        <v>14.0</v>
      </c>
      <c r="M68" s="1">
        <v>14.0</v>
      </c>
      <c r="N68" s="1" t="s">
        <v>51</v>
      </c>
      <c r="O68" s="1">
        <v>22.0</v>
      </c>
      <c r="P68" s="1">
        <v>10.0</v>
      </c>
      <c r="Q68" s="1">
        <v>10.0</v>
      </c>
      <c r="R68" s="1">
        <v>12.0</v>
      </c>
      <c r="S68" s="1">
        <v>12.0</v>
      </c>
      <c r="T68" s="1" t="s">
        <v>52</v>
      </c>
      <c r="U68" s="1">
        <v>19.0</v>
      </c>
      <c r="V68" s="1">
        <v>10.0</v>
      </c>
      <c r="W68" s="1">
        <v>10.0</v>
      </c>
      <c r="X68" s="1">
        <v>9.0</v>
      </c>
      <c r="Y68" s="1">
        <v>9.0</v>
      </c>
      <c r="Z68" s="1" t="s">
        <v>53</v>
      </c>
      <c r="AA68" s="1">
        <v>17.0</v>
      </c>
      <c r="AB68" s="1">
        <v>8.0</v>
      </c>
      <c r="AC68" s="1">
        <v>8.0</v>
      </c>
      <c r="AD68" s="1">
        <v>9.0</v>
      </c>
      <c r="AE68" s="1">
        <v>9.0</v>
      </c>
      <c r="AF68" s="1" t="s">
        <v>54</v>
      </c>
      <c r="AG68" s="1">
        <v>12.0</v>
      </c>
      <c r="AH68" s="1">
        <v>6.0</v>
      </c>
      <c r="AI68" s="1">
        <v>6.0</v>
      </c>
      <c r="AJ68" s="1">
        <v>6.0</v>
      </c>
      <c r="AK68" s="1">
        <v>6.0</v>
      </c>
      <c r="AL68" s="1">
        <v>100.0</v>
      </c>
      <c r="AM68" s="1" t="s">
        <v>55</v>
      </c>
      <c r="AN68" s="1">
        <v>65.0</v>
      </c>
      <c r="AO68" s="1">
        <v>65.0</v>
      </c>
      <c r="AP68" s="1" t="s">
        <v>447</v>
      </c>
      <c r="AQ68" s="3" t="str">
        <f>HYPERLINK("https://icf.clappia.com/app/GMB253374/submission/RKB67493879/ICF247370-GMB253374-apc6jkb70i4g0000000/SIG-20250703_16162djco.jpeg", "SIG-20250703_16162djco.jpeg")</f>
        <v>SIG-20250703_16162djco.jpeg</v>
      </c>
      <c r="AR68" s="1" t="s">
        <v>448</v>
      </c>
      <c r="AS68" s="3" t="str">
        <f>HYPERLINK("https://icf.clappia.com/app/GMB253374/submission/RKB67493879/ICF247370-GMB253374-39hhe1jg3ifc00000000/SIG-20250703_16168dk2g.jpeg", "SIG-20250703_16168dk2g.jpeg")</f>
        <v>SIG-20250703_16168dk2g.jpeg</v>
      </c>
      <c r="AT68" s="1" t="s">
        <v>449</v>
      </c>
      <c r="AU68" s="3" t="str">
        <f>HYPERLINK("https://icf.clappia.com/app/GMB253374/submission/RKB67493879/ICF247370-GMB253374-5mhci2b32ce000000000/SIG-20250703_1510npb98.jpeg", "SIG-20250703_1510npb98.jpeg")</f>
        <v>SIG-20250703_1510npb98.jpeg</v>
      </c>
      <c r="AV68" s="3" t="str">
        <f>HYPERLINK("https://www.google.com/maps/place/7.907655%2C-11.9814483", "7.907655,-11.9814483")</f>
        <v>7.907655,-11.9814483</v>
      </c>
    </row>
    <row r="69" ht="15.75" customHeight="1">
      <c r="A69" s="1" t="s">
        <v>450</v>
      </c>
      <c r="B69" s="1" t="s">
        <v>81</v>
      </c>
      <c r="C69" s="1" t="s">
        <v>451</v>
      </c>
      <c r="D69" s="1" t="s">
        <v>451</v>
      </c>
      <c r="E69" s="1" t="s">
        <v>452</v>
      </c>
      <c r="F69" s="1" t="s">
        <v>49</v>
      </c>
      <c r="G69" s="1">
        <v>200.0</v>
      </c>
      <c r="H69" s="1" t="s">
        <v>50</v>
      </c>
      <c r="I69" s="1">
        <v>59.0</v>
      </c>
      <c r="J69" s="1">
        <v>28.0</v>
      </c>
      <c r="K69" s="1">
        <v>23.0</v>
      </c>
      <c r="L69" s="1">
        <v>31.0</v>
      </c>
      <c r="M69" s="1">
        <v>20.0</v>
      </c>
      <c r="N69" s="1" t="s">
        <v>51</v>
      </c>
      <c r="O69" s="1">
        <v>51.0</v>
      </c>
      <c r="P69" s="1">
        <v>23.0</v>
      </c>
      <c r="Q69" s="1">
        <v>23.0</v>
      </c>
      <c r="R69" s="1">
        <v>28.0</v>
      </c>
      <c r="S69" s="1">
        <v>18.0</v>
      </c>
      <c r="T69" s="1" t="s">
        <v>52</v>
      </c>
      <c r="U69" s="1">
        <v>54.0</v>
      </c>
      <c r="V69" s="1">
        <v>29.0</v>
      </c>
      <c r="W69" s="1">
        <v>24.0</v>
      </c>
      <c r="X69" s="1">
        <v>25.0</v>
      </c>
      <c r="Y69" s="1">
        <v>23.0</v>
      </c>
      <c r="Z69" s="1" t="s">
        <v>53</v>
      </c>
      <c r="AA69" s="1">
        <v>30.0</v>
      </c>
      <c r="AB69" s="1">
        <v>11.0</v>
      </c>
      <c r="AC69" s="1">
        <v>11.0</v>
      </c>
      <c r="AD69" s="1">
        <v>19.0</v>
      </c>
      <c r="AE69" s="1">
        <v>19.0</v>
      </c>
      <c r="AF69" s="1" t="s">
        <v>54</v>
      </c>
      <c r="AG69" s="1">
        <v>39.0</v>
      </c>
      <c r="AH69" s="1">
        <v>18.0</v>
      </c>
      <c r="AI69" s="1">
        <v>18.0</v>
      </c>
      <c r="AJ69" s="1">
        <v>21.0</v>
      </c>
      <c r="AK69" s="1">
        <v>21.0</v>
      </c>
      <c r="AL69" s="1">
        <v>200.0</v>
      </c>
      <c r="AM69" s="1" t="s">
        <v>55</v>
      </c>
      <c r="AN69" s="1" t="s">
        <v>55</v>
      </c>
      <c r="AO69" s="1" t="s">
        <v>55</v>
      </c>
      <c r="AP69" s="1" t="s">
        <v>176</v>
      </c>
      <c r="AQ69" s="3" t="str">
        <f>HYPERLINK("https://icf.clappia.com/app/GMB253374/submission/WBE41958313/ICF247370-GMB253374-54ncge3p7e0c00000000/SIG-20250703_11308ha7b.jpeg", "SIG-20250703_11308ha7b.jpeg")</f>
        <v>SIG-20250703_11308ha7b.jpeg</v>
      </c>
      <c r="AR69" s="1" t="s">
        <v>177</v>
      </c>
      <c r="AS69" s="3" t="str">
        <f>HYPERLINK("https://icf.clappia.com/app/GMB253374/submission/WBE41958313/ICF247370-GMB253374-1nbofhkeg6cpm0000000/SIG-20250703_113299jnk.jpeg", "SIG-20250703_113299jnk.jpeg")</f>
        <v>SIG-20250703_113299jnk.jpeg</v>
      </c>
      <c r="AT69" s="1" t="s">
        <v>178</v>
      </c>
      <c r="AU69" s="3" t="str">
        <f>HYPERLINK("https://icf.clappia.com/app/GMB253374/submission/WBE41958313/ICF247370-GMB253374-1pgdf8c5oial60000000/SIG-20250703_11331218pc.jpeg", "SIG-20250703_11331218pc.jpeg")</f>
        <v>SIG-20250703_11331218pc.jpeg</v>
      </c>
      <c r="AV69" s="3" t="str">
        <f>HYPERLINK("https://www.google.com/maps/place/7.9577585%2C-11.7418454", "7.9577585,-11.7418454")</f>
        <v>7.9577585,-11.7418454</v>
      </c>
    </row>
    <row r="70" ht="15.75" customHeight="1">
      <c r="A70" s="1" t="s">
        <v>453</v>
      </c>
      <c r="B70" s="1" t="s">
        <v>248</v>
      </c>
      <c r="C70" s="1" t="s">
        <v>454</v>
      </c>
      <c r="D70" s="1" t="s">
        <v>454</v>
      </c>
      <c r="E70" s="1" t="s">
        <v>455</v>
      </c>
      <c r="F70" s="1" t="s">
        <v>64</v>
      </c>
      <c r="G70" s="1">
        <v>255.0</v>
      </c>
      <c r="H70" s="1" t="s">
        <v>50</v>
      </c>
      <c r="I70" s="1">
        <v>75.0</v>
      </c>
      <c r="J70" s="1">
        <v>40.0</v>
      </c>
      <c r="K70" s="1">
        <v>40.0</v>
      </c>
      <c r="L70" s="1">
        <v>35.0</v>
      </c>
      <c r="M70" s="1">
        <v>35.0</v>
      </c>
      <c r="N70" s="1" t="s">
        <v>51</v>
      </c>
      <c r="O70" s="1">
        <v>54.0</v>
      </c>
      <c r="P70" s="1">
        <v>26.0</v>
      </c>
      <c r="Q70" s="1">
        <v>26.0</v>
      </c>
      <c r="R70" s="1">
        <v>28.0</v>
      </c>
      <c r="S70" s="1">
        <v>28.0</v>
      </c>
      <c r="T70" s="1" t="s">
        <v>52</v>
      </c>
      <c r="U70" s="1">
        <v>46.0</v>
      </c>
      <c r="V70" s="1">
        <v>21.0</v>
      </c>
      <c r="W70" s="1">
        <v>21.0</v>
      </c>
      <c r="X70" s="1">
        <v>25.0</v>
      </c>
      <c r="Y70" s="1">
        <v>25.0</v>
      </c>
      <c r="Z70" s="1" t="s">
        <v>53</v>
      </c>
      <c r="AA70" s="1">
        <v>44.0</v>
      </c>
      <c r="AB70" s="1">
        <v>22.0</v>
      </c>
      <c r="AC70" s="1">
        <v>22.0</v>
      </c>
      <c r="AD70" s="1">
        <v>22.0</v>
      </c>
      <c r="AE70" s="1">
        <v>22.0</v>
      </c>
      <c r="AF70" s="1" t="s">
        <v>54</v>
      </c>
      <c r="AG70" s="1">
        <v>36.0</v>
      </c>
      <c r="AH70" s="1">
        <v>19.0</v>
      </c>
      <c r="AI70" s="1">
        <v>19.0</v>
      </c>
      <c r="AJ70" s="1">
        <v>17.0</v>
      </c>
      <c r="AK70" s="1">
        <v>17.0</v>
      </c>
      <c r="AL70" s="1">
        <v>255.0</v>
      </c>
      <c r="AM70" s="1" t="s">
        <v>55</v>
      </c>
      <c r="AN70" s="1" t="s">
        <v>55</v>
      </c>
      <c r="AO70" s="1" t="s">
        <v>55</v>
      </c>
      <c r="AP70" s="1" t="s">
        <v>456</v>
      </c>
      <c r="AQ70" s="3" t="str">
        <f>HYPERLINK("https://icf.clappia.com/app/GMB253374/submission/OHJ76254660/ICF247370-GMB253374-3ffmb5cogk1800000000/SIG-20250703_1609mn8ih.jpeg", "SIG-20250703_1609mn8ih.jpeg")</f>
        <v>SIG-20250703_1609mn8ih.jpeg</v>
      </c>
      <c r="AR70" s="1" t="s">
        <v>457</v>
      </c>
      <c r="AS70" s="3" t="str">
        <f>HYPERLINK("https://icf.clappia.com/app/GMB253374/submission/OHJ76254660/ICF247370-GMB253374-329nfa768cik00000000/SIG-20250703_1610n60k1.jpeg", "SIG-20250703_1610n60k1.jpeg")</f>
        <v>SIG-20250703_1610n60k1.jpeg</v>
      </c>
      <c r="AT70" s="1" t="s">
        <v>458</v>
      </c>
      <c r="AU70" s="3" t="str">
        <f>HYPERLINK("https://icf.clappia.com/app/GMB253374/submission/OHJ76254660/ICF247370-GMB253374-6bf23hod05m80000000/SIG-20250703_16111955m4.jpeg", "SIG-20250703_16111955m4.jpeg")</f>
        <v>SIG-20250703_16111955m4.jpeg</v>
      </c>
      <c r="AV70" s="3" t="str">
        <f t="shared" ref="AV70:AV71" si="1">HYPERLINK("https://www.google.com/maps/place/7.9370002%2C-11.4894692", "7.9370002,-11.4894692")</f>
        <v>7.9370002,-11.4894692</v>
      </c>
    </row>
    <row r="71" ht="15.75" customHeight="1">
      <c r="A71" s="1" t="s">
        <v>459</v>
      </c>
      <c r="B71" s="1" t="s">
        <v>248</v>
      </c>
      <c r="C71" s="1" t="s">
        <v>460</v>
      </c>
      <c r="D71" s="1" t="s">
        <v>460</v>
      </c>
      <c r="E71" s="1" t="s">
        <v>461</v>
      </c>
      <c r="F71" s="1" t="s">
        <v>64</v>
      </c>
      <c r="G71" s="1">
        <v>211.0</v>
      </c>
      <c r="H71" s="1" t="s">
        <v>50</v>
      </c>
      <c r="I71" s="1">
        <v>59.0</v>
      </c>
      <c r="J71" s="1">
        <v>37.0</v>
      </c>
      <c r="K71" s="1">
        <v>37.0</v>
      </c>
      <c r="L71" s="1">
        <v>22.0</v>
      </c>
      <c r="M71" s="1">
        <v>22.0</v>
      </c>
      <c r="N71" s="1" t="s">
        <v>51</v>
      </c>
      <c r="O71" s="1">
        <v>37.0</v>
      </c>
      <c r="P71" s="1">
        <v>16.0</v>
      </c>
      <c r="Q71" s="1">
        <v>16.0</v>
      </c>
      <c r="R71" s="1">
        <v>21.0</v>
      </c>
      <c r="S71" s="1">
        <v>21.0</v>
      </c>
      <c r="T71" s="1" t="s">
        <v>52</v>
      </c>
      <c r="U71" s="1">
        <v>23.0</v>
      </c>
      <c r="V71" s="1">
        <v>12.0</v>
      </c>
      <c r="W71" s="1">
        <v>12.0</v>
      </c>
      <c r="X71" s="1">
        <v>11.0</v>
      </c>
      <c r="Y71" s="1">
        <v>11.0</v>
      </c>
      <c r="Z71" s="1" t="s">
        <v>53</v>
      </c>
      <c r="AA71" s="1">
        <v>47.0</v>
      </c>
      <c r="AB71" s="1">
        <v>17.0</v>
      </c>
      <c r="AC71" s="1">
        <v>17.0</v>
      </c>
      <c r="AD71" s="1">
        <v>30.0</v>
      </c>
      <c r="AE71" s="1">
        <v>30.0</v>
      </c>
      <c r="AF71" s="1" t="s">
        <v>54</v>
      </c>
      <c r="AG71" s="1">
        <v>45.0</v>
      </c>
      <c r="AH71" s="1">
        <v>20.0</v>
      </c>
      <c r="AI71" s="1">
        <v>20.0</v>
      </c>
      <c r="AJ71" s="1">
        <v>25.0</v>
      </c>
      <c r="AK71" s="1">
        <v>25.0</v>
      </c>
      <c r="AL71" s="1">
        <v>211.0</v>
      </c>
      <c r="AM71" s="1" t="s">
        <v>55</v>
      </c>
      <c r="AN71" s="1" t="s">
        <v>55</v>
      </c>
      <c r="AO71" s="1" t="s">
        <v>55</v>
      </c>
      <c r="AP71" s="1" t="s">
        <v>462</v>
      </c>
      <c r="AQ71" s="3" t="str">
        <f>HYPERLINK("https://icf.clappia.com/app/GMB253374/submission/XFY25346495/ICF247370-GMB253374-1ieooa7e2o7ci0000000/SIG-20250703_15513f21d.jpeg", "SIG-20250703_15513f21d.jpeg")</f>
        <v>SIG-20250703_15513f21d.jpeg</v>
      </c>
      <c r="AR71" s="1" t="s">
        <v>463</v>
      </c>
      <c r="AS71" s="3" t="str">
        <f>HYPERLINK("https://icf.clappia.com/app/GMB253374/submission/XFY25346495/ICF247370-GMB253374-61p91bi499mk00000000/SIG-20250703_15534c556.jpeg", "SIG-20250703_15534c556.jpeg")</f>
        <v>SIG-20250703_15534c556.jpeg</v>
      </c>
      <c r="AT71" s="1" t="s">
        <v>464</v>
      </c>
      <c r="AU71" s="3" t="str">
        <f>HYPERLINK("https://icf.clappia.com/app/GMB253374/submission/XFY25346495/ICF247370-GMB253374-3e862omgl11m00000000/SIG-20250703_15539eo73.jpeg", "SIG-20250703_15539eo73.jpeg")</f>
        <v>SIG-20250703_15539eo73.jpeg</v>
      </c>
      <c r="AV71" s="3" t="str">
        <f t="shared" si="1"/>
        <v>7.9370002,-11.4894692</v>
      </c>
    </row>
    <row r="72" ht="15.75" customHeight="1">
      <c r="A72" s="1" t="s">
        <v>465</v>
      </c>
      <c r="B72" s="1" t="s">
        <v>142</v>
      </c>
      <c r="C72" s="1" t="s">
        <v>466</v>
      </c>
      <c r="D72" s="1" t="s">
        <v>466</v>
      </c>
      <c r="E72" s="1" t="s">
        <v>467</v>
      </c>
      <c r="F72" s="1" t="s">
        <v>64</v>
      </c>
      <c r="G72" s="1">
        <v>50.0</v>
      </c>
      <c r="H72" s="1" t="s">
        <v>50</v>
      </c>
      <c r="I72" s="1">
        <v>27.0</v>
      </c>
      <c r="J72" s="1">
        <v>15.0</v>
      </c>
      <c r="K72" s="1">
        <v>15.0</v>
      </c>
      <c r="L72" s="1">
        <v>12.0</v>
      </c>
      <c r="M72" s="1">
        <v>12.0</v>
      </c>
      <c r="N72" s="1" t="s">
        <v>51</v>
      </c>
      <c r="O72" s="1">
        <v>12.0</v>
      </c>
      <c r="P72" s="1">
        <v>8.0</v>
      </c>
      <c r="Q72" s="1">
        <v>8.0</v>
      </c>
      <c r="R72" s="1">
        <v>4.0</v>
      </c>
      <c r="S72" s="1">
        <v>4.0</v>
      </c>
      <c r="T72" s="1" t="s">
        <v>52</v>
      </c>
      <c r="U72" s="1">
        <v>9.0</v>
      </c>
      <c r="V72" s="1">
        <v>6.0</v>
      </c>
      <c r="W72" s="1">
        <v>6.0</v>
      </c>
      <c r="X72" s="1">
        <v>3.0</v>
      </c>
      <c r="Y72" s="1">
        <v>3.0</v>
      </c>
      <c r="Z72" s="1" t="s">
        <v>53</v>
      </c>
      <c r="AA72" s="1">
        <v>2.0</v>
      </c>
      <c r="AB72" s="1">
        <v>2.0</v>
      </c>
      <c r="AC72" s="1">
        <v>2.0</v>
      </c>
      <c r="AD72" s="1" t="s">
        <v>55</v>
      </c>
      <c r="AE72" s="1" t="s">
        <v>55</v>
      </c>
      <c r="AF72" s="1" t="s">
        <v>54</v>
      </c>
      <c r="AG72" s="1" t="s">
        <v>55</v>
      </c>
      <c r="AH72" s="1" t="s">
        <v>55</v>
      </c>
      <c r="AI72" s="1" t="s">
        <v>55</v>
      </c>
      <c r="AJ72" s="1" t="s">
        <v>55</v>
      </c>
      <c r="AK72" s="1" t="s">
        <v>55</v>
      </c>
      <c r="AL72" s="1">
        <v>50.0</v>
      </c>
      <c r="AM72" s="1" t="s">
        <v>55</v>
      </c>
      <c r="AN72" s="1" t="s">
        <v>55</v>
      </c>
      <c r="AO72" s="1" t="s">
        <v>55</v>
      </c>
      <c r="AP72" s="1" t="s">
        <v>468</v>
      </c>
      <c r="AQ72" s="3" t="str">
        <f>HYPERLINK("https://icf.clappia.com/app/GMB253374/submission/IRX42358800/ICF247370-GMB253374-4363ak5459ho00000000/SIG-20250703_1541nlnnl.jpeg", "SIG-20250703_1541nlnnl.jpeg")</f>
        <v>SIG-20250703_1541nlnnl.jpeg</v>
      </c>
      <c r="AR72" s="1" t="s">
        <v>469</v>
      </c>
      <c r="AS72" s="3" t="str">
        <f>HYPERLINK("https://icf.clappia.com/app/GMB253374/submission/IRX42358800/ICF247370-GMB253374-5g0hg54ejo0a00000000/SIG-20250703_154216b168.jpeg", "SIG-20250703_154216b168.jpeg")</f>
        <v>SIG-20250703_154216b168.jpeg</v>
      </c>
      <c r="AT72" s="1" t="s">
        <v>470</v>
      </c>
      <c r="AU72" s="3" t="str">
        <f>HYPERLINK("https://icf.clappia.com/app/GMB253374/submission/IRX42358800/ICF247370-GMB253374-5ofmcn8g2ik80000000/SIG-20250703_1549hjof9.jpeg", "SIG-20250703_1549hjof9.jpeg")</f>
        <v>SIG-20250703_1549hjof9.jpeg</v>
      </c>
      <c r="AV72" s="3" t="str">
        <f>HYPERLINK("https://www.google.com/maps/place/7.8476817%2C-12.0384383", "7.8476817,-12.0384383")</f>
        <v>7.8476817,-12.0384383</v>
      </c>
    </row>
    <row r="73" ht="15.75" customHeight="1">
      <c r="A73" s="1" t="s">
        <v>471</v>
      </c>
      <c r="B73" s="1" t="s">
        <v>167</v>
      </c>
      <c r="C73" s="1" t="s">
        <v>472</v>
      </c>
      <c r="D73" s="1" t="s">
        <v>472</v>
      </c>
      <c r="E73" s="1" t="s">
        <v>473</v>
      </c>
      <c r="F73" s="1" t="s">
        <v>64</v>
      </c>
      <c r="G73" s="1">
        <v>252.0</v>
      </c>
      <c r="H73" s="1" t="s">
        <v>50</v>
      </c>
      <c r="I73" s="1">
        <v>75.0</v>
      </c>
      <c r="J73" s="1">
        <v>35.0</v>
      </c>
      <c r="K73" s="1">
        <v>31.0</v>
      </c>
      <c r="L73" s="1">
        <v>40.0</v>
      </c>
      <c r="M73" s="1">
        <v>28.0</v>
      </c>
      <c r="N73" s="1" t="s">
        <v>51</v>
      </c>
      <c r="O73" s="1">
        <v>60.0</v>
      </c>
      <c r="P73" s="1">
        <v>25.0</v>
      </c>
      <c r="Q73" s="1">
        <v>20.0</v>
      </c>
      <c r="R73" s="1">
        <v>35.0</v>
      </c>
      <c r="S73" s="1">
        <v>15.0</v>
      </c>
      <c r="T73" s="1" t="s">
        <v>52</v>
      </c>
      <c r="U73" s="1">
        <v>39.0</v>
      </c>
      <c r="V73" s="1">
        <v>19.0</v>
      </c>
      <c r="W73" s="1">
        <v>18.0</v>
      </c>
      <c r="X73" s="1">
        <v>20.0</v>
      </c>
      <c r="Y73" s="1">
        <v>16.0</v>
      </c>
      <c r="Z73" s="1" t="s">
        <v>53</v>
      </c>
      <c r="AA73" s="1">
        <v>40.0</v>
      </c>
      <c r="AB73" s="1">
        <v>20.0</v>
      </c>
      <c r="AC73" s="1">
        <v>16.0</v>
      </c>
      <c r="AD73" s="1">
        <v>20.0</v>
      </c>
      <c r="AE73" s="1">
        <v>15.0</v>
      </c>
      <c r="AF73" s="1" t="s">
        <v>54</v>
      </c>
      <c r="AG73" s="1">
        <v>48.0</v>
      </c>
      <c r="AH73" s="1">
        <v>25.0</v>
      </c>
      <c r="AI73" s="1">
        <v>14.0</v>
      </c>
      <c r="AJ73" s="1">
        <v>23.0</v>
      </c>
      <c r="AK73" s="1">
        <v>18.0</v>
      </c>
      <c r="AL73" s="1">
        <v>191.0</v>
      </c>
      <c r="AM73" s="1" t="s">
        <v>55</v>
      </c>
      <c r="AN73" s="1">
        <v>61.0</v>
      </c>
      <c r="AO73" s="1">
        <v>61.0</v>
      </c>
      <c r="AP73" s="1" t="s">
        <v>474</v>
      </c>
      <c r="AQ73" s="3" t="str">
        <f>HYPERLINK("https://icf.clappia.com/app/GMB253374/submission/ZAD12762795/ICF247370-GMB253374-11lec6boknl7e0000000/SIG-20250703_10333p04e.jpeg", "SIG-20250703_10333p04e.jpeg")</f>
        <v>SIG-20250703_10333p04e.jpeg</v>
      </c>
      <c r="AR73" s="1" t="s">
        <v>475</v>
      </c>
      <c r="AS73" s="3" t="str">
        <f>HYPERLINK("https://icf.clappia.com/app/GMB253374/submission/ZAD12762795/ICF247370-GMB253374-4f4m6jpahf2400000000/SIG-20250703_1514ngef7.jpeg", "SIG-20250703_1514ngef7.jpeg")</f>
        <v>SIG-20250703_1514ngef7.jpeg</v>
      </c>
      <c r="AT73" s="1" t="s">
        <v>476</v>
      </c>
      <c r="AU73" s="3" t="str">
        <f>HYPERLINK("https://icf.clappia.com/app/GMB253374/submission/ZAD12762795/ICF247370-GMB253374-5a4o39e153pm00000000/SIG-20250703_1546lc3dm.jpeg", "SIG-20250703_1546lc3dm.jpeg")</f>
        <v>SIG-20250703_1546lc3dm.jpeg</v>
      </c>
      <c r="AV73" s="3" t="str">
        <f>HYPERLINK("https://www.google.com/maps/place/7.7708338%2C-11.7258593", "7.7708338,-11.7258593")</f>
        <v>7.7708338,-11.7258593</v>
      </c>
    </row>
    <row r="74" ht="15.75" customHeight="1">
      <c r="A74" s="1" t="s">
        <v>477</v>
      </c>
      <c r="B74" s="1" t="s">
        <v>60</v>
      </c>
      <c r="C74" s="1" t="s">
        <v>478</v>
      </c>
      <c r="D74" s="1" t="s">
        <v>478</v>
      </c>
      <c r="E74" s="1" t="s">
        <v>479</v>
      </c>
      <c r="F74" s="1" t="s">
        <v>64</v>
      </c>
      <c r="G74" s="1">
        <v>237.0</v>
      </c>
      <c r="H74" s="1" t="s">
        <v>50</v>
      </c>
      <c r="I74" s="1">
        <v>52.0</v>
      </c>
      <c r="J74" s="1">
        <v>22.0</v>
      </c>
      <c r="K74" s="1">
        <v>22.0</v>
      </c>
      <c r="L74" s="1">
        <v>30.0</v>
      </c>
      <c r="M74" s="1">
        <v>28.0</v>
      </c>
      <c r="N74" s="1" t="s">
        <v>51</v>
      </c>
      <c r="O74" s="1">
        <v>53.0</v>
      </c>
      <c r="P74" s="1">
        <v>25.0</v>
      </c>
      <c r="Q74" s="1">
        <v>24.0</v>
      </c>
      <c r="R74" s="1">
        <v>28.0</v>
      </c>
      <c r="S74" s="1">
        <v>27.0</v>
      </c>
      <c r="T74" s="1" t="s">
        <v>52</v>
      </c>
      <c r="U74" s="1">
        <v>47.0</v>
      </c>
      <c r="V74" s="1">
        <v>22.0</v>
      </c>
      <c r="W74" s="1">
        <v>22.0</v>
      </c>
      <c r="X74" s="1">
        <v>25.0</v>
      </c>
      <c r="Y74" s="1">
        <v>24.0</v>
      </c>
      <c r="Z74" s="1" t="s">
        <v>53</v>
      </c>
      <c r="AA74" s="1">
        <v>45.0</v>
      </c>
      <c r="AB74" s="1">
        <v>20.0</v>
      </c>
      <c r="AC74" s="1">
        <v>20.0</v>
      </c>
      <c r="AD74" s="1">
        <v>25.0</v>
      </c>
      <c r="AE74" s="1">
        <v>23.0</v>
      </c>
      <c r="AF74" s="1" t="s">
        <v>54</v>
      </c>
      <c r="AG74" s="1">
        <v>40.0</v>
      </c>
      <c r="AH74" s="1">
        <v>18.0</v>
      </c>
      <c r="AI74" s="1">
        <v>18.0</v>
      </c>
      <c r="AJ74" s="1">
        <v>22.0</v>
      </c>
      <c r="AK74" s="1">
        <v>22.0</v>
      </c>
      <c r="AL74" s="1">
        <v>230.0</v>
      </c>
      <c r="AM74" s="1" t="s">
        <v>55</v>
      </c>
      <c r="AN74" s="1">
        <v>7.0</v>
      </c>
      <c r="AO74" s="1">
        <v>7.0</v>
      </c>
      <c r="AP74" s="1" t="s">
        <v>480</v>
      </c>
      <c r="AQ74" s="3" t="str">
        <f>HYPERLINK("https://icf.clappia.com/app/GMB253374/submission/SUR44131460/ICF247370-GMB253374-19fjgma361l200000000/SIG-20250703_153468hn2.jpeg", "SIG-20250703_153468hn2.jpeg")</f>
        <v>SIG-20250703_153468hn2.jpeg</v>
      </c>
      <c r="AR74" s="1" t="s">
        <v>481</v>
      </c>
      <c r="AS74" s="3" t="str">
        <f>HYPERLINK("https://icf.clappia.com/app/GMB253374/submission/SUR44131460/ICF247370-GMB253374-fk44b4maen6g0000000/SIG-20250703_1534lhceh.jpeg", "SIG-20250703_1534lhceh.jpeg")</f>
        <v>SIG-20250703_1534lhceh.jpeg</v>
      </c>
      <c r="AT74" s="1" t="s">
        <v>482</v>
      </c>
      <c r="AU74" s="3" t="str">
        <f>HYPERLINK("https://icf.clappia.com/app/GMB253374/submission/SUR44131460/ICF247370-GMB253374-e4i10e0g4ke40000000/SIG-20250703_1535b9kme.jpeg", "SIG-20250703_1535b9kme.jpeg")</f>
        <v>SIG-20250703_1535b9kme.jpeg</v>
      </c>
      <c r="AV74" s="3" t="str">
        <f>HYPERLINK("https://www.google.com/maps/place/9.1703067%2C-12.0155983", "9.1703067,-12.0155983")</f>
        <v>9.1703067,-12.0155983</v>
      </c>
    </row>
    <row r="75" ht="15.75" customHeight="1">
      <c r="A75" s="1" t="s">
        <v>483</v>
      </c>
      <c r="B75" s="1" t="s">
        <v>356</v>
      </c>
      <c r="C75" s="1" t="s">
        <v>484</v>
      </c>
      <c r="D75" s="1" t="s">
        <v>484</v>
      </c>
      <c r="E75" s="1" t="s">
        <v>485</v>
      </c>
      <c r="F75" s="1" t="s">
        <v>64</v>
      </c>
      <c r="G75" s="1">
        <v>107.0</v>
      </c>
      <c r="H75" s="1" t="s">
        <v>50</v>
      </c>
      <c r="I75" s="1">
        <v>25.0</v>
      </c>
      <c r="J75" s="1">
        <v>11.0</v>
      </c>
      <c r="K75" s="1">
        <v>11.0</v>
      </c>
      <c r="L75" s="1">
        <v>14.0</v>
      </c>
      <c r="M75" s="1">
        <v>12.0</v>
      </c>
      <c r="N75" s="1" t="s">
        <v>51</v>
      </c>
      <c r="O75" s="1">
        <v>5.0</v>
      </c>
      <c r="P75" s="1">
        <v>4.0</v>
      </c>
      <c r="Q75" s="1">
        <v>4.0</v>
      </c>
      <c r="R75" s="1">
        <v>1.0</v>
      </c>
      <c r="S75" s="1">
        <v>1.0</v>
      </c>
      <c r="T75" s="1" t="s">
        <v>52</v>
      </c>
      <c r="U75" s="1">
        <v>6.0</v>
      </c>
      <c r="V75" s="1">
        <v>3.0</v>
      </c>
      <c r="W75" s="1">
        <v>3.0</v>
      </c>
      <c r="X75" s="1">
        <v>3.0</v>
      </c>
      <c r="Y75" s="1">
        <v>3.0</v>
      </c>
      <c r="Z75" s="1" t="s">
        <v>53</v>
      </c>
      <c r="AA75" s="1">
        <v>7.0</v>
      </c>
      <c r="AB75" s="1">
        <v>4.0</v>
      </c>
      <c r="AC75" s="1">
        <v>4.0</v>
      </c>
      <c r="AD75" s="1">
        <v>3.0</v>
      </c>
      <c r="AE75" s="1">
        <v>3.0</v>
      </c>
      <c r="AF75" s="1" t="s">
        <v>54</v>
      </c>
      <c r="AG75" s="1">
        <v>1.0</v>
      </c>
      <c r="AH75" s="1" t="s">
        <v>55</v>
      </c>
      <c r="AI75" s="1" t="s">
        <v>55</v>
      </c>
      <c r="AJ75" s="1">
        <v>1.0</v>
      </c>
      <c r="AK75" s="1">
        <v>1.0</v>
      </c>
      <c r="AL75" s="1">
        <v>42.0</v>
      </c>
      <c r="AM75" s="1">
        <v>2.0</v>
      </c>
      <c r="AN75" s="1">
        <v>63.0</v>
      </c>
      <c r="AO75" s="1">
        <v>63.0</v>
      </c>
      <c r="AP75" s="1" t="s">
        <v>366</v>
      </c>
      <c r="AQ75" s="3" t="str">
        <f>HYPERLINK("https://icf.clappia.com/app/GMB253374/submission/MUC62870706/ICF247370-GMB253374-3ifmgafepl6i00000000/SIG-20250703_1428g94kp.jpeg", "SIG-20250703_1428g94kp.jpeg")</f>
        <v>SIG-20250703_1428g94kp.jpeg</v>
      </c>
      <c r="AR75" s="1" t="s">
        <v>367</v>
      </c>
      <c r="AS75" s="3" t="str">
        <f>HYPERLINK("https://icf.clappia.com/app/GMB253374/submission/MUC62870706/ICF247370-GMB253374-1m58483ip742e0000000/SIG-20250703_1430163mg1.jpeg", "SIG-20250703_1430163mg1.jpeg")</f>
        <v>SIG-20250703_1430163mg1.jpeg</v>
      </c>
      <c r="AT75" s="1" t="s">
        <v>368</v>
      </c>
      <c r="AU75" s="3" t="str">
        <f>HYPERLINK("https://icf.clappia.com/app/GMB253374/submission/MUC62870706/ICF247370-GMB253374-53bjg9a0l4fi00000000/SIG-20250703_143114g2b0.jpeg", "SIG-20250703_143114g2b0.jpeg")</f>
        <v>SIG-20250703_143114g2b0.jpeg</v>
      </c>
      <c r="AV75" s="3" t="str">
        <f>HYPERLINK("https://www.google.com/maps/place/8.1271818%2C-11.7045165", "8.1271818,-11.7045165")</f>
        <v>8.1271818,-11.7045165</v>
      </c>
    </row>
    <row r="76" ht="15.75" customHeight="1">
      <c r="A76" s="1" t="s">
        <v>486</v>
      </c>
      <c r="B76" s="1" t="s">
        <v>438</v>
      </c>
      <c r="C76" s="1" t="s">
        <v>487</v>
      </c>
      <c r="D76" s="1" t="s">
        <v>487</v>
      </c>
      <c r="E76" s="1" t="s">
        <v>488</v>
      </c>
      <c r="F76" s="1" t="s">
        <v>64</v>
      </c>
      <c r="G76" s="1">
        <v>169.0</v>
      </c>
      <c r="H76" s="1" t="s">
        <v>50</v>
      </c>
      <c r="I76" s="1">
        <v>50.0</v>
      </c>
      <c r="J76" s="1">
        <v>19.0</v>
      </c>
      <c r="K76" s="1">
        <v>19.0</v>
      </c>
      <c r="L76" s="1">
        <v>31.0</v>
      </c>
      <c r="M76" s="1">
        <v>31.0</v>
      </c>
      <c r="N76" s="1" t="s">
        <v>51</v>
      </c>
      <c r="O76" s="1">
        <v>28.0</v>
      </c>
      <c r="P76" s="1">
        <v>15.0</v>
      </c>
      <c r="Q76" s="1">
        <v>13.0</v>
      </c>
      <c r="R76" s="1">
        <v>13.0</v>
      </c>
      <c r="S76" s="1">
        <v>13.0</v>
      </c>
      <c r="T76" s="1" t="s">
        <v>52</v>
      </c>
      <c r="U76" s="1">
        <v>35.0</v>
      </c>
      <c r="V76" s="1">
        <v>16.0</v>
      </c>
      <c r="W76" s="1">
        <v>15.0</v>
      </c>
      <c r="X76" s="1">
        <v>19.0</v>
      </c>
      <c r="Y76" s="1">
        <v>19.0</v>
      </c>
      <c r="Z76" s="1" t="s">
        <v>53</v>
      </c>
      <c r="AA76" s="1">
        <v>26.0</v>
      </c>
      <c r="AB76" s="1">
        <v>12.0</v>
      </c>
      <c r="AC76" s="1">
        <v>12.0</v>
      </c>
      <c r="AD76" s="1">
        <v>14.0</v>
      </c>
      <c r="AE76" s="1">
        <v>14.0</v>
      </c>
      <c r="AF76" s="1" t="s">
        <v>54</v>
      </c>
      <c r="AG76" s="1">
        <v>30.0</v>
      </c>
      <c r="AH76" s="1">
        <v>13.0</v>
      </c>
      <c r="AI76" s="1">
        <v>13.0</v>
      </c>
      <c r="AJ76" s="1">
        <v>17.0</v>
      </c>
      <c r="AK76" s="1">
        <v>15.0</v>
      </c>
      <c r="AL76" s="1">
        <v>164.0</v>
      </c>
      <c r="AM76" s="1">
        <v>5.0</v>
      </c>
      <c r="AN76" s="1" t="s">
        <v>55</v>
      </c>
      <c r="AO76" s="1" t="s">
        <v>55</v>
      </c>
      <c r="AP76" s="1" t="s">
        <v>489</v>
      </c>
      <c r="AQ76" s="3" t="str">
        <f>HYPERLINK("https://icf.clappia.com/app/GMB253374/submission/MZW67387390/ICF247370-GMB253374-1ca6f5056ed5a0000000/SIG-20250703_0924mfl3o.jpeg", "SIG-20250703_0924mfl3o.jpeg")</f>
        <v>SIG-20250703_0924mfl3o.jpeg</v>
      </c>
      <c r="AR76" s="1" t="s">
        <v>490</v>
      </c>
      <c r="AS76" s="3" t="str">
        <f>HYPERLINK("https://icf.clappia.com/app/GMB253374/submission/MZW67387390/ICF247370-GMB253374-5jpe8cjm9hm600000000/SIG-20250703_152042504.jpeg", "SIG-20250703_152042504.jpeg")</f>
        <v>SIG-20250703_152042504.jpeg</v>
      </c>
      <c r="AT76" s="1" t="s">
        <v>491</v>
      </c>
      <c r="AU76" s="3" t="str">
        <f>HYPERLINK("https://icf.clappia.com/app/GMB253374/submission/MZW67387390/ICF247370-GMB253374-4nh0f8aj6fk000000000/SIG-20250703_0925k6dd6.jpeg", "SIG-20250703_0925k6dd6.jpeg")</f>
        <v>SIG-20250703_0925k6dd6.jpeg</v>
      </c>
      <c r="AV76" s="3" t="str">
        <f>HYPERLINK("https://www.google.com/maps/place/7.5757748%2C-11.9009055", "7.5757748,-11.9009055")</f>
        <v>7.5757748,-11.9009055</v>
      </c>
    </row>
    <row r="77" ht="15.75" customHeight="1">
      <c r="A77" s="1" t="s">
        <v>492</v>
      </c>
      <c r="B77" s="1" t="s">
        <v>142</v>
      </c>
      <c r="C77" s="1" t="s">
        <v>493</v>
      </c>
      <c r="D77" s="1" t="s">
        <v>493</v>
      </c>
      <c r="E77" s="1" t="s">
        <v>494</v>
      </c>
      <c r="F77" s="1" t="s">
        <v>64</v>
      </c>
      <c r="G77" s="1">
        <v>136.0</v>
      </c>
      <c r="H77" s="1" t="s">
        <v>50</v>
      </c>
      <c r="I77" s="1">
        <v>26.0</v>
      </c>
      <c r="J77" s="1">
        <v>10.0</v>
      </c>
      <c r="K77" s="1">
        <v>10.0</v>
      </c>
      <c r="L77" s="1">
        <v>16.0</v>
      </c>
      <c r="M77" s="1">
        <v>16.0</v>
      </c>
      <c r="N77" s="1" t="s">
        <v>51</v>
      </c>
      <c r="O77" s="1">
        <v>14.0</v>
      </c>
      <c r="P77" s="1">
        <v>6.0</v>
      </c>
      <c r="Q77" s="1">
        <v>6.0</v>
      </c>
      <c r="R77" s="1">
        <v>8.0</v>
      </c>
      <c r="S77" s="1">
        <v>8.0</v>
      </c>
      <c r="T77" s="1" t="s">
        <v>52</v>
      </c>
      <c r="U77" s="1">
        <v>20.0</v>
      </c>
      <c r="V77" s="1">
        <v>10.0</v>
      </c>
      <c r="W77" s="1">
        <v>10.0</v>
      </c>
      <c r="X77" s="1">
        <v>10.0</v>
      </c>
      <c r="Y77" s="1">
        <v>10.0</v>
      </c>
      <c r="Z77" s="1" t="s">
        <v>53</v>
      </c>
      <c r="AA77" s="1">
        <v>17.0</v>
      </c>
      <c r="AB77" s="1">
        <v>10.0</v>
      </c>
      <c r="AC77" s="1">
        <v>10.0</v>
      </c>
      <c r="AD77" s="1">
        <v>7.0</v>
      </c>
      <c r="AE77" s="1">
        <v>7.0</v>
      </c>
      <c r="AF77" s="1" t="s">
        <v>54</v>
      </c>
      <c r="AG77" s="1">
        <v>9.0</v>
      </c>
      <c r="AH77" s="1">
        <v>2.0</v>
      </c>
      <c r="AI77" s="1">
        <v>2.0</v>
      </c>
      <c r="AJ77" s="1">
        <v>7.0</v>
      </c>
      <c r="AK77" s="1">
        <v>7.0</v>
      </c>
      <c r="AL77" s="1">
        <v>86.0</v>
      </c>
      <c r="AM77" s="1" t="s">
        <v>55</v>
      </c>
      <c r="AN77" s="1">
        <v>50.0</v>
      </c>
      <c r="AO77" s="1">
        <v>50.0</v>
      </c>
      <c r="AP77" s="1" t="s">
        <v>495</v>
      </c>
      <c r="AQ77" s="3" t="str">
        <f>HYPERLINK("https://icf.clappia.com/app/GMB253374/submission/VYE89045733/ICF247370-GMB253374-1bg1k1h0hb4ja0000000/SIG-20250702_12391803fo.jpeg", "SIG-20250702_12391803fo.jpeg")</f>
        <v>SIG-20250702_12391803fo.jpeg</v>
      </c>
      <c r="AR77" s="1" t="s">
        <v>496</v>
      </c>
      <c r="AS77" s="3" t="str">
        <f>HYPERLINK("https://icf.clappia.com/app/GMB253374/submission/VYE89045733/ICF247370-GMB253374-lnod1gl81oo80000000/SIG-20250703_151018dk3j.jpeg", "SIG-20250703_151018dk3j.jpeg")</f>
        <v>SIG-20250703_151018dk3j.jpeg</v>
      </c>
      <c r="AT77" s="1" t="s">
        <v>497</v>
      </c>
      <c r="AU77" s="3" t="str">
        <f>HYPERLINK("https://icf.clappia.com/app/GMB253374/submission/VYE89045733/ICF247370-GMB253374-5djl5581no6o00000000/SIG-20250703_151013fmo3.jpeg", "SIG-20250703_151013fmo3.jpeg")</f>
        <v>SIG-20250703_151013fmo3.jpeg</v>
      </c>
      <c r="AV77" s="3" t="str">
        <f>HYPERLINK("https://www.google.com/maps/place/7.7694763%2C-11.9485368", "7.7694763,-11.9485368")</f>
        <v>7.7694763,-11.9485368</v>
      </c>
    </row>
    <row r="78" ht="15.75" customHeight="1">
      <c r="A78" s="1" t="s">
        <v>498</v>
      </c>
      <c r="B78" s="1" t="s">
        <v>248</v>
      </c>
      <c r="C78" s="1" t="s">
        <v>499</v>
      </c>
      <c r="D78" s="1" t="s">
        <v>500</v>
      </c>
      <c r="E78" s="1" t="s">
        <v>501</v>
      </c>
      <c r="F78" s="1" t="s">
        <v>64</v>
      </c>
      <c r="G78" s="1">
        <v>59.0</v>
      </c>
      <c r="H78" s="1" t="s">
        <v>50</v>
      </c>
      <c r="I78" s="1" t="s">
        <v>55</v>
      </c>
      <c r="J78" s="1" t="s">
        <v>55</v>
      </c>
      <c r="K78" s="1" t="s">
        <v>55</v>
      </c>
      <c r="L78" s="1" t="s">
        <v>55</v>
      </c>
      <c r="M78" s="1" t="s">
        <v>55</v>
      </c>
      <c r="N78" s="1" t="s">
        <v>51</v>
      </c>
      <c r="O78" s="1" t="s">
        <v>55</v>
      </c>
      <c r="P78" s="1" t="s">
        <v>55</v>
      </c>
      <c r="Q78" s="1" t="s">
        <v>55</v>
      </c>
      <c r="R78" s="1" t="s">
        <v>55</v>
      </c>
      <c r="S78" s="1" t="s">
        <v>55</v>
      </c>
      <c r="T78" s="1" t="s">
        <v>52</v>
      </c>
      <c r="U78" s="1" t="s">
        <v>55</v>
      </c>
      <c r="V78" s="1" t="s">
        <v>55</v>
      </c>
      <c r="W78" s="1" t="s">
        <v>55</v>
      </c>
      <c r="X78" s="1" t="s">
        <v>55</v>
      </c>
      <c r="Y78" s="1" t="s">
        <v>55</v>
      </c>
      <c r="Z78" s="1" t="s">
        <v>53</v>
      </c>
      <c r="AA78" s="1">
        <v>32.0</v>
      </c>
      <c r="AB78" s="1">
        <v>17.0</v>
      </c>
      <c r="AC78" s="1">
        <v>15.0</v>
      </c>
      <c r="AD78" s="1">
        <v>12.0</v>
      </c>
      <c r="AE78" s="1">
        <v>12.0</v>
      </c>
      <c r="AF78" s="1" t="s">
        <v>54</v>
      </c>
      <c r="AG78" s="1">
        <v>34.0</v>
      </c>
      <c r="AH78" s="1">
        <v>15.0</v>
      </c>
      <c r="AI78" s="1">
        <v>13.0</v>
      </c>
      <c r="AJ78" s="1">
        <v>19.0</v>
      </c>
      <c r="AK78" s="1">
        <v>14.0</v>
      </c>
      <c r="AL78" s="1">
        <v>54.0</v>
      </c>
      <c r="AM78" s="1">
        <v>5.0</v>
      </c>
      <c r="AN78" s="1" t="s">
        <v>55</v>
      </c>
      <c r="AO78" s="1" t="s">
        <v>55</v>
      </c>
      <c r="AP78" s="1" t="s">
        <v>502</v>
      </c>
      <c r="AQ78" s="3" t="str">
        <f>HYPERLINK("https://icf.clappia.com/app/GMB253374/submission/XEW82585688/ICF247370-GMB253374-dl5p44aflcdm0000000/SIG-20250703_10358k70l.jpeg", "SIG-20250703_10358k70l.jpeg")</f>
        <v>SIG-20250703_10358k70l.jpeg</v>
      </c>
      <c r="AR78" s="1" t="s">
        <v>503</v>
      </c>
      <c r="AS78" s="3" t="str">
        <f>HYPERLINK("https://icf.clappia.com/app/GMB253374/submission/XEW82585688/ICF247370-GMB253374-217gjme6ae6240000000/SIG-20250703_1035k4ond.jpeg", "SIG-20250703_1035k4ond.jpeg")</f>
        <v>SIG-20250703_1035k4ond.jpeg</v>
      </c>
      <c r="AT78" s="1" t="s">
        <v>504</v>
      </c>
      <c r="AU78" s="3" t="str">
        <f>HYPERLINK("https://icf.clappia.com/app/GMB253374/submission/XEW82585688/ICF247370-GMB253374-4b69dl4ddh5m00000000/SIG-20250703_10367h0a6.jpeg", "SIG-20250703_10367h0a6.jpeg")</f>
        <v>SIG-20250703_10367h0a6.jpeg</v>
      </c>
      <c r="AV78" s="3" t="str">
        <f>HYPERLINK("https://www.google.com/maps/place/8.0536367%2C-11.3781617", "8.0536367,-11.3781617")</f>
        <v>8.0536367,-11.3781617</v>
      </c>
    </row>
    <row r="79" ht="15.75" customHeight="1">
      <c r="A79" s="1" t="s">
        <v>505</v>
      </c>
      <c r="B79" s="1" t="s">
        <v>142</v>
      </c>
      <c r="C79" s="1" t="s">
        <v>506</v>
      </c>
      <c r="D79" s="1" t="s">
        <v>506</v>
      </c>
      <c r="E79" s="1" t="s">
        <v>507</v>
      </c>
      <c r="F79" s="1" t="s">
        <v>64</v>
      </c>
      <c r="G79" s="1">
        <v>209.0</v>
      </c>
      <c r="H79" s="1" t="s">
        <v>50</v>
      </c>
      <c r="I79" s="1">
        <v>44.0</v>
      </c>
      <c r="J79" s="1">
        <v>18.0</v>
      </c>
      <c r="K79" s="1">
        <v>18.0</v>
      </c>
      <c r="L79" s="1">
        <v>26.0</v>
      </c>
      <c r="M79" s="1">
        <v>26.0</v>
      </c>
      <c r="N79" s="1" t="s">
        <v>51</v>
      </c>
      <c r="O79" s="1">
        <v>27.0</v>
      </c>
      <c r="P79" s="1">
        <v>15.0</v>
      </c>
      <c r="Q79" s="1">
        <v>15.0</v>
      </c>
      <c r="R79" s="1">
        <v>12.0</v>
      </c>
      <c r="S79" s="1">
        <v>12.0</v>
      </c>
      <c r="T79" s="1" t="s">
        <v>52</v>
      </c>
      <c r="U79" s="1">
        <v>33.0</v>
      </c>
      <c r="V79" s="1">
        <v>16.0</v>
      </c>
      <c r="W79" s="1">
        <v>16.0</v>
      </c>
      <c r="X79" s="1">
        <v>17.0</v>
      </c>
      <c r="Y79" s="1">
        <v>17.0</v>
      </c>
      <c r="Z79" s="1" t="s">
        <v>53</v>
      </c>
      <c r="AA79" s="1">
        <v>29.0</v>
      </c>
      <c r="AB79" s="1">
        <v>19.0</v>
      </c>
      <c r="AC79" s="1">
        <v>19.0</v>
      </c>
      <c r="AD79" s="1">
        <v>10.0</v>
      </c>
      <c r="AE79" s="1">
        <v>10.0</v>
      </c>
      <c r="AF79" s="1" t="s">
        <v>54</v>
      </c>
      <c r="AG79" s="1">
        <v>26.0</v>
      </c>
      <c r="AH79" s="1">
        <v>13.0</v>
      </c>
      <c r="AI79" s="1">
        <v>13.0</v>
      </c>
      <c r="AJ79" s="1">
        <v>13.0</v>
      </c>
      <c r="AK79" s="1">
        <v>13.0</v>
      </c>
      <c r="AL79" s="1">
        <v>159.0</v>
      </c>
      <c r="AM79" s="1" t="s">
        <v>55</v>
      </c>
      <c r="AN79" s="1">
        <v>50.0</v>
      </c>
      <c r="AO79" s="1">
        <v>50.0</v>
      </c>
      <c r="AP79" s="1" t="s">
        <v>495</v>
      </c>
      <c r="AQ79" s="3" t="str">
        <f>HYPERLINK("https://icf.clappia.com/app/GMB253374/submission/GVN15315369/ICF247370-GMB253374-54acjl16j9c800000000/SIG-20250703_1457nc52i.jpeg", "SIG-20250703_1457nc52i.jpeg")</f>
        <v>SIG-20250703_1457nc52i.jpeg</v>
      </c>
      <c r="AR79" s="1" t="s">
        <v>497</v>
      </c>
      <c r="AS79" s="3" t="str">
        <f>HYPERLINK("https://icf.clappia.com/app/GMB253374/submission/GVN15315369/ICF247370-GMB253374-5c9km7pb992000000000/SIG-20250703_14586dehg.jpeg", "SIG-20250703_14586dehg.jpeg")</f>
        <v>SIG-20250703_14586dehg.jpeg</v>
      </c>
      <c r="AT79" s="1" t="s">
        <v>508</v>
      </c>
      <c r="AU79" s="3" t="str">
        <f>HYPERLINK("https://icf.clappia.com/app/GMB253374/submission/GVN15315369/ICF247370-GMB253374-245p1b5c895oe0000000/SIG-20250703_1459139cd7.jpeg", "SIG-20250703_1459139cd7.jpeg")</f>
        <v>SIG-20250703_1459139cd7.jpeg</v>
      </c>
      <c r="AV79" s="3" t="str">
        <f>HYPERLINK("https://www.google.com/maps/place/7.7260589%2C-11.9164436", "7.7260589,-11.9164436")</f>
        <v>7.7260589,-11.9164436</v>
      </c>
    </row>
    <row r="80" ht="15.75" customHeight="1">
      <c r="A80" s="1" t="s">
        <v>509</v>
      </c>
      <c r="B80" s="1" t="s">
        <v>60</v>
      </c>
      <c r="C80" s="1" t="s">
        <v>510</v>
      </c>
      <c r="D80" s="1" t="s">
        <v>510</v>
      </c>
      <c r="E80" s="1" t="s">
        <v>511</v>
      </c>
      <c r="F80" s="1" t="s">
        <v>64</v>
      </c>
      <c r="G80" s="1">
        <v>97.0</v>
      </c>
      <c r="H80" s="1" t="s">
        <v>50</v>
      </c>
      <c r="I80" s="1">
        <v>33.0</v>
      </c>
      <c r="J80" s="1">
        <v>19.0</v>
      </c>
      <c r="K80" s="1">
        <v>19.0</v>
      </c>
      <c r="L80" s="1">
        <v>14.0</v>
      </c>
      <c r="M80" s="1">
        <v>14.0</v>
      </c>
      <c r="N80" s="1" t="s">
        <v>51</v>
      </c>
      <c r="O80" s="1">
        <v>21.0</v>
      </c>
      <c r="P80" s="1">
        <v>10.0</v>
      </c>
      <c r="Q80" s="1">
        <v>10.0</v>
      </c>
      <c r="R80" s="1">
        <v>11.0</v>
      </c>
      <c r="S80" s="1">
        <v>11.0</v>
      </c>
      <c r="T80" s="1" t="s">
        <v>52</v>
      </c>
      <c r="U80" s="1">
        <v>19.0</v>
      </c>
      <c r="V80" s="1">
        <v>9.0</v>
      </c>
      <c r="W80" s="1">
        <v>9.0</v>
      </c>
      <c r="X80" s="1">
        <v>10.0</v>
      </c>
      <c r="Y80" s="1">
        <v>10.0</v>
      </c>
      <c r="Z80" s="1" t="s">
        <v>53</v>
      </c>
      <c r="AA80" s="1">
        <v>13.0</v>
      </c>
      <c r="AB80" s="1">
        <v>8.0</v>
      </c>
      <c r="AC80" s="1">
        <v>8.0</v>
      </c>
      <c r="AD80" s="1">
        <v>5.0</v>
      </c>
      <c r="AE80" s="1">
        <v>5.0</v>
      </c>
      <c r="AF80" s="1" t="s">
        <v>54</v>
      </c>
      <c r="AG80" s="1">
        <v>11.0</v>
      </c>
      <c r="AH80" s="1">
        <v>5.0</v>
      </c>
      <c r="AI80" s="1">
        <v>5.0</v>
      </c>
      <c r="AJ80" s="1">
        <v>6.0</v>
      </c>
      <c r="AK80" s="1">
        <v>6.0</v>
      </c>
      <c r="AL80" s="1">
        <v>97.0</v>
      </c>
      <c r="AM80" s="1" t="s">
        <v>55</v>
      </c>
      <c r="AN80" s="1" t="s">
        <v>55</v>
      </c>
      <c r="AO80" s="1" t="s">
        <v>55</v>
      </c>
      <c r="AP80" s="1" t="s">
        <v>512</v>
      </c>
      <c r="AQ80" s="3" t="str">
        <f>HYPERLINK("https://icf.clappia.com/app/GMB253374/submission/BWA98982209/ICF247370-GMB253374-289bc5d35k49m0000000/SIG-20250703_145511fcbo.jpeg", "SIG-20250703_145511fcbo.jpeg")</f>
        <v>SIG-20250703_145511fcbo.jpeg</v>
      </c>
      <c r="AR80" s="1" t="s">
        <v>513</v>
      </c>
      <c r="AS80" s="3" t="str">
        <f>HYPERLINK("https://icf.clappia.com/app/GMB253374/submission/BWA98982209/ICF247370-GMB253374-156mkgak87jkk0000000/SIG-20250703_1458p2k3h.jpeg", "SIG-20250703_1458p2k3h.jpeg")</f>
        <v>SIG-20250703_1458p2k3h.jpeg</v>
      </c>
      <c r="AT80" s="1" t="s">
        <v>514</v>
      </c>
      <c r="AU80" s="3" t="str">
        <f>HYPERLINK("https://icf.clappia.com/app/GMB253374/submission/BWA98982209/ICF247370-GMB253374-1lgk199a8ib520000000/SIG-20250703_14571knfj.jpeg", "SIG-20250703_14571knfj.jpeg")</f>
        <v>SIG-20250703_14571knfj.jpeg</v>
      </c>
      <c r="AV80" s="3" t="str">
        <f>HYPERLINK("https://www.google.com/maps/place/7.8801014%2C-12.0802191", "7.8801014,-12.0802191")</f>
        <v>7.8801014,-12.0802191</v>
      </c>
    </row>
    <row r="81" ht="15.75" customHeight="1">
      <c r="A81" s="1" t="s">
        <v>515</v>
      </c>
      <c r="B81" s="1" t="s">
        <v>356</v>
      </c>
      <c r="C81" s="1" t="s">
        <v>516</v>
      </c>
      <c r="D81" s="1" t="s">
        <v>517</v>
      </c>
      <c r="E81" s="1" t="s">
        <v>518</v>
      </c>
      <c r="F81" s="1" t="s">
        <v>64</v>
      </c>
      <c r="G81" s="1">
        <v>178.0</v>
      </c>
      <c r="H81" s="1" t="s">
        <v>50</v>
      </c>
      <c r="I81" s="1">
        <v>66.0</v>
      </c>
      <c r="J81" s="1">
        <v>30.0</v>
      </c>
      <c r="K81" s="1">
        <v>30.0</v>
      </c>
      <c r="L81" s="1">
        <v>36.0</v>
      </c>
      <c r="M81" s="1">
        <v>36.0</v>
      </c>
      <c r="N81" s="1" t="s">
        <v>51</v>
      </c>
      <c r="O81" s="1">
        <v>60.0</v>
      </c>
      <c r="P81" s="1">
        <v>20.0</v>
      </c>
      <c r="Q81" s="1">
        <v>20.0</v>
      </c>
      <c r="R81" s="1">
        <v>40.0</v>
      </c>
      <c r="S81" s="1">
        <v>40.0</v>
      </c>
      <c r="T81" s="1" t="s">
        <v>52</v>
      </c>
      <c r="U81" s="1">
        <v>13.0</v>
      </c>
      <c r="V81" s="1">
        <v>4.0</v>
      </c>
      <c r="W81" s="1">
        <v>4.0</v>
      </c>
      <c r="X81" s="1">
        <v>9.0</v>
      </c>
      <c r="Y81" s="1">
        <v>9.0</v>
      </c>
      <c r="Z81" s="1" t="s">
        <v>53</v>
      </c>
      <c r="AA81" s="1">
        <v>6.0</v>
      </c>
      <c r="AB81" s="1">
        <v>4.0</v>
      </c>
      <c r="AC81" s="1">
        <v>4.0</v>
      </c>
      <c r="AD81" s="1">
        <v>2.0</v>
      </c>
      <c r="AE81" s="1">
        <v>2.0</v>
      </c>
      <c r="AF81" s="1" t="s">
        <v>54</v>
      </c>
      <c r="AG81" s="1">
        <v>32.0</v>
      </c>
      <c r="AH81" s="1">
        <v>16.0</v>
      </c>
      <c r="AI81" s="1">
        <v>16.0</v>
      </c>
      <c r="AJ81" s="1">
        <v>16.0</v>
      </c>
      <c r="AK81" s="1">
        <v>16.0</v>
      </c>
      <c r="AL81" s="1">
        <v>177.0</v>
      </c>
      <c r="AM81" s="1" t="s">
        <v>55</v>
      </c>
      <c r="AN81" s="1">
        <v>1.0</v>
      </c>
      <c r="AO81" s="1">
        <v>1.0</v>
      </c>
      <c r="AP81" s="1" t="s">
        <v>258</v>
      </c>
      <c r="AQ81" s="3" t="str">
        <f>HYPERLINK("https://icf.clappia.com/app/GMB253374/submission/HFL90598875/ICF247370-GMB253374-4ocnjbg2lk4k00000000/SIG-20250703_1457lfg91.jpeg", "SIG-20250703_1457lfg91.jpeg")</f>
        <v>SIG-20250703_1457lfg91.jpeg</v>
      </c>
      <c r="AR81" s="1" t="s">
        <v>519</v>
      </c>
      <c r="AS81" s="3" t="str">
        <f>HYPERLINK("https://icf.clappia.com/app/GMB253374/submission/HFL90598875/ICF247370-GMB253374-5o3061ijnbi800000000/SIG-20250703_145748bgf.jpeg", "SIG-20250703_145748bgf.jpeg")</f>
        <v>SIG-20250703_145748bgf.jpeg</v>
      </c>
      <c r="AT81" s="1" t="s">
        <v>520</v>
      </c>
      <c r="AU81" s="3" t="str">
        <f>HYPERLINK("https://icf.clappia.com/app/GMB253374/submission/HFL90598875/ICF247370-GMB253374-5jhee1eco40i00000000/SIG-20250703_14591549g6.jpeg", "SIG-20250703_14591549g6.jpeg")</f>
        <v>SIG-20250703_14591549g6.jpeg</v>
      </c>
      <c r="AV81" s="3" t="str">
        <f>HYPERLINK("https://www.google.com/maps/place/8.2563396%2C-11.6736674", "8.2563396,-11.6736674")</f>
        <v>8.2563396,-11.6736674</v>
      </c>
    </row>
    <row r="82" ht="15.75" customHeight="1">
      <c r="A82" s="1" t="s">
        <v>521</v>
      </c>
      <c r="B82" s="1" t="s">
        <v>69</v>
      </c>
      <c r="C82" s="1" t="s">
        <v>516</v>
      </c>
      <c r="D82" s="1" t="s">
        <v>516</v>
      </c>
      <c r="E82" s="1" t="s">
        <v>522</v>
      </c>
      <c r="F82" s="1" t="s">
        <v>64</v>
      </c>
      <c r="G82" s="1">
        <v>100.0</v>
      </c>
      <c r="H82" s="1" t="s">
        <v>50</v>
      </c>
      <c r="I82" s="1" t="s">
        <v>55</v>
      </c>
      <c r="J82" s="1" t="s">
        <v>55</v>
      </c>
      <c r="K82" s="1" t="s">
        <v>523</v>
      </c>
      <c r="L82" s="1" t="s">
        <v>55</v>
      </c>
      <c r="M82" s="1" t="s">
        <v>55</v>
      </c>
      <c r="N82" s="1" t="s">
        <v>51</v>
      </c>
      <c r="O82" s="1" t="s">
        <v>55</v>
      </c>
      <c r="P82" s="1" t="s">
        <v>55</v>
      </c>
      <c r="Q82" s="1" t="s">
        <v>55</v>
      </c>
      <c r="R82" s="1" t="s">
        <v>55</v>
      </c>
      <c r="S82" s="1" t="s">
        <v>55</v>
      </c>
      <c r="T82" s="1" t="s">
        <v>52</v>
      </c>
      <c r="U82" s="1">
        <v>39.0</v>
      </c>
      <c r="V82" s="1">
        <v>14.0</v>
      </c>
      <c r="W82" s="1">
        <v>14.0</v>
      </c>
      <c r="X82" s="1">
        <v>25.0</v>
      </c>
      <c r="Y82" s="1">
        <v>25.0</v>
      </c>
      <c r="Z82" s="1" t="s">
        <v>53</v>
      </c>
      <c r="AA82" s="1">
        <v>37.0</v>
      </c>
      <c r="AB82" s="1">
        <v>23.0</v>
      </c>
      <c r="AC82" s="1">
        <v>21.0</v>
      </c>
      <c r="AD82" s="1">
        <v>14.0</v>
      </c>
      <c r="AE82" s="1">
        <v>13.0</v>
      </c>
      <c r="AF82" s="1" t="s">
        <v>54</v>
      </c>
      <c r="AG82" s="1">
        <v>21.0</v>
      </c>
      <c r="AH82" s="1">
        <v>13.0</v>
      </c>
      <c r="AI82" s="1">
        <v>12.0</v>
      </c>
      <c r="AJ82" s="1">
        <v>8.0</v>
      </c>
      <c r="AK82" s="1">
        <v>8.0</v>
      </c>
      <c r="AL82" s="1">
        <v>93.0</v>
      </c>
      <c r="AM82" s="1">
        <v>7.0</v>
      </c>
      <c r="AN82" s="1" t="s">
        <v>55</v>
      </c>
      <c r="AO82" s="1" t="s">
        <v>55</v>
      </c>
      <c r="AP82" s="1" t="s">
        <v>524</v>
      </c>
      <c r="AQ82" s="3" t="str">
        <f>HYPERLINK("https://icf.clappia.com/app/GMB253374/submission/ZIX92046834/ICF247370-GMB253374-52bp1id2l3k000000000/SIG-20250703_145819c9o5.jpeg", "SIG-20250703_145819c9o5.jpeg")</f>
        <v>SIG-20250703_145819c9o5.jpeg</v>
      </c>
      <c r="AR82" s="1" t="s">
        <v>525</v>
      </c>
      <c r="AS82" s="3" t="str">
        <f>HYPERLINK("https://icf.clappia.com/app/GMB253374/submission/ZIX92046834/ICF247370-GMB253374-1gb9j4030o5gi0000000/SIG-20250703_145814786k.jpeg", "SIG-20250703_145814786k.jpeg")</f>
        <v>SIG-20250703_145814786k.jpeg</v>
      </c>
      <c r="AT82" s="1" t="s">
        <v>526</v>
      </c>
      <c r="AU82" s="3" t="str">
        <f>HYPERLINK("https://icf.clappia.com/app/GMB253374/submission/ZIX92046834/ICF247370-GMB253374-25fp10oe30gac0000000/SIG-20250703_1458oo84k.jpeg", "SIG-20250703_1458oo84k.jpeg")</f>
        <v>SIG-20250703_1458oo84k.jpeg</v>
      </c>
      <c r="AV82" s="3" t="str">
        <f>HYPERLINK("https://www.google.com/maps/place/8.8137229%2C-12.1141094", "8.8137229,-12.1141094")</f>
        <v>8.8137229,-12.1141094</v>
      </c>
    </row>
    <row r="83" ht="15.75" customHeight="1">
      <c r="A83" s="1" t="s">
        <v>527</v>
      </c>
      <c r="B83" s="1" t="s">
        <v>528</v>
      </c>
      <c r="C83" s="1" t="s">
        <v>529</v>
      </c>
      <c r="D83" s="1" t="s">
        <v>530</v>
      </c>
      <c r="E83" s="1" t="s">
        <v>531</v>
      </c>
      <c r="F83" s="1" t="s">
        <v>64</v>
      </c>
      <c r="G83" s="1">
        <v>250.0</v>
      </c>
      <c r="H83" s="1" t="s">
        <v>50</v>
      </c>
      <c r="I83" s="1">
        <v>105.0</v>
      </c>
      <c r="J83" s="1">
        <v>51.0</v>
      </c>
      <c r="K83" s="1">
        <v>41.0</v>
      </c>
      <c r="L83" s="1">
        <v>54.0</v>
      </c>
      <c r="M83" s="1">
        <v>47.0</v>
      </c>
      <c r="N83" s="1" t="s">
        <v>51</v>
      </c>
      <c r="O83" s="1">
        <v>25.0</v>
      </c>
      <c r="P83" s="1">
        <v>13.0</v>
      </c>
      <c r="Q83" s="1">
        <v>12.0</v>
      </c>
      <c r="R83" s="1">
        <v>12.0</v>
      </c>
      <c r="S83" s="1">
        <v>11.0</v>
      </c>
      <c r="T83" s="1" t="s">
        <v>52</v>
      </c>
      <c r="U83" s="1">
        <v>35.0</v>
      </c>
      <c r="V83" s="1">
        <v>14.0</v>
      </c>
      <c r="W83" s="1">
        <v>13.0</v>
      </c>
      <c r="X83" s="1">
        <v>21.0</v>
      </c>
      <c r="Y83" s="1">
        <v>20.0</v>
      </c>
      <c r="Z83" s="1" t="s">
        <v>53</v>
      </c>
      <c r="AA83" s="1">
        <v>22.0</v>
      </c>
      <c r="AB83" s="1">
        <v>10.0</v>
      </c>
      <c r="AC83" s="1">
        <v>10.0</v>
      </c>
      <c r="AD83" s="1">
        <v>12.0</v>
      </c>
      <c r="AE83" s="1">
        <v>12.0</v>
      </c>
      <c r="AF83" s="1" t="s">
        <v>54</v>
      </c>
      <c r="AG83" s="1">
        <v>26.0</v>
      </c>
      <c r="AH83" s="1">
        <v>16.0</v>
      </c>
      <c r="AI83" s="1">
        <v>16.0</v>
      </c>
      <c r="AJ83" s="1">
        <v>10.0</v>
      </c>
      <c r="AK83" s="1">
        <v>10.0</v>
      </c>
      <c r="AL83" s="1">
        <v>192.0</v>
      </c>
      <c r="AM83" s="1" t="s">
        <v>55</v>
      </c>
      <c r="AN83" s="1">
        <v>58.0</v>
      </c>
      <c r="AO83" s="1">
        <v>58.0</v>
      </c>
      <c r="AP83" s="1" t="s">
        <v>532</v>
      </c>
      <c r="AQ83" s="3" t="str">
        <f>HYPERLINK("https://icf.clappia.com/app/GMB253374/submission/SOZ77231744/ICF247370-GMB253374-24go61mljf6ii0000000/SIG-20250703_1433d9fml.jpeg", "SIG-20250703_1433d9fml.jpeg")</f>
        <v>SIG-20250703_1433d9fml.jpeg</v>
      </c>
      <c r="AR83" s="1" t="s">
        <v>533</v>
      </c>
      <c r="AS83" s="3" t="str">
        <f>HYPERLINK("https://icf.clappia.com/app/GMB253374/submission/SOZ77231744/ICF247370-GMB253374-65e587cpi7d200000000/SIG-20250703_1434197p25.jpeg", "SIG-20250703_1434197p25.jpeg")</f>
        <v>SIG-20250703_1434197p25.jpeg</v>
      </c>
      <c r="AT83" s="1" t="s">
        <v>534</v>
      </c>
      <c r="AU83" s="3" t="str">
        <f>HYPERLINK("https://icf.clappia.com/app/GMB253374/submission/SOZ77231744/ICF247370-GMB253374-3i35pol7apfm00000000/SIG-20250703_1435ccl5f.jpeg", "SIG-20250703_1435ccl5f.jpeg")</f>
        <v>SIG-20250703_1435ccl5f.jpeg</v>
      </c>
      <c r="AV83" s="3" t="str">
        <f>HYPERLINK("https://www.google.com/maps/place/7.7490733%2C-11.6133667", "7.7490733,-11.6133667")</f>
        <v>7.7490733,-11.6133667</v>
      </c>
    </row>
    <row r="84" ht="15.75" customHeight="1">
      <c r="A84" s="1" t="s">
        <v>535</v>
      </c>
      <c r="B84" s="1" t="s">
        <v>536</v>
      </c>
      <c r="C84" s="1" t="s">
        <v>537</v>
      </c>
      <c r="D84" s="1" t="s">
        <v>537</v>
      </c>
      <c r="E84" s="1" t="s">
        <v>538</v>
      </c>
      <c r="F84" s="1" t="s">
        <v>64</v>
      </c>
      <c r="G84" s="1">
        <v>150.0</v>
      </c>
      <c r="H84" s="1" t="s">
        <v>50</v>
      </c>
      <c r="I84" s="1">
        <v>28.0</v>
      </c>
      <c r="J84" s="1">
        <v>15.0</v>
      </c>
      <c r="K84" s="1">
        <v>15.0</v>
      </c>
      <c r="L84" s="1">
        <v>13.0</v>
      </c>
      <c r="M84" s="1">
        <v>13.0</v>
      </c>
      <c r="N84" s="1" t="s">
        <v>51</v>
      </c>
      <c r="O84" s="1">
        <v>27.0</v>
      </c>
      <c r="P84" s="1">
        <v>12.0</v>
      </c>
      <c r="Q84" s="1">
        <v>12.0</v>
      </c>
      <c r="R84" s="1">
        <v>15.0</v>
      </c>
      <c r="S84" s="1">
        <v>15.0</v>
      </c>
      <c r="T84" s="1" t="s">
        <v>52</v>
      </c>
      <c r="U84" s="1">
        <v>18.0</v>
      </c>
      <c r="V84" s="1">
        <v>10.0</v>
      </c>
      <c r="W84" s="1">
        <v>10.0</v>
      </c>
      <c r="X84" s="1">
        <v>8.0</v>
      </c>
      <c r="Y84" s="1">
        <v>8.0</v>
      </c>
      <c r="Z84" s="1" t="s">
        <v>53</v>
      </c>
      <c r="AA84" s="1">
        <v>38.0</v>
      </c>
      <c r="AB84" s="1">
        <v>15.0</v>
      </c>
      <c r="AC84" s="1">
        <v>15.0</v>
      </c>
      <c r="AD84" s="1">
        <v>13.0</v>
      </c>
      <c r="AE84" s="1">
        <v>13.0</v>
      </c>
      <c r="AF84" s="1" t="s">
        <v>54</v>
      </c>
      <c r="AG84" s="1">
        <v>38.0</v>
      </c>
      <c r="AH84" s="1">
        <v>15.0</v>
      </c>
      <c r="AI84" s="1">
        <v>15.0</v>
      </c>
      <c r="AJ84" s="1">
        <v>13.0</v>
      </c>
      <c r="AK84" s="1">
        <v>13.0</v>
      </c>
      <c r="AL84" s="1">
        <v>129.0</v>
      </c>
      <c r="AM84" s="1" t="s">
        <v>55</v>
      </c>
      <c r="AN84" s="1">
        <v>21.0</v>
      </c>
      <c r="AO84" s="1">
        <v>21.0</v>
      </c>
      <c r="AP84" s="1" t="s">
        <v>539</v>
      </c>
      <c r="AQ84" s="3" t="str">
        <f>HYPERLINK("https://icf.clappia.com/app/GMB253374/submission/JJX92980672/ICF247370-GMB253374-1eg4j4ddl3ojg000000/SIG-20250703_1405659d4.jpeg", "SIG-20250703_1405659d4.jpeg")</f>
        <v>SIG-20250703_1405659d4.jpeg</v>
      </c>
      <c r="AR84" s="1" t="s">
        <v>540</v>
      </c>
      <c r="AS84" s="3" t="str">
        <f>HYPERLINK("https://icf.clappia.com/app/GMB253374/submission/JJX92980672/ICF247370-GMB253374-1ph4pma0i9i6k0000000/SIG-20250703_140561h7p.jpeg", "SIG-20250703_140561h7p.jpeg")</f>
        <v>SIG-20250703_140561h7p.jpeg</v>
      </c>
      <c r="AT84" s="1" t="s">
        <v>541</v>
      </c>
      <c r="AU84" s="3" t="str">
        <f>HYPERLINK("https://icf.clappia.com/app/GMB253374/submission/JJX92980672/ICF247370-GMB253374-5h74e28j6ifi00000000/SIG-20250703_1405e07k4.jpeg", "SIG-20250703_1405e07k4.jpeg")</f>
        <v>SIG-20250703_1405e07k4.jpeg</v>
      </c>
      <c r="AV84" s="3" t="str">
        <f>HYPERLINK("https://www.google.com/maps/place/9.2628367%2C-12.137355", "9.2628367,-12.137355")</f>
        <v>9.2628367,-12.137355</v>
      </c>
    </row>
    <row r="85" ht="15.75" customHeight="1">
      <c r="A85" s="1" t="s">
        <v>542</v>
      </c>
      <c r="B85" s="1" t="s">
        <v>536</v>
      </c>
      <c r="C85" s="1" t="s">
        <v>543</v>
      </c>
      <c r="D85" s="1" t="s">
        <v>544</v>
      </c>
      <c r="E85" s="1" t="s">
        <v>545</v>
      </c>
      <c r="F85" s="1" t="s">
        <v>64</v>
      </c>
      <c r="G85" s="1">
        <v>200.0</v>
      </c>
      <c r="H85" s="1" t="s">
        <v>50</v>
      </c>
      <c r="I85" s="1">
        <v>50.0</v>
      </c>
      <c r="J85" s="1">
        <v>20.0</v>
      </c>
      <c r="K85" s="1">
        <v>20.0</v>
      </c>
      <c r="L85" s="1">
        <v>30.0</v>
      </c>
      <c r="M85" s="1">
        <v>30.0</v>
      </c>
      <c r="N85" s="1" t="s">
        <v>51</v>
      </c>
      <c r="O85" s="1">
        <v>34.0</v>
      </c>
      <c r="P85" s="1">
        <v>15.0</v>
      </c>
      <c r="Q85" s="1">
        <v>15.0</v>
      </c>
      <c r="R85" s="1">
        <v>19.0</v>
      </c>
      <c r="S85" s="1">
        <v>19.0</v>
      </c>
      <c r="T85" s="1" t="s">
        <v>52</v>
      </c>
      <c r="U85" s="1">
        <v>55.0</v>
      </c>
      <c r="V85" s="1">
        <v>25.0</v>
      </c>
      <c r="W85" s="1">
        <v>25.0</v>
      </c>
      <c r="X85" s="1">
        <v>30.0</v>
      </c>
      <c r="Y85" s="1">
        <v>30.0</v>
      </c>
      <c r="Z85" s="1" t="s">
        <v>53</v>
      </c>
      <c r="AA85" s="1">
        <v>36.0</v>
      </c>
      <c r="AB85" s="1">
        <v>16.0</v>
      </c>
      <c r="AC85" s="1">
        <v>16.0</v>
      </c>
      <c r="AD85" s="1">
        <v>20.0</v>
      </c>
      <c r="AE85" s="1">
        <v>20.0</v>
      </c>
      <c r="AF85" s="1" t="s">
        <v>54</v>
      </c>
      <c r="AG85" s="1">
        <v>17.0</v>
      </c>
      <c r="AH85" s="1">
        <v>9.0</v>
      </c>
      <c r="AI85" s="1">
        <v>9.0</v>
      </c>
      <c r="AJ85" s="1">
        <v>8.0</v>
      </c>
      <c r="AK85" s="1">
        <v>8.0</v>
      </c>
      <c r="AL85" s="1">
        <v>192.0</v>
      </c>
      <c r="AM85" s="1" t="s">
        <v>55</v>
      </c>
      <c r="AN85" s="1">
        <v>8.0</v>
      </c>
      <c r="AO85" s="1">
        <v>8.0</v>
      </c>
      <c r="AP85" s="1" t="s">
        <v>546</v>
      </c>
      <c r="AQ85" s="3" t="str">
        <f>HYPERLINK("https://icf.clappia.com/app/GMB253374/submission/SYN57316552/ICF247370-GMB253374-6970c254j6ak00000000/SIG-20250703_1233246fo.jpeg", "SIG-20250703_1233246fo.jpeg")</f>
        <v>SIG-20250703_1233246fo.jpeg</v>
      </c>
      <c r="AR85" s="1" t="s">
        <v>547</v>
      </c>
      <c r="AS85" s="3" t="str">
        <f>HYPERLINK("https://icf.clappia.com/app/GMB253374/submission/SYN57316552/ICF247370-GMB253374-4aog8a4828o000000000/SIG-20250703_14171595cj.jpeg", "SIG-20250703_14171595cj.jpeg")</f>
        <v>SIG-20250703_14171595cj.jpeg</v>
      </c>
      <c r="AT85" s="1" t="s">
        <v>548</v>
      </c>
      <c r="AU85" s="3" t="str">
        <f>HYPERLINK("https://icf.clappia.com/app/GMB253374/submission/SYN57316552/ICF247370-GMB253374-2f25ck4m0bl600000000/SIG-20250703_14141e598.jpeg", "SIG-20250703_14141e598.jpeg")</f>
        <v>SIG-20250703_14141e598.jpeg</v>
      </c>
      <c r="AV85" s="3" t="str">
        <f>HYPERLINK("https://www.google.com/maps/place/9.2238567%2C-12.0932267", "9.2238567,-12.0932267")</f>
        <v>9.2238567,-12.0932267</v>
      </c>
    </row>
    <row r="86" ht="15.75" customHeight="1">
      <c r="A86" s="1" t="s">
        <v>549</v>
      </c>
      <c r="B86" s="1" t="s">
        <v>69</v>
      </c>
      <c r="C86" s="1" t="s">
        <v>529</v>
      </c>
      <c r="D86" s="1" t="s">
        <v>550</v>
      </c>
      <c r="E86" s="1" t="s">
        <v>551</v>
      </c>
      <c r="F86" s="1" t="s">
        <v>64</v>
      </c>
      <c r="G86" s="1">
        <v>200.0</v>
      </c>
      <c r="H86" s="1" t="s">
        <v>50</v>
      </c>
      <c r="I86" s="1">
        <v>76.0</v>
      </c>
      <c r="J86" s="1">
        <v>36.0</v>
      </c>
      <c r="K86" s="1">
        <v>30.0</v>
      </c>
      <c r="L86" s="1">
        <v>40.0</v>
      </c>
      <c r="M86" s="1">
        <v>35.0</v>
      </c>
      <c r="N86" s="1" t="s">
        <v>51</v>
      </c>
      <c r="O86" s="1">
        <v>59.0</v>
      </c>
      <c r="P86" s="1">
        <v>35.0</v>
      </c>
      <c r="Q86" s="1">
        <v>31.0</v>
      </c>
      <c r="R86" s="1">
        <v>24.0</v>
      </c>
      <c r="S86" s="1">
        <v>22.0</v>
      </c>
      <c r="T86" s="1" t="s">
        <v>52</v>
      </c>
      <c r="U86" s="1">
        <v>54.0</v>
      </c>
      <c r="V86" s="1">
        <v>30.0</v>
      </c>
      <c r="W86" s="1">
        <v>17.0</v>
      </c>
      <c r="X86" s="1">
        <v>24.0</v>
      </c>
      <c r="Y86" s="1">
        <v>18.0</v>
      </c>
      <c r="Z86" s="1" t="s">
        <v>53</v>
      </c>
      <c r="AA86" s="1">
        <v>50.0</v>
      </c>
      <c r="AB86" s="1">
        <v>24.0</v>
      </c>
      <c r="AC86" s="1">
        <v>15.0</v>
      </c>
      <c r="AD86" s="1">
        <v>26.0</v>
      </c>
      <c r="AE86" s="1">
        <v>18.0</v>
      </c>
      <c r="AF86" s="1" t="s">
        <v>54</v>
      </c>
      <c r="AG86" s="1">
        <v>22.0</v>
      </c>
      <c r="AH86" s="1">
        <v>12.0</v>
      </c>
      <c r="AI86" s="1">
        <v>7.0</v>
      </c>
      <c r="AJ86" s="1">
        <v>10.0</v>
      </c>
      <c r="AK86" s="1">
        <v>7.0</v>
      </c>
      <c r="AL86" s="1">
        <v>200.0</v>
      </c>
      <c r="AM86" s="1" t="s">
        <v>55</v>
      </c>
      <c r="AN86" s="1" t="s">
        <v>55</v>
      </c>
      <c r="AO86" s="1" t="s">
        <v>55</v>
      </c>
      <c r="AP86" s="1" t="s">
        <v>552</v>
      </c>
      <c r="AQ86" s="3" t="str">
        <f>HYPERLINK("https://icf.clappia.com/app/GMB253374/submission/HDZ45822700/ICF247370-GMB253374-39d73e4in44400000000/SIG-20250703_1436190426.jpeg", "SIG-20250703_1436190426.jpeg")</f>
        <v>SIG-20250703_1436190426.jpeg</v>
      </c>
      <c r="AR86" s="1" t="s">
        <v>553</v>
      </c>
      <c r="AS86" s="3" t="str">
        <f>HYPERLINK("https://icf.clappia.com/app/GMB253374/submission/HDZ45822700/ICF247370-GMB253374-65b3jn85j6c600000000/SIG-20250703_1437mnk7d.jpeg", "SIG-20250703_1437mnk7d.jpeg")</f>
        <v>SIG-20250703_1437mnk7d.jpeg</v>
      </c>
      <c r="AT86" s="1" t="s">
        <v>554</v>
      </c>
      <c r="AU86" s="3" t="str">
        <f>HYPERLINK("https://icf.clappia.com/app/GMB253374/submission/HDZ45822700/ICF247370-GMB253374-1i1jp48gkglk40000000/SIG-20250703_14373d2mo.jpeg", "SIG-20250703_14373d2mo.jpeg")</f>
        <v>SIG-20250703_14373d2mo.jpeg</v>
      </c>
      <c r="AV86" s="3" t="str">
        <f>HYPERLINK("https://www.google.com/maps/place/8.8251633%2C-12.1011765", "8.8251633,-12.1011765")</f>
        <v>8.8251633,-12.1011765</v>
      </c>
    </row>
    <row r="87" ht="15.75" customHeight="1">
      <c r="A87" s="1" t="s">
        <v>555</v>
      </c>
      <c r="B87" s="1" t="s">
        <v>356</v>
      </c>
      <c r="C87" s="1" t="s">
        <v>556</v>
      </c>
      <c r="D87" s="1" t="s">
        <v>557</v>
      </c>
      <c r="E87" s="1" t="s">
        <v>558</v>
      </c>
      <c r="F87" s="1" t="s">
        <v>64</v>
      </c>
      <c r="G87" s="1">
        <v>300.0</v>
      </c>
      <c r="H87" s="1" t="s">
        <v>50</v>
      </c>
      <c r="I87" s="1">
        <v>85.0</v>
      </c>
      <c r="J87" s="1">
        <v>40.0</v>
      </c>
      <c r="K87" s="1">
        <v>40.0</v>
      </c>
      <c r="L87" s="1">
        <v>45.0</v>
      </c>
      <c r="M87" s="1">
        <v>45.0</v>
      </c>
      <c r="N87" s="1" t="s">
        <v>51</v>
      </c>
      <c r="O87" s="1">
        <v>58.0</v>
      </c>
      <c r="P87" s="1">
        <v>28.0</v>
      </c>
      <c r="Q87" s="1">
        <v>28.0</v>
      </c>
      <c r="R87" s="1">
        <v>30.0</v>
      </c>
      <c r="S87" s="1">
        <v>30.0</v>
      </c>
      <c r="T87" s="1" t="s">
        <v>52</v>
      </c>
      <c r="U87" s="1">
        <v>44.0</v>
      </c>
      <c r="V87" s="1">
        <v>25.0</v>
      </c>
      <c r="W87" s="1">
        <v>25.0</v>
      </c>
      <c r="X87" s="1">
        <v>19.0</v>
      </c>
      <c r="Y87" s="1">
        <v>19.0</v>
      </c>
      <c r="Z87" s="1" t="s">
        <v>53</v>
      </c>
      <c r="AA87" s="1">
        <v>42.0</v>
      </c>
      <c r="AB87" s="1">
        <v>22.0</v>
      </c>
      <c r="AC87" s="1">
        <v>22.0</v>
      </c>
      <c r="AD87" s="1">
        <v>20.0</v>
      </c>
      <c r="AE87" s="1">
        <v>20.0</v>
      </c>
      <c r="AF87" s="1" t="s">
        <v>54</v>
      </c>
      <c r="AG87" s="1">
        <v>38.0</v>
      </c>
      <c r="AH87" s="1">
        <v>20.0</v>
      </c>
      <c r="AI87" s="1">
        <v>20.0</v>
      </c>
      <c r="AJ87" s="1">
        <v>18.0</v>
      </c>
      <c r="AK87" s="1">
        <v>18.0</v>
      </c>
      <c r="AL87" s="1">
        <v>267.0</v>
      </c>
      <c r="AM87" s="1" t="s">
        <v>55</v>
      </c>
      <c r="AN87" s="1">
        <v>33.0</v>
      </c>
      <c r="AO87" s="1">
        <v>33.0</v>
      </c>
      <c r="AP87" s="1" t="s">
        <v>559</v>
      </c>
      <c r="AQ87" s="3" t="str">
        <f>HYPERLINK("https://icf.clappia.com/app/GMB253374/submission/LDY51908429/ICF247370-GMB253374-33peihpp48f200000000/SIG-20250703_12533e1i6.jpeg", "SIG-20250703_12533e1i6.jpeg")</f>
        <v>SIG-20250703_12533e1i6.jpeg</v>
      </c>
      <c r="AR87" s="1" t="s">
        <v>560</v>
      </c>
      <c r="AS87" s="3" t="str">
        <f>HYPERLINK("https://icf.clappia.com/app/GMB253374/submission/LDY51908429/ICF247370-GMB253374-mn3kefhbolnm0000000/SIG-20250703_12451dbi7.jpeg", "SIG-20250703_12451dbi7.jpeg")</f>
        <v>SIG-20250703_12451dbi7.jpeg</v>
      </c>
      <c r="AT87" s="1" t="s">
        <v>561</v>
      </c>
      <c r="AU87" s="3" t="str">
        <f>HYPERLINK("https://icf.clappia.com/app/GMB253374/submission/LDY51908429/ICF247370-GMB253374-3kdikd8dioje00000000/SIG-20250703_1246172n9h.jpeg", "SIG-20250703_1246172n9h.jpeg")</f>
        <v>SIG-20250703_1246172n9h.jpeg</v>
      </c>
      <c r="AV87" s="3" t="str">
        <f>HYPERLINK("https://www.google.com/maps/place/8.332297%2C-11.552132", "8.332297,-11.552132")</f>
        <v>8.332297,-11.552132</v>
      </c>
    </row>
    <row r="88" ht="15.75" customHeight="1">
      <c r="A88" s="1" t="s">
        <v>562</v>
      </c>
      <c r="B88" s="1" t="s">
        <v>356</v>
      </c>
      <c r="C88" s="1" t="s">
        <v>563</v>
      </c>
      <c r="D88" s="1" t="s">
        <v>557</v>
      </c>
      <c r="E88" s="1" t="s">
        <v>564</v>
      </c>
      <c r="F88" s="1" t="s">
        <v>64</v>
      </c>
      <c r="G88" s="1">
        <v>350.0</v>
      </c>
      <c r="H88" s="1" t="s">
        <v>50</v>
      </c>
      <c r="I88" s="1">
        <v>77.0</v>
      </c>
      <c r="J88" s="1">
        <v>40.0</v>
      </c>
      <c r="K88" s="1">
        <v>40.0</v>
      </c>
      <c r="L88" s="1">
        <v>37.0</v>
      </c>
      <c r="M88" s="1">
        <v>37.0</v>
      </c>
      <c r="N88" s="1" t="s">
        <v>51</v>
      </c>
      <c r="O88" s="1">
        <v>79.0</v>
      </c>
      <c r="P88" s="1">
        <v>46.0</v>
      </c>
      <c r="Q88" s="1">
        <v>46.0</v>
      </c>
      <c r="R88" s="1">
        <v>33.0</v>
      </c>
      <c r="S88" s="1">
        <v>33.0</v>
      </c>
      <c r="T88" s="1" t="s">
        <v>52</v>
      </c>
      <c r="U88" s="1">
        <v>60.0</v>
      </c>
      <c r="V88" s="1">
        <v>39.0</v>
      </c>
      <c r="W88" s="1">
        <v>39.0</v>
      </c>
      <c r="X88" s="1">
        <v>21.0</v>
      </c>
      <c r="Y88" s="1">
        <v>21.0</v>
      </c>
      <c r="Z88" s="1" t="s">
        <v>53</v>
      </c>
      <c r="AA88" s="1">
        <v>69.0</v>
      </c>
      <c r="AB88" s="1">
        <v>40.0</v>
      </c>
      <c r="AC88" s="1">
        <v>40.0</v>
      </c>
      <c r="AD88" s="1">
        <v>29.0</v>
      </c>
      <c r="AE88" s="1">
        <v>29.0</v>
      </c>
      <c r="AF88" s="1" t="s">
        <v>54</v>
      </c>
      <c r="AG88" s="1">
        <v>52.0</v>
      </c>
      <c r="AH88" s="1">
        <v>38.0</v>
      </c>
      <c r="AI88" s="1">
        <v>38.0</v>
      </c>
      <c r="AJ88" s="1">
        <v>14.0</v>
      </c>
      <c r="AK88" s="1">
        <v>14.0</v>
      </c>
      <c r="AL88" s="1">
        <v>337.0</v>
      </c>
      <c r="AM88" s="1">
        <v>2.0</v>
      </c>
      <c r="AN88" s="1">
        <v>11.0</v>
      </c>
      <c r="AO88" s="1">
        <v>11.0</v>
      </c>
      <c r="AP88" s="1" t="s">
        <v>559</v>
      </c>
      <c r="AQ88" s="3" t="str">
        <f>HYPERLINK("https://icf.clappia.com/app/GMB253374/submission/QQM10792617/ICF247370-GMB253374-50o4phh61l2600000000/SIG-20250703_1149h05f5.jpeg", "SIG-20250703_1149h05f5.jpeg")</f>
        <v>SIG-20250703_1149h05f5.jpeg</v>
      </c>
      <c r="AR88" s="1" t="s">
        <v>565</v>
      </c>
      <c r="AS88" s="3" t="str">
        <f>HYPERLINK("https://icf.clappia.com/app/GMB253374/submission/QQM10792617/ICF247370-GMB253374-4o2afpnlafog00000000/SIG-20250703_11496ek8f.jpeg", "SIG-20250703_11496ek8f.jpeg")</f>
        <v>SIG-20250703_11496ek8f.jpeg</v>
      </c>
      <c r="AT88" s="1" t="s">
        <v>566</v>
      </c>
      <c r="AU88" s="3" t="str">
        <f>HYPERLINK("https://icf.clappia.com/app/GMB253374/submission/QQM10792617/ICF247370-GMB253374-on9l7imc32c80000000/SIG-20250703_114912g3fj.jpeg", "SIG-20250703_114912g3fj.jpeg")</f>
        <v>SIG-20250703_114912g3fj.jpeg</v>
      </c>
      <c r="AV88" s="3" t="str">
        <f>HYPERLINK("https://www.google.com/maps/place/8.3322849%2C-11.552118", "8.3322849,-11.552118")</f>
        <v>8.3322849,-11.552118</v>
      </c>
    </row>
    <row r="89" ht="15.75" customHeight="1">
      <c r="A89" s="1" t="s">
        <v>567</v>
      </c>
      <c r="B89" s="1" t="s">
        <v>60</v>
      </c>
      <c r="C89" s="1" t="s">
        <v>568</v>
      </c>
      <c r="D89" s="1" t="s">
        <v>569</v>
      </c>
      <c r="E89" s="1" t="s">
        <v>570</v>
      </c>
      <c r="F89" s="1" t="s">
        <v>64</v>
      </c>
      <c r="G89" s="1">
        <v>77.0</v>
      </c>
      <c r="H89" s="1" t="s">
        <v>50</v>
      </c>
      <c r="I89" s="1">
        <v>17.0</v>
      </c>
      <c r="J89" s="1">
        <v>7.0</v>
      </c>
      <c r="K89" s="1">
        <v>7.0</v>
      </c>
      <c r="L89" s="1">
        <v>10.0</v>
      </c>
      <c r="M89" s="1">
        <v>10.0</v>
      </c>
      <c r="N89" s="1" t="s">
        <v>51</v>
      </c>
      <c r="O89" s="1">
        <v>18.0</v>
      </c>
      <c r="P89" s="1">
        <v>8.0</v>
      </c>
      <c r="Q89" s="1">
        <v>8.0</v>
      </c>
      <c r="R89" s="1">
        <v>10.0</v>
      </c>
      <c r="S89" s="1">
        <v>10.0</v>
      </c>
      <c r="T89" s="1" t="s">
        <v>52</v>
      </c>
      <c r="U89" s="1">
        <v>17.0</v>
      </c>
      <c r="V89" s="1">
        <v>8.0</v>
      </c>
      <c r="W89" s="1">
        <v>8.0</v>
      </c>
      <c r="X89" s="1">
        <v>9.0</v>
      </c>
      <c r="Y89" s="1">
        <v>9.0</v>
      </c>
      <c r="Z89" s="1" t="s">
        <v>53</v>
      </c>
      <c r="AA89" s="1">
        <v>13.0</v>
      </c>
      <c r="AB89" s="1">
        <v>4.0</v>
      </c>
      <c r="AC89" s="1">
        <v>4.0</v>
      </c>
      <c r="AD89" s="1">
        <v>9.0</v>
      </c>
      <c r="AE89" s="1">
        <v>9.0</v>
      </c>
      <c r="AF89" s="1" t="s">
        <v>54</v>
      </c>
      <c r="AG89" s="1">
        <v>12.0</v>
      </c>
      <c r="AH89" s="1">
        <v>5.0</v>
      </c>
      <c r="AI89" s="1">
        <v>5.0</v>
      </c>
      <c r="AJ89" s="1">
        <v>7.0</v>
      </c>
      <c r="AK89" s="1">
        <v>7.0</v>
      </c>
      <c r="AL89" s="1">
        <v>77.0</v>
      </c>
      <c r="AM89" s="1" t="s">
        <v>55</v>
      </c>
      <c r="AN89" s="1" t="s">
        <v>55</v>
      </c>
      <c r="AO89" s="1" t="s">
        <v>55</v>
      </c>
      <c r="AP89" s="1" t="s">
        <v>512</v>
      </c>
      <c r="AQ89" s="3" t="str">
        <f>HYPERLINK("https://icf.clappia.com/app/GMB253374/submission/GET33395418/ICF247370-GMB253374-3ka4ni9aping00000000/SIG-20250703_1141180663.jpeg", "SIG-20250703_1141180663.jpeg")</f>
        <v>SIG-20250703_1141180663.jpeg</v>
      </c>
      <c r="AR89" s="1" t="s">
        <v>571</v>
      </c>
      <c r="AS89" s="3" t="str">
        <f>HYPERLINK("https://icf.clappia.com/app/GMB253374/submission/GET33395418/ICF247370-GMB253374-k2g6b580dg400000000/SIG-20250703_11426dmm0.jpeg", "SIG-20250703_11426dmm0.jpeg")</f>
        <v>SIG-20250703_11426dmm0.jpeg</v>
      </c>
      <c r="AT89" s="1" t="s">
        <v>572</v>
      </c>
      <c r="AU89" s="3" t="str">
        <f>HYPERLINK("https://icf.clappia.com/app/GMB253374/submission/GET33395418/ICF247370-GMB253374-ap0f244inm7a0000000/SIG-20250703_1144kjm7c.jpeg", "SIG-20250703_1144kjm7c.jpeg")</f>
        <v>SIG-20250703_1144kjm7c.jpeg</v>
      </c>
      <c r="AV89" s="3" t="str">
        <f>HYPERLINK("https://www.google.com/maps/place/7.7778421%2C-12.0759342", "7.7778421,-12.0759342")</f>
        <v>7.7778421,-12.0759342</v>
      </c>
    </row>
    <row r="90" ht="15.75" customHeight="1">
      <c r="A90" s="1" t="s">
        <v>573</v>
      </c>
      <c r="B90" s="1" t="s">
        <v>60</v>
      </c>
      <c r="C90" s="1" t="s">
        <v>574</v>
      </c>
      <c r="D90" s="1" t="s">
        <v>574</v>
      </c>
      <c r="E90" s="1" t="s">
        <v>575</v>
      </c>
      <c r="F90" s="1" t="s">
        <v>64</v>
      </c>
      <c r="G90" s="1">
        <v>140.0</v>
      </c>
      <c r="H90" s="1" t="s">
        <v>50</v>
      </c>
      <c r="I90" s="1">
        <v>45.0</v>
      </c>
      <c r="J90" s="1">
        <v>20.0</v>
      </c>
      <c r="K90" s="1">
        <v>20.0</v>
      </c>
      <c r="L90" s="1">
        <v>25.0</v>
      </c>
      <c r="M90" s="1">
        <v>25.0</v>
      </c>
      <c r="N90" s="1" t="s">
        <v>51</v>
      </c>
      <c r="O90" s="1">
        <v>31.0</v>
      </c>
      <c r="P90" s="1">
        <v>15.0</v>
      </c>
      <c r="Q90" s="1">
        <v>15.0</v>
      </c>
      <c r="R90" s="1">
        <v>16.0</v>
      </c>
      <c r="S90" s="1">
        <v>16.0</v>
      </c>
      <c r="T90" s="1" t="s">
        <v>52</v>
      </c>
      <c r="U90" s="1">
        <v>24.0</v>
      </c>
      <c r="V90" s="1">
        <v>15.0</v>
      </c>
      <c r="W90" s="1">
        <v>15.0</v>
      </c>
      <c r="X90" s="1">
        <v>9.0</v>
      </c>
      <c r="Y90" s="1">
        <v>9.0</v>
      </c>
      <c r="Z90" s="1" t="s">
        <v>53</v>
      </c>
      <c r="AA90" s="1">
        <v>24.0</v>
      </c>
      <c r="AB90" s="1">
        <v>11.0</v>
      </c>
      <c r="AC90" s="1">
        <v>11.0</v>
      </c>
      <c r="AD90" s="1">
        <v>13.0</v>
      </c>
      <c r="AE90" s="1">
        <v>13.0</v>
      </c>
      <c r="AF90" s="1" t="s">
        <v>54</v>
      </c>
      <c r="AG90" s="1">
        <v>16.0</v>
      </c>
      <c r="AH90" s="1">
        <v>7.0</v>
      </c>
      <c r="AI90" s="1">
        <v>7.0</v>
      </c>
      <c r="AJ90" s="1">
        <v>9.0</v>
      </c>
      <c r="AK90" s="1">
        <v>9.0</v>
      </c>
      <c r="AL90" s="1">
        <v>140.0</v>
      </c>
      <c r="AM90" s="1" t="s">
        <v>55</v>
      </c>
      <c r="AN90" s="1" t="s">
        <v>55</v>
      </c>
      <c r="AO90" s="1" t="s">
        <v>55</v>
      </c>
      <c r="AP90" s="1" t="s">
        <v>576</v>
      </c>
      <c r="AQ90" s="3" t="str">
        <f>HYPERLINK("https://icf.clappia.com/app/GMB253374/submission/BVC82188484/ICF247370-GMB253374-2n31919n9ipc00000000/SIG-20250703_1430f6h16.jpeg", "SIG-20250703_1430f6h16.jpeg")</f>
        <v>SIG-20250703_1430f6h16.jpeg</v>
      </c>
      <c r="AR90" s="1" t="s">
        <v>577</v>
      </c>
      <c r="AS90" s="3" t="str">
        <f>HYPERLINK("https://icf.clappia.com/app/GMB253374/submission/BVC82188484/ICF247370-GMB253374-l6jeie5flnnm0000000/SIG-20250703_1431186mf3.jpeg", "SIG-20250703_1431186mf3.jpeg")</f>
        <v>SIG-20250703_1431186mf3.jpeg</v>
      </c>
      <c r="AT90" s="1" t="s">
        <v>578</v>
      </c>
      <c r="AU90" s="3" t="str">
        <f>HYPERLINK("https://icf.clappia.com/app/GMB253374/submission/BVC82188484/ICF247370-GMB253374-2ic4pfodl2om00000000/SIG-20250703_1431kl39h.jpeg", "SIG-20250703_1431kl39h.jpeg")</f>
        <v>SIG-20250703_1431kl39h.jpeg</v>
      </c>
      <c r="AV90" s="3" t="str">
        <f>HYPERLINK("https://www.google.com/maps/place/7.95623%2C-11.7606833", "7.95623,-11.7606833")</f>
        <v>7.95623,-11.7606833</v>
      </c>
    </row>
    <row r="91" ht="15.75" customHeight="1">
      <c r="A91" s="1" t="s">
        <v>579</v>
      </c>
      <c r="B91" s="1" t="s">
        <v>580</v>
      </c>
      <c r="C91" s="1" t="s">
        <v>581</v>
      </c>
      <c r="D91" s="1" t="s">
        <v>581</v>
      </c>
      <c r="E91" s="1" t="s">
        <v>582</v>
      </c>
      <c r="F91" s="1" t="s">
        <v>64</v>
      </c>
      <c r="G91" s="1">
        <v>65.0</v>
      </c>
      <c r="H91" s="1" t="s">
        <v>50</v>
      </c>
      <c r="I91" s="1">
        <v>29.0</v>
      </c>
      <c r="J91" s="1">
        <v>16.0</v>
      </c>
      <c r="K91" s="1">
        <v>14.0</v>
      </c>
      <c r="L91" s="1">
        <v>13.0</v>
      </c>
      <c r="M91" s="1">
        <v>10.0</v>
      </c>
      <c r="N91" s="1" t="s">
        <v>51</v>
      </c>
      <c r="O91" s="1">
        <v>20.0</v>
      </c>
      <c r="P91" s="1">
        <v>10.0</v>
      </c>
      <c r="Q91" s="1">
        <v>9.0</v>
      </c>
      <c r="R91" s="1">
        <v>10.0</v>
      </c>
      <c r="S91" s="1">
        <v>8.0</v>
      </c>
      <c r="T91" s="1" t="s">
        <v>52</v>
      </c>
      <c r="U91" s="1">
        <v>8.0</v>
      </c>
      <c r="V91" s="1">
        <v>5.0</v>
      </c>
      <c r="W91" s="1">
        <v>5.0</v>
      </c>
      <c r="X91" s="1">
        <v>3.0</v>
      </c>
      <c r="Y91" s="1">
        <v>3.0</v>
      </c>
      <c r="Z91" s="1" t="s">
        <v>53</v>
      </c>
      <c r="AA91" s="1">
        <v>4.0</v>
      </c>
      <c r="AB91" s="1">
        <v>2.0</v>
      </c>
      <c r="AC91" s="1">
        <v>2.0</v>
      </c>
      <c r="AD91" s="1">
        <v>2.0</v>
      </c>
      <c r="AE91" s="1">
        <v>2.0</v>
      </c>
      <c r="AF91" s="1" t="s">
        <v>54</v>
      </c>
      <c r="AG91" s="1">
        <v>4.0</v>
      </c>
      <c r="AH91" s="1">
        <v>1.0</v>
      </c>
      <c r="AI91" s="1">
        <v>1.0</v>
      </c>
      <c r="AJ91" s="1">
        <v>3.0</v>
      </c>
      <c r="AK91" s="1">
        <v>3.0</v>
      </c>
      <c r="AL91" s="1">
        <v>57.0</v>
      </c>
      <c r="AM91" s="1" t="s">
        <v>55</v>
      </c>
      <c r="AN91" s="1">
        <v>8.0</v>
      </c>
      <c r="AO91" s="1" t="s">
        <v>55</v>
      </c>
      <c r="AP91" s="1" t="s">
        <v>583</v>
      </c>
      <c r="AQ91" s="3" t="str">
        <f>HYPERLINK("https://icf.clappia.com/app/GMB253374/submission/MKG04835556/ICF247370-GMB253374-c5g8551holnm0000000/SIG-20250703_1427fl429.jpeg", "SIG-20250703_1427fl429.jpeg")</f>
        <v>SIG-20250703_1427fl429.jpeg</v>
      </c>
      <c r="AR91" s="1" t="s">
        <v>584</v>
      </c>
      <c r="AS91" s="3" t="str">
        <f>HYPERLINK("https://icf.clappia.com/app/GMB253374/submission/MKG04835556/ICF247370-GMB253374-557b5j367f6o00000000/SIG-20250703_14271439fh.jpeg", "SIG-20250703_14271439fh.jpeg")</f>
        <v>SIG-20250703_14271439fh.jpeg</v>
      </c>
      <c r="AT91" s="1" t="s">
        <v>585</v>
      </c>
      <c r="AU91" s="3" t="str">
        <f>HYPERLINK("https://icf.clappia.com/app/GMB253374/submission/MKG04835556/ICF247370-GMB253374-29fn35djk7ek80000000/SIG-20250703_142710oa4n.jpeg", "SIG-20250703_142710oa4n.jpeg")</f>
        <v>SIG-20250703_142710oa4n.jpeg</v>
      </c>
      <c r="AV91" s="3" t="str">
        <f>HYPERLINK("https://www.google.com/maps/place/8.0195417%2C-11.58576", "8.0195417,-11.58576")</f>
        <v>8.0195417,-11.58576</v>
      </c>
    </row>
    <row r="92" ht="15.75" customHeight="1">
      <c r="A92" s="1" t="s">
        <v>586</v>
      </c>
      <c r="B92" s="1" t="s">
        <v>81</v>
      </c>
      <c r="C92" s="1" t="s">
        <v>587</v>
      </c>
      <c r="D92" s="1" t="s">
        <v>587</v>
      </c>
      <c r="E92" s="1" t="s">
        <v>588</v>
      </c>
      <c r="F92" s="1" t="s">
        <v>64</v>
      </c>
      <c r="G92" s="1">
        <v>100.0</v>
      </c>
      <c r="H92" s="1" t="s">
        <v>50</v>
      </c>
      <c r="I92" s="1">
        <v>30.0</v>
      </c>
      <c r="J92" s="1">
        <v>15.0</v>
      </c>
      <c r="K92" s="1">
        <v>10.0</v>
      </c>
      <c r="L92" s="1">
        <v>15.0</v>
      </c>
      <c r="M92" s="1">
        <v>8.0</v>
      </c>
      <c r="N92" s="1" t="s">
        <v>51</v>
      </c>
      <c r="O92" s="1">
        <v>35.0</v>
      </c>
      <c r="P92" s="1">
        <v>15.0</v>
      </c>
      <c r="Q92" s="1">
        <v>6.0</v>
      </c>
      <c r="R92" s="1">
        <v>20.0</v>
      </c>
      <c r="S92" s="1">
        <v>18.0</v>
      </c>
      <c r="T92" s="1" t="s">
        <v>52</v>
      </c>
      <c r="U92" s="1">
        <v>30.0</v>
      </c>
      <c r="V92" s="1">
        <v>15.0</v>
      </c>
      <c r="W92" s="1">
        <v>10.0</v>
      </c>
      <c r="X92" s="1">
        <v>15.0</v>
      </c>
      <c r="Y92" s="1">
        <v>8.0</v>
      </c>
      <c r="Z92" s="1" t="s">
        <v>53</v>
      </c>
      <c r="AA92" s="1">
        <v>40.0</v>
      </c>
      <c r="AB92" s="1">
        <v>20.0</v>
      </c>
      <c r="AC92" s="1">
        <v>15.0</v>
      </c>
      <c r="AD92" s="1">
        <v>19.0</v>
      </c>
      <c r="AE92" s="1">
        <v>5.0</v>
      </c>
      <c r="AF92" s="1" t="s">
        <v>54</v>
      </c>
      <c r="AG92" s="1">
        <v>40.0</v>
      </c>
      <c r="AH92" s="1">
        <v>10.0</v>
      </c>
      <c r="AI92" s="1">
        <v>10.0</v>
      </c>
      <c r="AJ92" s="1">
        <v>10.0</v>
      </c>
      <c r="AK92" s="1">
        <v>10.0</v>
      </c>
      <c r="AL92" s="1">
        <v>100.0</v>
      </c>
      <c r="AM92" s="1" t="s">
        <v>55</v>
      </c>
      <c r="AN92" s="1" t="s">
        <v>55</v>
      </c>
      <c r="AO92" s="1" t="s">
        <v>55</v>
      </c>
      <c r="AP92" s="1" t="s">
        <v>589</v>
      </c>
      <c r="AQ92" s="3" t="str">
        <f>HYPERLINK("https://icf.clappia.com/app/GMB253374/submission/QGR15911889/ICF247370-GMB253374-52mm5d2395io00000000/SIG-20250703_14217hg10.jpeg", "SIG-20250703_14217hg10.jpeg")</f>
        <v>SIG-20250703_14217hg10.jpeg</v>
      </c>
      <c r="AR92" s="1" t="s">
        <v>590</v>
      </c>
      <c r="AS92" s="3" t="str">
        <f>HYPERLINK("https://icf.clappia.com/app/GMB253374/submission/QGR15911889/ICF247370-GMB253374-5964ok9pfi0m00000000/SIG-20250703_1421bdn5a.jpeg", "SIG-20250703_1421bdn5a.jpeg")</f>
        <v>SIG-20250703_1421bdn5a.jpeg</v>
      </c>
      <c r="AT92" s="1" t="s">
        <v>591</v>
      </c>
      <c r="AU92" s="3" t="str">
        <f>HYPERLINK("https://icf.clappia.com/app/GMB253374/submission/QGR15911889/ICF247370-GMB253374-48026p71c9i200000000/SIG-20250703_1423a307h.jpeg", "SIG-20250703_1423a307h.jpeg")</f>
        <v>SIG-20250703_1423a307h.jpeg</v>
      </c>
      <c r="AV92" s="3" t="str">
        <f>HYPERLINK("https://www.google.com/maps/place/7.942268%2C-11.7304947", "7.942268,-11.7304947")</f>
        <v>7.942268,-11.7304947</v>
      </c>
    </row>
    <row r="93" ht="15.75" customHeight="1">
      <c r="A93" s="1" t="s">
        <v>592</v>
      </c>
      <c r="B93" s="1" t="s">
        <v>248</v>
      </c>
      <c r="C93" s="1" t="s">
        <v>593</v>
      </c>
      <c r="D93" s="1" t="s">
        <v>593</v>
      </c>
      <c r="E93" s="1" t="s">
        <v>594</v>
      </c>
      <c r="F93" s="1" t="s">
        <v>64</v>
      </c>
      <c r="G93" s="1">
        <v>181.0</v>
      </c>
      <c r="H93" s="1" t="s">
        <v>50</v>
      </c>
      <c r="I93" s="1">
        <v>56.0</v>
      </c>
      <c r="J93" s="1">
        <v>25.0</v>
      </c>
      <c r="K93" s="1">
        <v>17.0</v>
      </c>
      <c r="L93" s="1">
        <v>31.0</v>
      </c>
      <c r="M93" s="1">
        <v>11.0</v>
      </c>
      <c r="N93" s="1" t="s">
        <v>51</v>
      </c>
      <c r="O93" s="1">
        <v>52.0</v>
      </c>
      <c r="P93" s="1">
        <v>17.0</v>
      </c>
      <c r="Q93" s="1">
        <v>3.0</v>
      </c>
      <c r="R93" s="1">
        <v>25.0</v>
      </c>
      <c r="S93" s="1">
        <v>5.0</v>
      </c>
      <c r="T93" s="1" t="s">
        <v>52</v>
      </c>
      <c r="U93" s="1">
        <v>35.0</v>
      </c>
      <c r="V93" s="1">
        <v>20.0</v>
      </c>
      <c r="W93" s="1">
        <v>5.0</v>
      </c>
      <c r="X93" s="1">
        <v>14.0</v>
      </c>
      <c r="Y93" s="1">
        <v>5.0</v>
      </c>
      <c r="Z93" s="1" t="s">
        <v>53</v>
      </c>
      <c r="AA93" s="1">
        <v>28.0</v>
      </c>
      <c r="AB93" s="1">
        <v>13.0</v>
      </c>
      <c r="AC93" s="1">
        <v>4.0</v>
      </c>
      <c r="AD93" s="1">
        <v>15.0</v>
      </c>
      <c r="AE93" s="1">
        <v>4.0</v>
      </c>
      <c r="AF93" s="1" t="s">
        <v>54</v>
      </c>
      <c r="AG93" s="1">
        <v>43.0</v>
      </c>
      <c r="AH93" s="1">
        <v>23.0</v>
      </c>
      <c r="AI93" s="1">
        <v>5.0</v>
      </c>
      <c r="AJ93" s="1">
        <v>20.0</v>
      </c>
      <c r="AK93" s="1">
        <v>5.0</v>
      </c>
      <c r="AL93" s="1">
        <v>64.0</v>
      </c>
      <c r="AM93" s="1" t="s">
        <v>55</v>
      </c>
      <c r="AN93" s="1">
        <v>117.0</v>
      </c>
      <c r="AO93" s="1" t="s">
        <v>55</v>
      </c>
      <c r="AP93" s="1" t="s">
        <v>595</v>
      </c>
      <c r="AQ93" s="3" t="str">
        <f>HYPERLINK("https://icf.clappia.com/app/GMB253374/submission/IPZ57380845/ICF247370-GMB253374-5ml5ebnhknd600000000/SIG-20250703_142216526c.jpeg", "SIG-20250703_142216526c.jpeg")</f>
        <v>SIG-20250703_142216526c.jpeg</v>
      </c>
      <c r="AR93" s="1" t="s">
        <v>596</v>
      </c>
      <c r="AS93" s="3" t="str">
        <f>HYPERLINK("https://icf.clappia.com/app/GMB253374/submission/IPZ57380845/ICF247370-GMB253374-cgnbk9f5omba0000000/SIG-20250703_1422ljl8k.jpeg", "SIG-20250703_1422ljl8k.jpeg")</f>
        <v>SIG-20250703_1422ljl8k.jpeg</v>
      </c>
      <c r="AT93" s="1" t="s">
        <v>597</v>
      </c>
      <c r="AU93" s="3" t="str">
        <f>HYPERLINK("https://icf.clappia.com/app/GMB253374/submission/IPZ57380845/ICF247370-GMB253374-4h0dpeod3k8m00000000/SIG-20250703_1423kcomg.jpeg", "SIG-20250703_1423kcomg.jpeg")</f>
        <v>SIG-20250703_1423kcomg.jpeg</v>
      </c>
      <c r="AV93" s="3" t="str">
        <f>HYPERLINK("https://www.google.com/maps/place/7.9342419%2C-11.4891205", "7.9342419,-11.4891205")</f>
        <v>7.9342419,-11.4891205</v>
      </c>
    </row>
    <row r="94" ht="15.75" customHeight="1">
      <c r="A94" s="1" t="s">
        <v>598</v>
      </c>
      <c r="B94" s="1" t="s">
        <v>161</v>
      </c>
      <c r="C94" s="1" t="s">
        <v>599</v>
      </c>
      <c r="D94" s="1" t="s">
        <v>543</v>
      </c>
      <c r="E94" s="1" t="s">
        <v>600</v>
      </c>
      <c r="F94" s="1" t="s">
        <v>64</v>
      </c>
      <c r="G94" s="1">
        <v>211.0</v>
      </c>
      <c r="H94" s="1" t="s">
        <v>50</v>
      </c>
      <c r="I94" s="1">
        <v>57.0</v>
      </c>
      <c r="J94" s="1">
        <v>37.0</v>
      </c>
      <c r="K94" s="1">
        <v>37.0</v>
      </c>
      <c r="L94" s="1">
        <v>20.0</v>
      </c>
      <c r="M94" s="1">
        <v>20.0</v>
      </c>
      <c r="N94" s="1" t="s">
        <v>51</v>
      </c>
      <c r="O94" s="1">
        <v>31.0</v>
      </c>
      <c r="P94" s="1">
        <v>16.0</v>
      </c>
      <c r="Q94" s="1">
        <v>16.0</v>
      </c>
      <c r="R94" s="1">
        <v>15.0</v>
      </c>
      <c r="S94" s="1">
        <v>15.0</v>
      </c>
      <c r="T94" s="1" t="s">
        <v>52</v>
      </c>
      <c r="U94" s="1">
        <v>35.0</v>
      </c>
      <c r="V94" s="1">
        <v>16.0</v>
      </c>
      <c r="W94" s="1">
        <v>16.0</v>
      </c>
      <c r="X94" s="1">
        <v>19.0</v>
      </c>
      <c r="Y94" s="1">
        <v>19.0</v>
      </c>
      <c r="Z94" s="1" t="s">
        <v>53</v>
      </c>
      <c r="AA94" s="1">
        <v>50.0</v>
      </c>
      <c r="AB94" s="1">
        <v>19.0</v>
      </c>
      <c r="AC94" s="1">
        <v>19.0</v>
      </c>
      <c r="AD94" s="1">
        <v>31.0</v>
      </c>
      <c r="AE94" s="1">
        <v>31.0</v>
      </c>
      <c r="AF94" s="1" t="s">
        <v>54</v>
      </c>
      <c r="AG94" s="1">
        <v>38.0</v>
      </c>
      <c r="AH94" s="1">
        <v>18.0</v>
      </c>
      <c r="AI94" s="1">
        <v>18.0</v>
      </c>
      <c r="AJ94" s="1">
        <v>20.0</v>
      </c>
      <c r="AK94" s="1">
        <v>20.0</v>
      </c>
      <c r="AL94" s="1">
        <v>211.0</v>
      </c>
      <c r="AM94" s="1" t="s">
        <v>55</v>
      </c>
      <c r="AN94" s="1" t="s">
        <v>55</v>
      </c>
      <c r="AO94" s="1" t="s">
        <v>55</v>
      </c>
      <c r="AP94" s="1" t="s">
        <v>601</v>
      </c>
      <c r="AQ94" s="3" t="str">
        <f>HYPERLINK("https://icf.clappia.com/app/GMB253374/submission/YKE18387445/ICF247370-GMB253374-4620a12obnie00000000/SIG-20250703_11312lg66.jpeg", "SIG-20250703_11312lg66.jpeg")</f>
        <v>SIG-20250703_11312lg66.jpeg</v>
      </c>
      <c r="AR94" s="1" t="s">
        <v>602</v>
      </c>
      <c r="AS94" s="3" t="str">
        <f>HYPERLINK("https://icf.clappia.com/app/GMB253374/submission/YKE18387445/ICF247370-GMB253374-2joi5o2jf6ak00000000/SIG-20250703_113115j8bc.jpeg", "SIG-20250703_113115j8bc.jpeg")</f>
        <v>SIG-20250703_113115j8bc.jpeg</v>
      </c>
      <c r="AT94" s="1" t="s">
        <v>603</v>
      </c>
      <c r="AU94" s="3" t="str">
        <f>HYPERLINK("https://icf.clappia.com/app/GMB253374/submission/YKE18387445/ICF247370-GMB253374-35f01mo4f8ik00000000/SIG-20250703_1131295f.jpeg", "SIG-20250703_1131295f.jpeg")</f>
        <v>SIG-20250703_1131295f.jpeg</v>
      </c>
      <c r="AV94" s="3" t="str">
        <f>HYPERLINK("https://www.google.com/maps/place/7.9728343%2C-11.7611063", "7.9728343,-11.7611063")</f>
        <v>7.9728343,-11.7611063</v>
      </c>
    </row>
    <row r="95" ht="15.75" customHeight="1">
      <c r="A95" s="1" t="s">
        <v>604</v>
      </c>
      <c r="B95" s="1" t="s">
        <v>161</v>
      </c>
      <c r="C95" s="1" t="s">
        <v>605</v>
      </c>
      <c r="D95" s="1" t="s">
        <v>543</v>
      </c>
      <c r="E95" s="1" t="s">
        <v>606</v>
      </c>
      <c r="F95" s="1" t="s">
        <v>49</v>
      </c>
      <c r="G95" s="1">
        <v>33.0</v>
      </c>
      <c r="H95" s="1" t="s">
        <v>50</v>
      </c>
      <c r="I95" s="1">
        <v>10.0</v>
      </c>
      <c r="J95" s="1">
        <v>5.0</v>
      </c>
      <c r="K95" s="1">
        <v>5.0</v>
      </c>
      <c r="L95" s="1">
        <v>5.0</v>
      </c>
      <c r="M95" s="1">
        <v>2.0</v>
      </c>
      <c r="N95" s="1" t="s">
        <v>51</v>
      </c>
      <c r="O95" s="1">
        <v>6.0</v>
      </c>
      <c r="P95" s="1">
        <v>3.0</v>
      </c>
      <c r="Q95" s="1">
        <v>3.0</v>
      </c>
      <c r="R95" s="1">
        <v>3.0</v>
      </c>
      <c r="S95" s="1">
        <v>3.0</v>
      </c>
      <c r="T95" s="1" t="s">
        <v>52</v>
      </c>
      <c r="U95" s="1">
        <v>6.0</v>
      </c>
      <c r="V95" s="1">
        <v>3.0</v>
      </c>
      <c r="W95" s="1">
        <v>3.0</v>
      </c>
      <c r="X95" s="1">
        <v>3.0</v>
      </c>
      <c r="Y95" s="1">
        <v>3.0</v>
      </c>
      <c r="Z95" s="1" t="s">
        <v>53</v>
      </c>
      <c r="AA95" s="1">
        <v>6.0</v>
      </c>
      <c r="AB95" s="1">
        <v>2.0</v>
      </c>
      <c r="AC95" s="1">
        <v>2.0</v>
      </c>
      <c r="AD95" s="1">
        <v>4.0</v>
      </c>
      <c r="AE95" s="1">
        <v>4.0</v>
      </c>
      <c r="AF95" s="1" t="s">
        <v>54</v>
      </c>
      <c r="AG95" s="1">
        <v>5.0</v>
      </c>
      <c r="AH95" s="1" t="s">
        <v>55</v>
      </c>
      <c r="AI95" s="1" t="s">
        <v>55</v>
      </c>
      <c r="AJ95" s="1">
        <v>5.0</v>
      </c>
      <c r="AK95" s="1">
        <v>5.0</v>
      </c>
      <c r="AL95" s="1">
        <v>30.0</v>
      </c>
      <c r="AM95" s="1">
        <v>3.0</v>
      </c>
      <c r="AN95" s="1" t="s">
        <v>55</v>
      </c>
      <c r="AO95" s="1" t="s">
        <v>55</v>
      </c>
      <c r="AP95" s="1" t="s">
        <v>601</v>
      </c>
      <c r="AQ95" s="3" t="str">
        <f>HYPERLINK("https://icf.clappia.com/app/GMB253374/submission/FVR36292274/ICF247370-GMB253374-6b3lnmb078k600000000/SIG-20250702_11021aecna.jpeg", "SIG-20250702_11021aecna.jpeg")</f>
        <v>SIG-20250702_11021aecna.jpeg</v>
      </c>
      <c r="AR95" s="1" t="s">
        <v>607</v>
      </c>
      <c r="AS95" s="3" t="str">
        <f>HYPERLINK("https://icf.clappia.com/app/GMB253374/submission/FVR36292274/ICF247370-GMB253374-6boi13n83i4600000000/SIG-20250702_1102h3ede.jpeg", "SIG-20250702_1102h3ede.jpeg")</f>
        <v>SIG-20250702_1102h3ede.jpeg</v>
      </c>
      <c r="AT95" s="1" t="s">
        <v>603</v>
      </c>
      <c r="AU95" s="3" t="str">
        <f>HYPERLINK("https://icf.clappia.com/app/GMB253374/submission/FVR36292274/ICF247370-GMB253374-3ikcemn3e6eg00000000/SIG-20250702_1103bi29h.jpeg", "SIG-20250702_1103bi29h.jpeg")</f>
        <v>SIG-20250702_1103bi29h.jpeg</v>
      </c>
      <c r="AV95" s="3" t="str">
        <f>HYPERLINK("https://www.google.com/maps/place/7.9704517%2C-11.7628367", "7.9704517,-11.7628367")</f>
        <v>7.9704517,-11.7628367</v>
      </c>
    </row>
    <row r="96" ht="15.75" customHeight="1">
      <c r="A96" s="1" t="s">
        <v>608</v>
      </c>
      <c r="B96" s="1" t="s">
        <v>81</v>
      </c>
      <c r="C96" s="1" t="s">
        <v>609</v>
      </c>
      <c r="D96" s="1" t="s">
        <v>609</v>
      </c>
      <c r="E96" s="1" t="s">
        <v>610</v>
      </c>
      <c r="F96" s="1" t="s">
        <v>64</v>
      </c>
      <c r="G96" s="1" t="s">
        <v>611</v>
      </c>
      <c r="H96" s="1" t="s">
        <v>50</v>
      </c>
      <c r="I96" s="1">
        <v>75.0</v>
      </c>
      <c r="J96" s="1">
        <v>40.0</v>
      </c>
      <c r="K96" s="1">
        <v>40.0</v>
      </c>
      <c r="L96" s="1">
        <v>35.0</v>
      </c>
      <c r="M96" s="1">
        <v>35.0</v>
      </c>
      <c r="N96" s="1" t="s">
        <v>51</v>
      </c>
      <c r="O96" s="1">
        <v>80.0</v>
      </c>
      <c r="P96" s="1">
        <v>40.0</v>
      </c>
      <c r="Q96" s="1">
        <v>40.0</v>
      </c>
      <c r="R96" s="1">
        <v>40.0</v>
      </c>
      <c r="S96" s="1">
        <v>40.0</v>
      </c>
      <c r="T96" s="1" t="s">
        <v>52</v>
      </c>
      <c r="U96" s="1">
        <v>74.0</v>
      </c>
      <c r="V96" s="1">
        <v>34.0</v>
      </c>
      <c r="W96" s="1">
        <v>34.0</v>
      </c>
      <c r="X96" s="1">
        <v>40.0</v>
      </c>
      <c r="Y96" s="1">
        <v>40.0</v>
      </c>
      <c r="Z96" s="1" t="s">
        <v>53</v>
      </c>
      <c r="AA96" s="1">
        <v>73.0</v>
      </c>
      <c r="AB96" s="1">
        <v>40.0</v>
      </c>
      <c r="AC96" s="1">
        <v>40.0</v>
      </c>
      <c r="AD96" s="1">
        <v>33.0</v>
      </c>
      <c r="AE96" s="1">
        <v>33.0</v>
      </c>
      <c r="AF96" s="1" t="s">
        <v>54</v>
      </c>
      <c r="AG96" s="1">
        <v>92.0</v>
      </c>
      <c r="AH96" s="1">
        <v>50.0</v>
      </c>
      <c r="AI96" s="1">
        <v>50.0</v>
      </c>
      <c r="AJ96" s="1">
        <v>42.0</v>
      </c>
      <c r="AK96" s="1">
        <v>42.0</v>
      </c>
      <c r="AL96" s="1">
        <v>394.0</v>
      </c>
      <c r="AM96" s="1">
        <v>5.0</v>
      </c>
      <c r="AN96" s="1" t="s">
        <v>612</v>
      </c>
      <c r="AO96" s="1">
        <v>11.0</v>
      </c>
      <c r="AP96" s="1" t="s">
        <v>613</v>
      </c>
      <c r="AQ96" s="3" t="str">
        <f>HYPERLINK("https://icf.clappia.com/app/GMB253374/submission/RFW97363834/ICF247370-GMB253374-5og21dgdbic000000000/SIG-20250703_1411c1m9l.jpeg", "SIG-20250703_1411c1m9l.jpeg")</f>
        <v>SIG-20250703_1411c1m9l.jpeg</v>
      </c>
      <c r="AR96" s="1" t="s">
        <v>614</v>
      </c>
      <c r="AS96" s="3" t="str">
        <f>HYPERLINK("https://icf.clappia.com/app/GMB253374/submission/RFW97363834/ICF247370-GMB253374-53ph2b432n4c00000000/SIG-20250703_1411bdh6f.jpeg", "SIG-20250703_1411bdh6f.jpeg")</f>
        <v>SIG-20250703_1411bdh6f.jpeg</v>
      </c>
      <c r="AT96" s="1" t="s">
        <v>615</v>
      </c>
      <c r="AU96" s="3" t="str">
        <f>HYPERLINK("https://icf.clappia.com/app/GMB253374/submission/RFW97363834/ICF247370-GMB253374-3h58lj5i0gfg00000000/SIG-20250703_1412164mmj.jpeg", "SIG-20250703_1412164mmj.jpeg")</f>
        <v>SIG-20250703_1412164mmj.jpeg</v>
      </c>
      <c r="AV96" s="3" t="str">
        <f>HYPERLINK("https://www.google.com/maps/place/7.9632983%2C-11.7526067", "7.9632983,-11.7526067")</f>
        <v>7.9632983,-11.7526067</v>
      </c>
    </row>
    <row r="97" ht="15.75" customHeight="1">
      <c r="A97" s="1" t="s">
        <v>616</v>
      </c>
      <c r="B97" s="1" t="s">
        <v>248</v>
      </c>
      <c r="C97" s="1" t="s">
        <v>617</v>
      </c>
      <c r="D97" s="1" t="s">
        <v>617</v>
      </c>
      <c r="E97" s="1" t="s">
        <v>618</v>
      </c>
      <c r="F97" s="1" t="s">
        <v>64</v>
      </c>
      <c r="G97" s="1">
        <v>224.0</v>
      </c>
      <c r="H97" s="1" t="s">
        <v>50</v>
      </c>
      <c r="I97" s="1">
        <v>54.0</v>
      </c>
      <c r="J97" s="1">
        <v>26.0</v>
      </c>
      <c r="K97" s="1">
        <v>26.0</v>
      </c>
      <c r="L97" s="1">
        <v>28.0</v>
      </c>
      <c r="M97" s="1">
        <v>28.0</v>
      </c>
      <c r="N97" s="1" t="s">
        <v>51</v>
      </c>
      <c r="O97" s="1">
        <v>46.0</v>
      </c>
      <c r="P97" s="1">
        <v>22.0</v>
      </c>
      <c r="Q97" s="1">
        <v>22.0</v>
      </c>
      <c r="R97" s="1">
        <v>24.0</v>
      </c>
      <c r="S97" s="1">
        <v>24.0</v>
      </c>
      <c r="T97" s="1" t="s">
        <v>52</v>
      </c>
      <c r="U97" s="1">
        <v>46.0</v>
      </c>
      <c r="V97" s="1">
        <v>19.0</v>
      </c>
      <c r="W97" s="1">
        <v>19.0</v>
      </c>
      <c r="X97" s="1">
        <v>27.0</v>
      </c>
      <c r="Y97" s="1">
        <v>27.0</v>
      </c>
      <c r="Z97" s="1" t="s">
        <v>53</v>
      </c>
      <c r="AA97" s="1">
        <v>39.0</v>
      </c>
      <c r="AB97" s="1">
        <v>22.0</v>
      </c>
      <c r="AC97" s="1">
        <v>22.0</v>
      </c>
      <c r="AD97" s="1">
        <v>17.0</v>
      </c>
      <c r="AE97" s="1">
        <v>17.0</v>
      </c>
      <c r="AF97" s="1" t="s">
        <v>54</v>
      </c>
      <c r="AG97" s="1">
        <v>35.0</v>
      </c>
      <c r="AH97" s="1">
        <v>17.0</v>
      </c>
      <c r="AI97" s="1">
        <v>17.0</v>
      </c>
      <c r="AJ97" s="1">
        <v>18.0</v>
      </c>
      <c r="AK97" s="1">
        <v>18.0</v>
      </c>
      <c r="AL97" s="1">
        <v>220.0</v>
      </c>
      <c r="AM97" s="1" t="s">
        <v>55</v>
      </c>
      <c r="AN97" s="1">
        <v>4.0</v>
      </c>
      <c r="AO97" s="1">
        <v>4.0</v>
      </c>
      <c r="AP97" s="1" t="s">
        <v>595</v>
      </c>
      <c r="AQ97" s="3" t="str">
        <f>HYPERLINK("https://icf.clappia.com/app/GMB253374/submission/QWP59091335/ICF247370-GMB253374-2lj61ldpm81200000000/SIG-20250703_135364ohb.jpeg", "SIG-20250703_135364ohb.jpeg")</f>
        <v>SIG-20250703_135364ohb.jpeg</v>
      </c>
      <c r="AR97" s="1" t="s">
        <v>596</v>
      </c>
      <c r="AS97" s="3" t="str">
        <f>HYPERLINK("https://icf.clappia.com/app/GMB253374/submission/QWP59091335/ICF247370-GMB253374-1eoc1lmfk222k0000000/SIG-20250703_135419k87p.jpeg", "SIG-20250703_135419k87p.jpeg")</f>
        <v>SIG-20250703_135419k87p.jpeg</v>
      </c>
      <c r="AT97" s="1" t="s">
        <v>597</v>
      </c>
      <c r="AU97" s="3" t="str">
        <f>HYPERLINK("https://icf.clappia.com/app/GMB253374/submission/QWP59091335/ICF247370-GMB253374-4h5m9p8mdoec00000000/SIG-20250703_1354l4inj.jpeg", "SIG-20250703_1354l4inj.jpeg")</f>
        <v>SIG-20250703_1354l4inj.jpeg</v>
      </c>
      <c r="AV97" s="3" t="str">
        <f>HYPERLINK("https://www.google.com/maps/place/7.9341033%2C-11.48987", "7.9341033,-11.48987")</f>
        <v>7.9341033,-11.48987</v>
      </c>
    </row>
    <row r="98" ht="15.75" customHeight="1">
      <c r="A98" s="1" t="s">
        <v>619</v>
      </c>
      <c r="B98" s="1" t="s">
        <v>248</v>
      </c>
      <c r="C98" s="1" t="s">
        <v>620</v>
      </c>
      <c r="D98" s="1" t="s">
        <v>620</v>
      </c>
      <c r="E98" s="1" t="s">
        <v>621</v>
      </c>
      <c r="F98" s="1" t="s">
        <v>64</v>
      </c>
      <c r="G98" s="1">
        <v>114.0</v>
      </c>
      <c r="H98" s="1" t="s">
        <v>50</v>
      </c>
      <c r="I98" s="1">
        <v>36.0</v>
      </c>
      <c r="J98" s="1">
        <v>14.0</v>
      </c>
      <c r="K98" s="1">
        <v>14.0</v>
      </c>
      <c r="L98" s="1">
        <v>22.0</v>
      </c>
      <c r="M98" s="1">
        <v>22.0</v>
      </c>
      <c r="N98" s="1" t="s">
        <v>51</v>
      </c>
      <c r="O98" s="1">
        <v>24.0</v>
      </c>
      <c r="P98" s="1">
        <v>11.0</v>
      </c>
      <c r="Q98" s="1">
        <v>11.0</v>
      </c>
      <c r="R98" s="1">
        <v>13.0</v>
      </c>
      <c r="S98" s="1">
        <v>13.0</v>
      </c>
      <c r="T98" s="1" t="s">
        <v>52</v>
      </c>
      <c r="U98" s="1">
        <v>19.0</v>
      </c>
      <c r="V98" s="1">
        <v>10.0</v>
      </c>
      <c r="W98" s="1">
        <v>10.0</v>
      </c>
      <c r="X98" s="1">
        <v>9.0</v>
      </c>
      <c r="Y98" s="1">
        <v>9.0</v>
      </c>
      <c r="Z98" s="1" t="s">
        <v>53</v>
      </c>
      <c r="AA98" s="1">
        <v>13.0</v>
      </c>
      <c r="AB98" s="1">
        <v>8.0</v>
      </c>
      <c r="AC98" s="1">
        <v>8.0</v>
      </c>
      <c r="AD98" s="1">
        <v>5.0</v>
      </c>
      <c r="AE98" s="1">
        <v>5.0</v>
      </c>
      <c r="AF98" s="1" t="s">
        <v>54</v>
      </c>
      <c r="AG98" s="1">
        <v>11.0</v>
      </c>
      <c r="AH98" s="1">
        <v>7.0</v>
      </c>
      <c r="AI98" s="1">
        <v>7.0</v>
      </c>
      <c r="AJ98" s="1">
        <v>4.0</v>
      </c>
      <c r="AK98" s="1">
        <v>4.0</v>
      </c>
      <c r="AL98" s="1">
        <v>103.0</v>
      </c>
      <c r="AM98" s="1" t="s">
        <v>55</v>
      </c>
      <c r="AN98" s="1">
        <v>11.0</v>
      </c>
      <c r="AO98" s="1">
        <v>11.0</v>
      </c>
      <c r="AP98" s="1" t="s">
        <v>622</v>
      </c>
      <c r="AQ98" s="3" t="str">
        <f>HYPERLINK("https://icf.clappia.com/app/GMB253374/submission/JSA97376202/ICF247370-GMB253374-559hdfjccfde00000000/SIG-20250703_14083fgai.jpeg", "SIG-20250703_14083fgai.jpeg")</f>
        <v>SIG-20250703_14083fgai.jpeg</v>
      </c>
      <c r="AR98" s="1" t="s">
        <v>623</v>
      </c>
      <c r="AS98" s="3" t="str">
        <f>HYPERLINK("https://icf.clappia.com/app/GMB253374/submission/JSA97376202/ICF247370-GMB253374-1fg3lj3ffljc40000000/SIG-20250703_1411105j79.jpeg", "SIG-20250703_1411105j79.jpeg")</f>
        <v>SIG-20250703_1411105j79.jpeg</v>
      </c>
      <c r="AT98" s="1" t="s">
        <v>624</v>
      </c>
      <c r="AU98" s="3" t="str">
        <f>HYPERLINK("https://icf.clappia.com/app/GMB253374/submission/JSA97376202/ICF247370-GMB253374-4f521nhchkdc00000000/SIG-20250703_1411dd2hn.jpeg", "SIG-20250703_1411dd2hn.jpeg")</f>
        <v>SIG-20250703_1411dd2hn.jpeg</v>
      </c>
      <c r="AV98" s="3" t="str">
        <f>HYPERLINK("https://www.google.com/maps/place/7.924727%2C-11.4372862", "7.924727,-11.4372862")</f>
        <v>7.924727,-11.4372862</v>
      </c>
    </row>
    <row r="99" ht="15.75" customHeight="1">
      <c r="A99" s="1" t="s">
        <v>625</v>
      </c>
      <c r="B99" s="1" t="s">
        <v>155</v>
      </c>
      <c r="C99" s="1" t="s">
        <v>626</v>
      </c>
      <c r="D99" s="1" t="s">
        <v>627</v>
      </c>
      <c r="E99" s="1" t="s">
        <v>628</v>
      </c>
      <c r="F99" s="1" t="s">
        <v>64</v>
      </c>
      <c r="G99" s="1">
        <v>150.0</v>
      </c>
      <c r="H99" s="1" t="s">
        <v>50</v>
      </c>
      <c r="I99" s="1">
        <v>40.0</v>
      </c>
      <c r="J99" s="1">
        <v>18.0</v>
      </c>
      <c r="K99" s="1">
        <v>16.0</v>
      </c>
      <c r="L99" s="1">
        <v>22.0</v>
      </c>
      <c r="M99" s="1">
        <v>19.0</v>
      </c>
      <c r="N99" s="1" t="s">
        <v>51</v>
      </c>
      <c r="O99" s="1">
        <v>35.0</v>
      </c>
      <c r="P99" s="1">
        <v>16.0</v>
      </c>
      <c r="Q99" s="1">
        <v>15.0</v>
      </c>
      <c r="R99" s="1">
        <v>19.0</v>
      </c>
      <c r="S99" s="1">
        <v>18.0</v>
      </c>
      <c r="T99" s="1" t="s">
        <v>52</v>
      </c>
      <c r="U99" s="1">
        <v>30.0</v>
      </c>
      <c r="V99" s="1">
        <v>14.0</v>
      </c>
      <c r="W99" s="1">
        <v>14.0</v>
      </c>
      <c r="X99" s="1">
        <v>16.0</v>
      </c>
      <c r="Y99" s="1">
        <v>15.0</v>
      </c>
      <c r="Z99" s="1" t="s">
        <v>53</v>
      </c>
      <c r="AA99" s="1">
        <v>25.0</v>
      </c>
      <c r="AB99" s="1">
        <v>11.0</v>
      </c>
      <c r="AC99" s="1">
        <v>10.0</v>
      </c>
      <c r="AD99" s="1">
        <v>14.0</v>
      </c>
      <c r="AE99" s="1">
        <v>12.0</v>
      </c>
      <c r="AF99" s="1" t="s">
        <v>54</v>
      </c>
      <c r="AG99" s="1">
        <v>20.0</v>
      </c>
      <c r="AH99" s="1">
        <v>8.0</v>
      </c>
      <c r="AI99" s="1">
        <v>8.0</v>
      </c>
      <c r="AJ99" s="1">
        <v>12.0</v>
      </c>
      <c r="AK99" s="1">
        <v>12.0</v>
      </c>
      <c r="AL99" s="1">
        <v>139.0</v>
      </c>
      <c r="AM99" s="1" t="s">
        <v>55</v>
      </c>
      <c r="AN99" s="1">
        <v>11.0</v>
      </c>
      <c r="AO99" s="1">
        <v>11.0</v>
      </c>
      <c r="AP99" s="1" t="s">
        <v>629</v>
      </c>
      <c r="AQ99" s="3" t="str">
        <f>HYPERLINK("https://icf.clappia.com/app/GMB253374/submission/QFC04395553/ICF247370-GMB253374-4370ld617kmm00000000/SIG-20250703_1404ahm3k.jpeg", "SIG-20250703_1404ahm3k.jpeg")</f>
        <v>SIG-20250703_1404ahm3k.jpeg</v>
      </c>
      <c r="AR99" s="1" t="s">
        <v>630</v>
      </c>
      <c r="AS99" s="3" t="str">
        <f>HYPERLINK("https://icf.clappia.com/app/GMB253374/submission/QFC04395553/ICF247370-GMB253374-32fd0lm54a9g00000000/SIG-20250703_14054pd9j.jpeg", "SIG-20250703_14054pd9j.jpeg")</f>
        <v>SIG-20250703_14054pd9j.jpeg</v>
      </c>
      <c r="AT99" s="1" t="s">
        <v>631</v>
      </c>
      <c r="AU99" s="3" t="str">
        <f>HYPERLINK("https://icf.clappia.com/app/GMB253374/submission/QFC04395553/ICF247370-GMB253374-2o6p42a7boci00000000/SIG-20250703_1405fa5fn.jpeg", "SIG-20250703_1405fa5fn.jpeg")</f>
        <v>SIG-20250703_1405fa5fn.jpeg</v>
      </c>
      <c r="AV99" s="3" t="str">
        <f>HYPERLINK("https://www.google.com/maps/place/8.75999%2C-11.955515", "8.75999,-11.955515")</f>
        <v>8.75999,-11.955515</v>
      </c>
    </row>
    <row r="100" ht="15.75" customHeight="1">
      <c r="A100" s="1" t="s">
        <v>632</v>
      </c>
      <c r="B100" s="1" t="s">
        <v>248</v>
      </c>
      <c r="C100" s="1" t="s">
        <v>633</v>
      </c>
      <c r="D100" s="1" t="s">
        <v>634</v>
      </c>
      <c r="E100" s="1" t="s">
        <v>635</v>
      </c>
      <c r="F100" s="1" t="s">
        <v>64</v>
      </c>
      <c r="G100" s="1">
        <v>183.0</v>
      </c>
      <c r="H100" s="1" t="s">
        <v>50</v>
      </c>
      <c r="I100" s="1">
        <v>76.0</v>
      </c>
      <c r="J100" s="1">
        <v>34.0</v>
      </c>
      <c r="K100" s="1">
        <v>20.0</v>
      </c>
      <c r="L100" s="1">
        <v>42.0</v>
      </c>
      <c r="M100" s="1">
        <v>30.0</v>
      </c>
      <c r="N100" s="1" t="s">
        <v>51</v>
      </c>
      <c r="O100" s="1">
        <v>55.0</v>
      </c>
      <c r="P100" s="1">
        <v>25.0</v>
      </c>
      <c r="Q100" s="1">
        <v>15.0</v>
      </c>
      <c r="R100" s="1">
        <v>30.0</v>
      </c>
      <c r="S100" s="1">
        <v>23.0</v>
      </c>
      <c r="T100" s="1" t="s">
        <v>52</v>
      </c>
      <c r="U100" s="1">
        <v>50.0</v>
      </c>
      <c r="V100" s="1">
        <v>20.0</v>
      </c>
      <c r="W100" s="1">
        <v>14.0</v>
      </c>
      <c r="X100" s="1">
        <v>30.0</v>
      </c>
      <c r="Y100" s="1">
        <v>26.0</v>
      </c>
      <c r="Z100" s="1" t="s">
        <v>53</v>
      </c>
      <c r="AA100" s="1">
        <v>40.0</v>
      </c>
      <c r="AB100" s="1">
        <v>20.0</v>
      </c>
      <c r="AC100" s="1">
        <v>10.0</v>
      </c>
      <c r="AD100" s="1">
        <v>20.0</v>
      </c>
      <c r="AE100" s="1">
        <v>16.0</v>
      </c>
      <c r="AF100" s="1" t="s">
        <v>54</v>
      </c>
      <c r="AG100" s="1">
        <v>20.0</v>
      </c>
      <c r="AH100" s="1">
        <v>10.0</v>
      </c>
      <c r="AI100" s="1">
        <v>10.0</v>
      </c>
      <c r="AJ100" s="1">
        <v>10.0</v>
      </c>
      <c r="AK100" s="1">
        <v>9.0</v>
      </c>
      <c r="AL100" s="1">
        <v>173.0</v>
      </c>
      <c r="AM100" s="1">
        <v>10.0</v>
      </c>
      <c r="AN100" s="1" t="s">
        <v>55</v>
      </c>
      <c r="AO100" s="1" t="s">
        <v>55</v>
      </c>
      <c r="AP100" s="1" t="s">
        <v>636</v>
      </c>
      <c r="AQ100" s="3" t="str">
        <f>HYPERLINK("https://icf.clappia.com/app/GMB253374/submission/ERB39893135/ICF247370-GMB253374-50efiegl1a8400000000/SIG-20250703_094880o78.jpeg", "SIG-20250703_094880o78.jpeg")</f>
        <v>SIG-20250703_094880o78.jpeg</v>
      </c>
      <c r="AR100" s="1" t="s">
        <v>637</v>
      </c>
      <c r="AS100" s="3" t="str">
        <f>HYPERLINK("https://icf.clappia.com/app/GMB253374/submission/ERB39893135/ICF247370-GMB253374-3lfnl50ajf5e00000000/SIG-20250703_0950d54bc.jpeg", "SIG-20250703_0950d54bc.jpeg")</f>
        <v>SIG-20250703_0950d54bc.jpeg</v>
      </c>
      <c r="AT100" s="1" t="s">
        <v>638</v>
      </c>
      <c r="AU100" s="3" t="str">
        <f>HYPERLINK("https://icf.clappia.com/app/GMB253374/submission/ERB39893135/ICF247370-GMB253374-1heaoj8kml4a40000000/SIG-20250703_0950gpl0c.jpeg", "SIG-20250703_0950gpl0c.jpeg")</f>
        <v>SIG-20250703_0950gpl0c.jpeg</v>
      </c>
      <c r="AV100" s="3" t="str">
        <f>HYPERLINK("https://www.google.com/maps/place/7.8884333%2C-11.5762717", "7.8884333,-11.5762717")</f>
        <v>7.8884333,-11.5762717</v>
      </c>
    </row>
    <row r="101" ht="15.75" customHeight="1">
      <c r="A101" s="1" t="s">
        <v>639</v>
      </c>
      <c r="B101" s="1" t="s">
        <v>248</v>
      </c>
      <c r="C101" s="1" t="s">
        <v>640</v>
      </c>
      <c r="D101" s="1" t="s">
        <v>634</v>
      </c>
      <c r="E101" s="1" t="s">
        <v>641</v>
      </c>
      <c r="F101" s="1" t="s">
        <v>64</v>
      </c>
      <c r="G101" s="1">
        <v>208.0</v>
      </c>
      <c r="H101" s="1" t="s">
        <v>50</v>
      </c>
      <c r="I101" s="1">
        <v>55.0</v>
      </c>
      <c r="J101" s="1">
        <v>30.0</v>
      </c>
      <c r="K101" s="1">
        <v>30.0</v>
      </c>
      <c r="L101" s="1">
        <v>25.0</v>
      </c>
      <c r="M101" s="1">
        <v>25.0</v>
      </c>
      <c r="N101" s="1" t="s">
        <v>51</v>
      </c>
      <c r="O101" s="1">
        <v>52.0</v>
      </c>
      <c r="P101" s="1">
        <v>24.0</v>
      </c>
      <c r="Q101" s="1">
        <v>24.0</v>
      </c>
      <c r="R101" s="1">
        <v>28.0</v>
      </c>
      <c r="S101" s="1">
        <v>28.0</v>
      </c>
      <c r="T101" s="1" t="s">
        <v>52</v>
      </c>
      <c r="U101" s="1">
        <v>35.0</v>
      </c>
      <c r="V101" s="1">
        <v>12.0</v>
      </c>
      <c r="W101" s="1">
        <v>12.0</v>
      </c>
      <c r="X101" s="1">
        <v>20.0</v>
      </c>
      <c r="Y101" s="1">
        <v>20.0</v>
      </c>
      <c r="Z101" s="1" t="s">
        <v>53</v>
      </c>
      <c r="AA101" s="1">
        <v>37.0</v>
      </c>
      <c r="AB101" s="1">
        <v>19.0</v>
      </c>
      <c r="AC101" s="1">
        <v>19.0</v>
      </c>
      <c r="AD101" s="1">
        <v>18.0</v>
      </c>
      <c r="AE101" s="1">
        <v>18.0</v>
      </c>
      <c r="AF101" s="1" t="s">
        <v>54</v>
      </c>
      <c r="AG101" s="1">
        <v>26.0</v>
      </c>
      <c r="AH101" s="1">
        <v>10.0</v>
      </c>
      <c r="AI101" s="1">
        <v>10.0</v>
      </c>
      <c r="AJ101" s="1">
        <v>16.0</v>
      </c>
      <c r="AK101" s="1">
        <v>15.0</v>
      </c>
      <c r="AL101" s="1">
        <v>201.0</v>
      </c>
      <c r="AM101" s="1">
        <v>4.0</v>
      </c>
      <c r="AN101" s="1">
        <v>3.0</v>
      </c>
      <c r="AO101" s="1">
        <v>3.0</v>
      </c>
      <c r="AP101" s="1" t="s">
        <v>642</v>
      </c>
      <c r="AQ101" s="3" t="str">
        <f>HYPERLINK("https://icf.clappia.com/app/GMB253374/submission/FFH15961068/ICF247370-GMB253374-d1hph84i8c000000000/SIG-20250702_1216nego6.jpeg", "SIG-20250702_1216nego6.jpeg")</f>
        <v>SIG-20250702_1216nego6.jpeg</v>
      </c>
      <c r="AR101" s="1" t="s">
        <v>637</v>
      </c>
      <c r="AS101" s="3" t="str">
        <f>HYPERLINK("https://icf.clappia.com/app/GMB253374/submission/FFH15961068/ICF247370-GMB253374-3gdal8m5666c00000000/SIG-20250702_12361908l5.jpeg", "SIG-20250702_12361908l5.jpeg")</f>
        <v>SIG-20250702_12361908l5.jpeg</v>
      </c>
      <c r="AT101" s="1" t="s">
        <v>638</v>
      </c>
      <c r="AU101" s="3" t="str">
        <f>HYPERLINK("https://icf.clappia.com/app/GMB253374/submission/FFH15961068/ICF247370-GMB253374-24f3n64nlkdao0000000/SIG-20250702_123517jcil.jpeg", "SIG-20250702_123517jcil.jpeg")</f>
        <v>SIG-20250702_123517jcil.jpeg</v>
      </c>
      <c r="AV101" s="3" t="str">
        <f>HYPERLINK("https://www.google.com/maps/place/7.93403%2C-11.5715167", "7.93403,-11.5715167")</f>
        <v>7.93403,-11.5715167</v>
      </c>
    </row>
    <row r="102" ht="15.75" customHeight="1">
      <c r="A102" s="1" t="s">
        <v>643</v>
      </c>
      <c r="B102" s="1" t="s">
        <v>248</v>
      </c>
      <c r="C102" s="1" t="s">
        <v>644</v>
      </c>
      <c r="D102" s="1" t="s">
        <v>645</v>
      </c>
      <c r="E102" s="1" t="s">
        <v>646</v>
      </c>
      <c r="F102" s="1" t="s">
        <v>64</v>
      </c>
      <c r="G102" s="1">
        <v>232.0</v>
      </c>
      <c r="H102" s="1" t="s">
        <v>50</v>
      </c>
      <c r="I102" s="1">
        <v>53.0</v>
      </c>
      <c r="J102" s="1">
        <v>53.0</v>
      </c>
      <c r="K102" s="1">
        <v>48.0</v>
      </c>
      <c r="L102" s="1" t="s">
        <v>55</v>
      </c>
      <c r="M102" s="1" t="s">
        <v>55</v>
      </c>
      <c r="N102" s="1" t="s">
        <v>51</v>
      </c>
      <c r="O102" s="1">
        <v>56.0</v>
      </c>
      <c r="P102" s="1">
        <v>56.0</v>
      </c>
      <c r="Q102" s="1">
        <v>50.0</v>
      </c>
      <c r="R102" s="1" t="s">
        <v>55</v>
      </c>
      <c r="S102" s="1" t="s">
        <v>55</v>
      </c>
      <c r="T102" s="1" t="s">
        <v>52</v>
      </c>
      <c r="U102" s="1">
        <v>48.0</v>
      </c>
      <c r="V102" s="1">
        <v>48.0</v>
      </c>
      <c r="W102" s="1">
        <v>44.0</v>
      </c>
      <c r="X102" s="1" t="s">
        <v>55</v>
      </c>
      <c r="Y102" s="1" t="s">
        <v>55</v>
      </c>
      <c r="Z102" s="1" t="s">
        <v>53</v>
      </c>
      <c r="AA102" s="1" t="s">
        <v>55</v>
      </c>
      <c r="AB102" s="1" t="s">
        <v>55</v>
      </c>
      <c r="AC102" s="1" t="s">
        <v>55</v>
      </c>
      <c r="AD102" s="1" t="s">
        <v>55</v>
      </c>
      <c r="AE102" s="1" t="s">
        <v>55</v>
      </c>
      <c r="AF102" s="1" t="s">
        <v>54</v>
      </c>
      <c r="AG102" s="1" t="s">
        <v>55</v>
      </c>
      <c r="AH102" s="1" t="s">
        <v>55</v>
      </c>
      <c r="AI102" s="1" t="s">
        <v>55</v>
      </c>
      <c r="AJ102" s="1" t="s">
        <v>55</v>
      </c>
      <c r="AK102" s="1" t="s">
        <v>55</v>
      </c>
      <c r="AL102" s="1">
        <v>142.0</v>
      </c>
      <c r="AM102" s="1" t="s">
        <v>55</v>
      </c>
      <c r="AN102" s="1">
        <v>90.0</v>
      </c>
      <c r="AO102" s="1">
        <v>15.0</v>
      </c>
      <c r="AP102" s="1" t="s">
        <v>636</v>
      </c>
      <c r="AQ102" s="3" t="str">
        <f>HYPERLINK("https://icf.clappia.com/app/GMB253374/submission/QAI56636218/ICF247370-GMB253374-46k0ha5gj2bm00000000/SIG-20250630_121216ilg9.jpeg", "SIG-20250630_121216ilg9.jpeg")</f>
        <v>SIG-20250630_121216ilg9.jpeg</v>
      </c>
      <c r="AR102" s="1" t="s">
        <v>637</v>
      </c>
      <c r="AS102" s="3" t="str">
        <f>HYPERLINK("https://icf.clappia.com/app/GMB253374/submission/QAI56636218/ICF247370-GMB253374-5di7ojj5f95200000000/SIG-20250630_1211kc03j.jpeg", "SIG-20250630_1211kc03j.jpeg")</f>
        <v>SIG-20250630_1211kc03j.jpeg</v>
      </c>
      <c r="AT102" s="1" t="s">
        <v>647</v>
      </c>
      <c r="AU102" s="3" t="str">
        <f>HYPERLINK("https://icf.clappia.com/app/GMB253374/submission/QAI56636218/ICF247370-GMB253374-4dl419mbfa6c00000000/SIG-20250630_1153l1c6k.jpeg", "SIG-20250630_1153l1c6k.jpeg")</f>
        <v>SIG-20250630_1153l1c6k.jpeg</v>
      </c>
      <c r="AV102" s="3" t="str">
        <f>HYPERLINK("https://www.google.com/maps/place/7.9295783%2C-11.5762283", "7.9295783,-11.5762283")</f>
        <v>7.9295783,-11.5762283</v>
      </c>
    </row>
    <row r="103" ht="15.75" customHeight="1">
      <c r="A103" s="1" t="s">
        <v>648</v>
      </c>
      <c r="B103" s="1" t="s">
        <v>142</v>
      </c>
      <c r="C103" s="1" t="s">
        <v>649</v>
      </c>
      <c r="D103" s="1" t="s">
        <v>649</v>
      </c>
      <c r="E103" s="1" t="s">
        <v>650</v>
      </c>
      <c r="F103" s="1" t="s">
        <v>64</v>
      </c>
      <c r="G103" s="1">
        <v>185.0</v>
      </c>
      <c r="H103" s="1" t="s">
        <v>50</v>
      </c>
      <c r="I103" s="1">
        <v>52.0</v>
      </c>
      <c r="J103" s="1">
        <v>22.0</v>
      </c>
      <c r="K103" s="1">
        <v>22.0</v>
      </c>
      <c r="L103" s="1">
        <v>30.0</v>
      </c>
      <c r="M103" s="1">
        <v>30.0</v>
      </c>
      <c r="N103" s="1" t="s">
        <v>51</v>
      </c>
      <c r="O103" s="1">
        <v>42.0</v>
      </c>
      <c r="P103" s="1">
        <v>18.0</v>
      </c>
      <c r="Q103" s="1">
        <v>18.0</v>
      </c>
      <c r="R103" s="1">
        <v>24.0</v>
      </c>
      <c r="S103" s="1">
        <v>24.0</v>
      </c>
      <c r="T103" s="1" t="s">
        <v>52</v>
      </c>
      <c r="U103" s="1">
        <v>37.0</v>
      </c>
      <c r="V103" s="1">
        <v>21.0</v>
      </c>
      <c r="W103" s="1">
        <v>21.0</v>
      </c>
      <c r="X103" s="1">
        <v>16.0</v>
      </c>
      <c r="Y103" s="1">
        <v>16.0</v>
      </c>
      <c r="Z103" s="1" t="s">
        <v>53</v>
      </c>
      <c r="AA103" s="1">
        <v>29.0</v>
      </c>
      <c r="AB103" s="1">
        <v>14.0</v>
      </c>
      <c r="AC103" s="1">
        <v>14.0</v>
      </c>
      <c r="AD103" s="1">
        <v>15.0</v>
      </c>
      <c r="AE103" s="1">
        <v>15.0</v>
      </c>
      <c r="AF103" s="1" t="s">
        <v>54</v>
      </c>
      <c r="AG103" s="1">
        <v>25.0</v>
      </c>
      <c r="AH103" s="1">
        <v>11.0</v>
      </c>
      <c r="AI103" s="1">
        <v>11.0</v>
      </c>
      <c r="AJ103" s="1">
        <v>14.0</v>
      </c>
      <c r="AK103" s="1">
        <v>14.0</v>
      </c>
      <c r="AL103" s="1">
        <v>185.0</v>
      </c>
      <c r="AM103" s="1" t="s">
        <v>55</v>
      </c>
      <c r="AN103" s="1" t="s">
        <v>55</v>
      </c>
      <c r="AO103" s="1" t="s">
        <v>55</v>
      </c>
      <c r="AP103" s="1" t="s">
        <v>651</v>
      </c>
      <c r="AQ103" s="3" t="str">
        <f>HYPERLINK("https://icf.clappia.com/app/GMB253374/submission/YRS92823280/ICF247370-GMB253374-4o3h2409ff5600000000/SIG-20250703_1400n4hg1.jpeg", "SIG-20250703_1400n4hg1.jpeg")</f>
        <v>SIG-20250703_1400n4hg1.jpeg</v>
      </c>
      <c r="AR103" s="1" t="s">
        <v>652</v>
      </c>
      <c r="AS103" s="3" t="str">
        <f>HYPERLINK("https://icf.clappia.com/app/GMB253374/submission/YRS92823280/ICF247370-GMB253374-48h706lg9kim00000000/SIG-20250703_1401pnome.jpeg", "SIG-20250703_1401pnome.jpeg")</f>
        <v>SIG-20250703_1401pnome.jpeg</v>
      </c>
      <c r="AT103" s="1" t="s">
        <v>653</v>
      </c>
      <c r="AU103" s="3" t="str">
        <f>HYPERLINK("https://icf.clappia.com/app/GMB253374/submission/YRS92823280/ICF247370-GMB253374-1cpeh1mj3pgni0000000/SIG-20250703_13591h2o.jpeg", "SIG-20250703_13591h2o.jpeg")</f>
        <v>SIG-20250703_13591h2o.jpeg</v>
      </c>
      <c r="AV103" s="3" t="str">
        <f>HYPERLINK("https://www.google.com/maps/place/7.772375%2C-11.9856517", "7.772375,-11.9856517")</f>
        <v>7.772375,-11.9856517</v>
      </c>
    </row>
    <row r="104" ht="15.75" customHeight="1">
      <c r="A104" s="1" t="s">
        <v>654</v>
      </c>
      <c r="B104" s="1" t="s">
        <v>167</v>
      </c>
      <c r="C104" s="1" t="s">
        <v>655</v>
      </c>
      <c r="D104" s="1" t="s">
        <v>655</v>
      </c>
      <c r="E104" s="1" t="s">
        <v>656</v>
      </c>
      <c r="F104" s="1" t="s">
        <v>64</v>
      </c>
      <c r="G104" s="1">
        <v>125.0</v>
      </c>
      <c r="H104" s="1" t="s">
        <v>50</v>
      </c>
      <c r="I104" s="1">
        <v>67.0</v>
      </c>
      <c r="J104" s="1">
        <v>24.0</v>
      </c>
      <c r="K104" s="1">
        <v>24.0</v>
      </c>
      <c r="L104" s="1">
        <v>43.0</v>
      </c>
      <c r="M104" s="1">
        <v>43.0</v>
      </c>
      <c r="N104" s="1" t="s">
        <v>51</v>
      </c>
      <c r="O104" s="1">
        <v>16.0</v>
      </c>
      <c r="P104" s="1">
        <v>10.0</v>
      </c>
      <c r="Q104" s="1">
        <v>10.0</v>
      </c>
      <c r="R104" s="1">
        <v>6.0</v>
      </c>
      <c r="S104" s="1">
        <v>6.0</v>
      </c>
      <c r="T104" s="1" t="s">
        <v>52</v>
      </c>
      <c r="U104" s="1">
        <v>12.0</v>
      </c>
      <c r="V104" s="1">
        <v>8.0</v>
      </c>
      <c r="W104" s="1">
        <v>8.0</v>
      </c>
      <c r="X104" s="1">
        <v>4.0</v>
      </c>
      <c r="Y104" s="1">
        <v>4.0</v>
      </c>
      <c r="Z104" s="1" t="s">
        <v>53</v>
      </c>
      <c r="AA104" s="1">
        <v>19.0</v>
      </c>
      <c r="AB104" s="1">
        <v>13.0</v>
      </c>
      <c r="AC104" s="1">
        <v>13.0</v>
      </c>
      <c r="AD104" s="1">
        <v>6.0</v>
      </c>
      <c r="AE104" s="1">
        <v>6.0</v>
      </c>
      <c r="AF104" s="1" t="s">
        <v>54</v>
      </c>
      <c r="AG104" s="1">
        <v>11.0</v>
      </c>
      <c r="AH104" s="1">
        <v>7.0</v>
      </c>
      <c r="AI104" s="1">
        <v>7.0</v>
      </c>
      <c r="AJ104" s="1">
        <v>4.0</v>
      </c>
      <c r="AK104" s="1">
        <v>4.0</v>
      </c>
      <c r="AL104" s="1">
        <v>125.0</v>
      </c>
      <c r="AM104" s="1" t="s">
        <v>55</v>
      </c>
      <c r="AN104" s="1" t="s">
        <v>55</v>
      </c>
      <c r="AO104" s="1" t="s">
        <v>55</v>
      </c>
      <c r="AP104" s="1" t="s">
        <v>657</v>
      </c>
      <c r="AQ104" s="3" t="str">
        <f>HYPERLINK("https://icf.clappia.com/app/GMB253374/submission/FUX12163880/ICF247370-GMB253374-33b7n5k33fe800000000/SIG-20250703_1358b850n.jpeg", "SIG-20250703_1358b850n.jpeg")</f>
        <v>SIG-20250703_1358b850n.jpeg</v>
      </c>
      <c r="AR104" s="1" t="s">
        <v>658</v>
      </c>
      <c r="AS104" s="3" t="str">
        <f>HYPERLINK("https://icf.clappia.com/app/GMB253374/submission/FUX12163880/ICF247370-GMB253374-4ai29739oglg00000000/SIG-20250703_1359172ei0.jpeg", "SIG-20250703_1359172ei0.jpeg")</f>
        <v>SIG-20250703_1359172ei0.jpeg</v>
      </c>
      <c r="AT104" s="1" t="s">
        <v>659</v>
      </c>
      <c r="AU104" s="3" t="str">
        <f>HYPERLINK("https://icf.clappia.com/app/GMB253374/submission/FUX12163880/ICF247370-GMB253374-3751n0cc12920000000/SIG-20250703_1400gp0mj.jpeg", "SIG-20250703_1400gp0mj.jpeg")</f>
        <v>SIG-20250703_1400gp0mj.jpeg</v>
      </c>
      <c r="AV104" s="3" t="str">
        <f>HYPERLINK("https://www.google.com/maps/place/7.8792017%2C-11.8221717", "7.8792017,-11.8221717")</f>
        <v>7.8792017,-11.8221717</v>
      </c>
    </row>
    <row r="105" ht="15.75" customHeight="1">
      <c r="A105" s="1" t="s">
        <v>660</v>
      </c>
      <c r="B105" s="1" t="s">
        <v>356</v>
      </c>
      <c r="C105" s="1" t="s">
        <v>661</v>
      </c>
      <c r="D105" s="1" t="s">
        <v>662</v>
      </c>
      <c r="E105" s="1" t="s">
        <v>663</v>
      </c>
      <c r="F105" s="1" t="s">
        <v>64</v>
      </c>
      <c r="G105" s="1">
        <v>230.0</v>
      </c>
      <c r="H105" s="1" t="s">
        <v>50</v>
      </c>
      <c r="I105" s="1">
        <v>84.0</v>
      </c>
      <c r="J105" s="1">
        <v>40.0</v>
      </c>
      <c r="K105" s="1">
        <v>30.0</v>
      </c>
      <c r="L105" s="1">
        <v>44.0</v>
      </c>
      <c r="M105" s="1">
        <v>33.0</v>
      </c>
      <c r="N105" s="1" t="s">
        <v>51</v>
      </c>
      <c r="O105" s="1">
        <v>63.0</v>
      </c>
      <c r="P105" s="1">
        <v>30.0</v>
      </c>
      <c r="Q105" s="1">
        <v>22.0</v>
      </c>
      <c r="R105" s="1">
        <v>33.0</v>
      </c>
      <c r="S105" s="1">
        <v>26.0</v>
      </c>
      <c r="T105" s="1" t="s">
        <v>52</v>
      </c>
      <c r="U105" s="1">
        <v>42.0</v>
      </c>
      <c r="V105" s="1">
        <v>20.0</v>
      </c>
      <c r="W105" s="1">
        <v>12.0</v>
      </c>
      <c r="X105" s="1">
        <v>22.0</v>
      </c>
      <c r="Y105" s="1">
        <v>18.0</v>
      </c>
      <c r="Z105" s="1" t="s">
        <v>53</v>
      </c>
      <c r="AA105" s="1">
        <v>23.0</v>
      </c>
      <c r="AB105" s="1">
        <v>10.0</v>
      </c>
      <c r="AC105" s="1">
        <v>8.0</v>
      </c>
      <c r="AD105" s="1">
        <v>13.0</v>
      </c>
      <c r="AE105" s="1">
        <v>8.0</v>
      </c>
      <c r="AF105" s="1" t="s">
        <v>54</v>
      </c>
      <c r="AG105" s="1">
        <v>18.0</v>
      </c>
      <c r="AH105" s="1">
        <v>8.0</v>
      </c>
      <c r="AI105" s="1">
        <v>7.0</v>
      </c>
      <c r="AJ105" s="1">
        <v>10.0</v>
      </c>
      <c r="AK105" s="1">
        <v>9.0</v>
      </c>
      <c r="AL105" s="1">
        <v>173.0</v>
      </c>
      <c r="AM105" s="1" t="s">
        <v>55</v>
      </c>
      <c r="AN105" s="1">
        <v>57.0</v>
      </c>
      <c r="AO105" s="1">
        <v>57.0</v>
      </c>
      <c r="AP105" s="1" t="s">
        <v>664</v>
      </c>
      <c r="AQ105" s="3" t="str">
        <f>HYPERLINK("https://icf.clappia.com/app/GMB253374/submission/EVV94485088/ICF247370-GMB253374-43lfbnn2gm4e00000000/SIG-20250701_151963cn1.jpeg", "SIG-20250701_151963cn1.jpeg")</f>
        <v>SIG-20250701_151963cn1.jpeg</v>
      </c>
      <c r="AR105" s="1" t="s">
        <v>388</v>
      </c>
      <c r="AS105" s="3" t="str">
        <f>HYPERLINK("https://icf.clappia.com/app/GMB253374/submission/EVV94485088/ICF247370-GMB253374-4ha52jloo2fk00000000/SIG-20250701_1519i9eib.jpeg", "SIG-20250701_1519i9eib.jpeg")</f>
        <v>SIG-20250701_1519i9eib.jpeg</v>
      </c>
      <c r="AT105" s="1" t="s">
        <v>389</v>
      </c>
      <c r="AU105" s="3" t="str">
        <f>HYPERLINK("https://icf.clappia.com/app/GMB253374/submission/EVV94485088/ICF247370-GMB253374-4gdcg9ein29k00000000/SIG-20250701_15204a2c3.jpeg", "SIG-20250701_15204a2c3.jpeg")</f>
        <v>SIG-20250701_15204a2c3.jpeg</v>
      </c>
      <c r="AV105" s="3" t="str">
        <f>HYPERLINK("https://www.google.com/maps/place/8.21635%2C-11.6019433", "8.21635,-11.6019433")</f>
        <v>8.21635,-11.6019433</v>
      </c>
    </row>
    <row r="106" ht="15.75" customHeight="1">
      <c r="A106" s="1" t="s">
        <v>665</v>
      </c>
      <c r="B106" s="1" t="s">
        <v>161</v>
      </c>
      <c r="C106" s="1" t="s">
        <v>662</v>
      </c>
      <c r="D106" s="1" t="s">
        <v>662</v>
      </c>
      <c r="E106" s="1" t="s">
        <v>666</v>
      </c>
      <c r="F106" s="1" t="s">
        <v>64</v>
      </c>
      <c r="G106" s="1">
        <v>511.0</v>
      </c>
      <c r="H106" s="1" t="s">
        <v>50</v>
      </c>
      <c r="I106" s="1">
        <v>138.0</v>
      </c>
      <c r="J106" s="1">
        <v>62.0</v>
      </c>
      <c r="K106" s="1">
        <v>42.0</v>
      </c>
      <c r="L106" s="1">
        <v>76.0</v>
      </c>
      <c r="M106" s="1">
        <v>39.0</v>
      </c>
      <c r="N106" s="1" t="s">
        <v>51</v>
      </c>
      <c r="O106" s="1">
        <v>69.0</v>
      </c>
      <c r="P106" s="1">
        <v>30.0</v>
      </c>
      <c r="Q106" s="1">
        <v>26.0</v>
      </c>
      <c r="R106" s="1">
        <v>39.0</v>
      </c>
      <c r="S106" s="1">
        <v>24.0</v>
      </c>
      <c r="T106" s="1" t="s">
        <v>52</v>
      </c>
      <c r="U106" s="1">
        <v>87.0</v>
      </c>
      <c r="V106" s="1">
        <v>43.0</v>
      </c>
      <c r="W106" s="1">
        <v>30.0</v>
      </c>
      <c r="X106" s="1">
        <v>44.0</v>
      </c>
      <c r="Y106" s="1">
        <v>27.0</v>
      </c>
      <c r="Z106" s="1" t="s">
        <v>53</v>
      </c>
      <c r="AA106" s="1">
        <v>89.0</v>
      </c>
      <c r="AB106" s="1">
        <v>45.0</v>
      </c>
      <c r="AC106" s="1">
        <v>26.0</v>
      </c>
      <c r="AD106" s="1">
        <v>44.0</v>
      </c>
      <c r="AE106" s="1">
        <v>29.0</v>
      </c>
      <c r="AF106" s="1" t="s">
        <v>54</v>
      </c>
      <c r="AG106" s="1">
        <v>128.0</v>
      </c>
      <c r="AH106" s="1">
        <v>63.0</v>
      </c>
      <c r="AI106" s="1">
        <v>22.0</v>
      </c>
      <c r="AJ106" s="1">
        <v>65.0</v>
      </c>
      <c r="AK106" s="1">
        <v>47.0</v>
      </c>
      <c r="AL106" s="1">
        <v>312.0</v>
      </c>
      <c r="AM106" s="1" t="s">
        <v>55</v>
      </c>
      <c r="AN106" s="1">
        <v>199.0</v>
      </c>
      <c r="AO106" s="1">
        <v>199.0</v>
      </c>
      <c r="AP106" s="1" t="s">
        <v>667</v>
      </c>
      <c r="AQ106" s="3" t="str">
        <f>HYPERLINK("https://icf.clappia.com/app/GMB253374/submission/TDO42338495/ICF247370-GMB253374-5b11al75mdmi00000000/SIG-20250703_1212ea15a.jpeg", "SIG-20250703_1212ea15a.jpeg")</f>
        <v>SIG-20250703_1212ea15a.jpeg</v>
      </c>
      <c r="AR106" s="1" t="s">
        <v>668</v>
      </c>
      <c r="AS106" s="3" t="str">
        <f>HYPERLINK("https://icf.clappia.com/app/GMB253374/submission/TDO42338495/ICF247370-GMB253374-25g5ei8f7721g0000000/SIG-20250703_1211dm7pi.jpeg", "SIG-20250703_1211dm7pi.jpeg")</f>
        <v>SIG-20250703_1211dm7pi.jpeg</v>
      </c>
      <c r="AT106" s="1" t="s">
        <v>669</v>
      </c>
      <c r="AU106" s="3" t="str">
        <f>HYPERLINK("https://icf.clappia.com/app/GMB253374/submission/TDO42338495/ICF247370-GMB253374-518nplo1bpei00000000/SIG-20250703_1212142f6j.jpeg", "SIG-20250703_1212142f6j.jpeg")</f>
        <v>SIG-20250703_1212142f6j.jpeg</v>
      </c>
      <c r="AV106" s="3" t="str">
        <f>HYPERLINK("https://www.google.com/maps/place/7.9733333%2C-11.76794", "7.9733333,-11.76794")</f>
        <v>7.9733333,-11.76794</v>
      </c>
    </row>
    <row r="107" ht="15.75" customHeight="1">
      <c r="A107" s="1" t="s">
        <v>670</v>
      </c>
      <c r="B107" s="1" t="s">
        <v>356</v>
      </c>
      <c r="C107" s="1" t="s">
        <v>671</v>
      </c>
      <c r="D107" s="1" t="s">
        <v>672</v>
      </c>
      <c r="E107" s="1" t="s">
        <v>673</v>
      </c>
      <c r="F107" s="1" t="s">
        <v>64</v>
      </c>
      <c r="G107" s="1">
        <v>215.0</v>
      </c>
      <c r="H107" s="1" t="s">
        <v>50</v>
      </c>
      <c r="I107" s="1">
        <v>86.0</v>
      </c>
      <c r="J107" s="1">
        <v>40.0</v>
      </c>
      <c r="K107" s="1">
        <v>30.0</v>
      </c>
      <c r="L107" s="1">
        <v>46.0</v>
      </c>
      <c r="M107" s="1">
        <v>36.0</v>
      </c>
      <c r="N107" s="1" t="s">
        <v>51</v>
      </c>
      <c r="O107" s="1">
        <v>61.0</v>
      </c>
      <c r="P107" s="1">
        <v>26.0</v>
      </c>
      <c r="Q107" s="1">
        <v>20.0</v>
      </c>
      <c r="R107" s="1">
        <v>35.0</v>
      </c>
      <c r="S107" s="1">
        <v>25.0</v>
      </c>
      <c r="T107" s="1" t="s">
        <v>52</v>
      </c>
      <c r="U107" s="1">
        <v>42.0</v>
      </c>
      <c r="V107" s="1">
        <v>22.0</v>
      </c>
      <c r="W107" s="1">
        <v>20.0</v>
      </c>
      <c r="X107" s="1">
        <v>20.0</v>
      </c>
      <c r="Y107" s="1">
        <v>20.0</v>
      </c>
      <c r="Z107" s="1" t="s">
        <v>53</v>
      </c>
      <c r="AA107" s="1">
        <v>45.0</v>
      </c>
      <c r="AB107" s="1">
        <v>20.0</v>
      </c>
      <c r="AC107" s="1">
        <v>20.0</v>
      </c>
      <c r="AD107" s="1">
        <v>25.0</v>
      </c>
      <c r="AE107" s="1">
        <v>25.0</v>
      </c>
      <c r="AF107" s="1" t="s">
        <v>54</v>
      </c>
      <c r="AG107" s="1">
        <v>19.0</v>
      </c>
      <c r="AH107" s="1">
        <v>8.0</v>
      </c>
      <c r="AI107" s="1">
        <v>8.0</v>
      </c>
      <c r="AJ107" s="1">
        <v>11.0</v>
      </c>
      <c r="AK107" s="1">
        <v>11.0</v>
      </c>
      <c r="AL107" s="1">
        <v>215.0</v>
      </c>
      <c r="AM107" s="1" t="s">
        <v>55</v>
      </c>
      <c r="AN107" s="1" t="s">
        <v>55</v>
      </c>
      <c r="AO107" s="1" t="s">
        <v>55</v>
      </c>
      <c r="AP107" s="1" t="s">
        <v>664</v>
      </c>
      <c r="AQ107" s="3" t="str">
        <f>HYPERLINK("https://icf.clappia.com/app/GMB253374/submission/STQ20245903/ICF247370-GMB253374-3maa48nm09e400000000/SIG-20250630_153915ajbo.jpeg", "SIG-20250630_153915ajbo.jpeg")</f>
        <v>SIG-20250630_153915ajbo.jpeg</v>
      </c>
      <c r="AR107" s="1" t="s">
        <v>388</v>
      </c>
      <c r="AS107" s="3" t="str">
        <f>HYPERLINK("https://icf.clappia.com/app/GMB253374/submission/STQ20245903/ICF247370-GMB253374-78ndokjh4oi40000000/SIG-20250630_1540k8g2c.jpeg", "SIG-20250630_1540k8g2c.jpeg")</f>
        <v>SIG-20250630_1540k8g2c.jpeg</v>
      </c>
      <c r="AT107" s="1" t="s">
        <v>674</v>
      </c>
      <c r="AU107" s="3" t="str">
        <f>HYPERLINK("https://icf.clappia.com/app/GMB253374/submission/STQ20245903/ICF247370-GMB253374-3k6h513c3ih600000000/SIG-20250630_1541e1693.jpeg", "SIG-20250630_1541e1693.jpeg")</f>
        <v>SIG-20250630_1541e1693.jpeg</v>
      </c>
      <c r="AV107" s="3" t="str">
        <f>HYPERLINK("https://www.google.com/maps/place/8.2164267%2C-11.602005", "8.2164267,-11.602005")</f>
        <v>8.2164267,-11.602005</v>
      </c>
    </row>
    <row r="108" ht="15.75" customHeight="1">
      <c r="A108" s="1" t="s">
        <v>675</v>
      </c>
      <c r="B108" s="1" t="s">
        <v>167</v>
      </c>
      <c r="C108" s="1" t="s">
        <v>676</v>
      </c>
      <c r="D108" s="1" t="s">
        <v>676</v>
      </c>
      <c r="E108" s="1" t="s">
        <v>677</v>
      </c>
      <c r="F108" s="1" t="s">
        <v>64</v>
      </c>
      <c r="G108" s="1">
        <v>150.0</v>
      </c>
      <c r="H108" s="1" t="s">
        <v>50</v>
      </c>
      <c r="I108" s="1">
        <v>35.0</v>
      </c>
      <c r="J108" s="1">
        <v>24.0</v>
      </c>
      <c r="K108" s="1">
        <v>24.0</v>
      </c>
      <c r="L108" s="1">
        <v>11.0</v>
      </c>
      <c r="M108" s="1">
        <v>11.0</v>
      </c>
      <c r="N108" s="1" t="s">
        <v>51</v>
      </c>
      <c r="O108" s="1">
        <v>29.0</v>
      </c>
      <c r="P108" s="1">
        <v>17.0</v>
      </c>
      <c r="Q108" s="1">
        <v>17.0</v>
      </c>
      <c r="R108" s="1">
        <v>12.0</v>
      </c>
      <c r="S108" s="1">
        <v>12.0</v>
      </c>
      <c r="T108" s="1" t="s">
        <v>52</v>
      </c>
      <c r="U108" s="1">
        <v>36.0</v>
      </c>
      <c r="V108" s="1">
        <v>20.0</v>
      </c>
      <c r="W108" s="1">
        <v>20.0</v>
      </c>
      <c r="X108" s="1">
        <v>16.0</v>
      </c>
      <c r="Y108" s="1">
        <v>16.0</v>
      </c>
      <c r="Z108" s="1" t="s">
        <v>53</v>
      </c>
      <c r="AA108" s="1">
        <v>33.0</v>
      </c>
      <c r="AB108" s="1">
        <v>18.0</v>
      </c>
      <c r="AC108" s="1">
        <v>18.0</v>
      </c>
      <c r="AD108" s="1">
        <v>15.0</v>
      </c>
      <c r="AE108" s="1">
        <v>15.0</v>
      </c>
      <c r="AF108" s="1" t="s">
        <v>54</v>
      </c>
      <c r="AG108" s="1">
        <v>15.0</v>
      </c>
      <c r="AH108" s="1">
        <v>10.0</v>
      </c>
      <c r="AI108" s="1">
        <v>10.0</v>
      </c>
      <c r="AJ108" s="1">
        <v>5.0</v>
      </c>
      <c r="AK108" s="1">
        <v>5.0</v>
      </c>
      <c r="AL108" s="1">
        <v>148.0</v>
      </c>
      <c r="AM108" s="1" t="s">
        <v>55</v>
      </c>
      <c r="AN108" s="1">
        <v>2.0</v>
      </c>
      <c r="AO108" s="1">
        <v>2.0</v>
      </c>
      <c r="AP108" s="1" t="s">
        <v>678</v>
      </c>
      <c r="AQ108" s="3" t="str">
        <f>HYPERLINK("https://icf.clappia.com/app/GMB253374/submission/VBT72418474/ICF247370-GMB253374-5a1m15okff9600000000/SIG-20250703_1233jh50p.jpeg", "SIG-20250703_1233jh50p.jpeg")</f>
        <v>SIG-20250703_1233jh50p.jpeg</v>
      </c>
      <c r="AR108" s="1" t="s">
        <v>679</v>
      </c>
      <c r="AS108" s="3" t="str">
        <f>HYPERLINK("https://icf.clappia.com/app/GMB253374/submission/VBT72418474/ICF247370-GMB253374-3bil2879mn8c00000000/SIG-20250703_1234109i2c.jpeg", "SIG-20250703_1234109i2c.jpeg")</f>
        <v>SIG-20250703_1234109i2c.jpeg</v>
      </c>
      <c r="AT108" s="1" t="s">
        <v>680</v>
      </c>
      <c r="AU108" s="3" t="str">
        <f>HYPERLINK("https://icf.clappia.com/app/GMB253374/submission/VBT72418474/ICF247370-GMB253374-5i5plap595go00000000/SIG-20250703_124711bghc.jpeg", "SIG-20250703_124711bghc.jpeg")</f>
        <v>SIG-20250703_124711bghc.jpeg</v>
      </c>
      <c r="AV108" s="3" t="str">
        <f>HYPERLINK("https://www.google.com/maps/place/7.7728165%2C-11.722665", "7.7728165,-11.722665")</f>
        <v>7.7728165,-11.722665</v>
      </c>
    </row>
    <row r="109" ht="15.75" customHeight="1">
      <c r="A109" s="1" t="s">
        <v>681</v>
      </c>
      <c r="B109" s="1" t="s">
        <v>167</v>
      </c>
      <c r="C109" s="1" t="s">
        <v>682</v>
      </c>
      <c r="D109" s="1" t="s">
        <v>682</v>
      </c>
      <c r="E109" s="1" t="s">
        <v>683</v>
      </c>
      <c r="F109" s="1" t="s">
        <v>64</v>
      </c>
      <c r="G109" s="1">
        <v>250.0</v>
      </c>
      <c r="H109" s="1" t="s">
        <v>50</v>
      </c>
      <c r="I109" s="1">
        <v>78.0</v>
      </c>
      <c r="J109" s="1">
        <v>40.0</v>
      </c>
      <c r="K109" s="1">
        <v>39.0</v>
      </c>
      <c r="L109" s="1">
        <v>38.0</v>
      </c>
      <c r="M109" s="1">
        <v>37.0</v>
      </c>
      <c r="N109" s="1" t="s">
        <v>51</v>
      </c>
      <c r="O109" s="1">
        <v>70.0</v>
      </c>
      <c r="P109" s="1">
        <v>29.0</v>
      </c>
      <c r="Q109" s="1">
        <v>29.0</v>
      </c>
      <c r="R109" s="1">
        <v>41.0</v>
      </c>
      <c r="S109" s="1">
        <v>39.0</v>
      </c>
      <c r="T109" s="1" t="s">
        <v>52</v>
      </c>
      <c r="U109" s="1">
        <v>26.0</v>
      </c>
      <c r="V109" s="1">
        <v>15.0</v>
      </c>
      <c r="W109" s="1">
        <v>15.0</v>
      </c>
      <c r="X109" s="1">
        <v>11.0</v>
      </c>
      <c r="Y109" s="1">
        <v>11.0</v>
      </c>
      <c r="Z109" s="1" t="s">
        <v>53</v>
      </c>
      <c r="AA109" s="1">
        <v>38.0</v>
      </c>
      <c r="AB109" s="1">
        <v>17.0</v>
      </c>
      <c r="AC109" s="1">
        <v>17.0</v>
      </c>
      <c r="AD109" s="1">
        <v>21.0</v>
      </c>
      <c r="AE109" s="1">
        <v>20.0</v>
      </c>
      <c r="AF109" s="1" t="s">
        <v>54</v>
      </c>
      <c r="AG109" s="1">
        <v>34.0</v>
      </c>
      <c r="AH109" s="1">
        <v>18.0</v>
      </c>
      <c r="AI109" s="1">
        <v>18.0</v>
      </c>
      <c r="AJ109" s="1">
        <v>16.0</v>
      </c>
      <c r="AK109" s="1">
        <v>16.0</v>
      </c>
      <c r="AL109" s="1">
        <v>241.0</v>
      </c>
      <c r="AM109" s="1">
        <v>9.0</v>
      </c>
      <c r="AN109" s="1" t="s">
        <v>55</v>
      </c>
      <c r="AO109" s="1" t="s">
        <v>55</v>
      </c>
      <c r="AP109" s="1" t="s">
        <v>684</v>
      </c>
      <c r="AQ109" s="3" t="str">
        <f>HYPERLINK("https://icf.clappia.com/app/GMB253374/submission/ALR43377339/ICF247370-GMB253374-4f3be3eg457c00000000/SIG-20250702_140110828l.jpeg", "SIG-20250702_140110828l.jpeg")</f>
        <v>SIG-20250702_140110828l.jpeg</v>
      </c>
      <c r="AR109" s="1" t="s">
        <v>685</v>
      </c>
      <c r="AS109" s="3" t="str">
        <f>HYPERLINK("https://icf.clappia.com/app/GMB253374/submission/ALR43377339/ICF247370-GMB253374-3pjgmpianiba00000000/SIG-20250702_1447kh60a.jpeg", "SIG-20250702_1447kh60a.jpeg")</f>
        <v>SIG-20250702_1447kh60a.jpeg</v>
      </c>
      <c r="AT109" s="1" t="s">
        <v>686</v>
      </c>
      <c r="AU109" s="3" t="str">
        <f>HYPERLINK("https://icf.clappia.com/app/GMB253374/submission/ALR43377339/ICF247370-GMB253374-1lpjlbjg4jc880000000/SIG-20250702_14475jbc4.jpeg", "SIG-20250702_14475jbc4.jpeg")</f>
        <v>SIG-20250702_14475jbc4.jpeg</v>
      </c>
      <c r="AV109" s="3" t="str">
        <f>HYPERLINK("https://www.google.com/maps/place/7.7802122%2C-11.7243108", "7.7802122,-11.7243108")</f>
        <v>7.7802122,-11.7243108</v>
      </c>
    </row>
    <row r="110" ht="15.75" customHeight="1">
      <c r="A110" s="1" t="s">
        <v>687</v>
      </c>
      <c r="B110" s="1" t="s">
        <v>167</v>
      </c>
      <c r="C110" s="1" t="s">
        <v>682</v>
      </c>
      <c r="D110" s="1" t="s">
        <v>682</v>
      </c>
      <c r="E110" s="1" t="s">
        <v>688</v>
      </c>
      <c r="F110" s="1" t="s">
        <v>64</v>
      </c>
      <c r="G110" s="1">
        <v>200.0</v>
      </c>
      <c r="H110" s="1" t="s">
        <v>50</v>
      </c>
      <c r="I110" s="1">
        <v>89.0</v>
      </c>
      <c r="J110" s="1">
        <v>36.0</v>
      </c>
      <c r="K110" s="1">
        <v>36.0</v>
      </c>
      <c r="L110" s="1">
        <v>53.0</v>
      </c>
      <c r="M110" s="1">
        <v>53.0</v>
      </c>
      <c r="N110" s="1" t="s">
        <v>51</v>
      </c>
      <c r="O110" s="1">
        <v>55.0</v>
      </c>
      <c r="P110" s="1">
        <v>19.0</v>
      </c>
      <c r="Q110" s="1">
        <v>19.0</v>
      </c>
      <c r="R110" s="1">
        <v>36.0</v>
      </c>
      <c r="S110" s="1">
        <v>36.0</v>
      </c>
      <c r="T110" s="1" t="s">
        <v>52</v>
      </c>
      <c r="U110" s="1">
        <v>21.0</v>
      </c>
      <c r="V110" s="1">
        <v>12.0</v>
      </c>
      <c r="W110" s="1">
        <v>12.0</v>
      </c>
      <c r="X110" s="1">
        <v>9.0</v>
      </c>
      <c r="Y110" s="1">
        <v>9.0</v>
      </c>
      <c r="Z110" s="1" t="s">
        <v>53</v>
      </c>
      <c r="AA110" s="1">
        <v>23.0</v>
      </c>
      <c r="AB110" s="1">
        <v>8.0</v>
      </c>
      <c r="AC110" s="1">
        <v>8.0</v>
      </c>
      <c r="AD110" s="1">
        <v>15.0</v>
      </c>
      <c r="AE110" s="1">
        <v>15.0</v>
      </c>
      <c r="AF110" s="1" t="s">
        <v>54</v>
      </c>
      <c r="AG110" s="1">
        <v>12.0</v>
      </c>
      <c r="AH110" s="1">
        <v>7.0</v>
      </c>
      <c r="AI110" s="1">
        <v>7.0</v>
      </c>
      <c r="AJ110" s="1">
        <v>5.0</v>
      </c>
      <c r="AK110" s="1">
        <v>5.0</v>
      </c>
      <c r="AL110" s="1">
        <v>200.0</v>
      </c>
      <c r="AM110" s="1" t="s">
        <v>55</v>
      </c>
      <c r="AN110" s="1" t="s">
        <v>55</v>
      </c>
      <c r="AO110" s="1" t="s">
        <v>55</v>
      </c>
      <c r="AP110" s="1" t="s">
        <v>181</v>
      </c>
      <c r="AQ110" s="3" t="str">
        <f>HYPERLINK("https://icf.clappia.com/app/GMB253374/submission/RBY69606144/ICF247370-GMB253374-62kkgdoh8oo600000000/SIG-20250703_13471330ci.jpeg", "SIG-20250703_13471330ci.jpeg")</f>
        <v>SIG-20250703_13471330ci.jpeg</v>
      </c>
      <c r="AR110" s="1" t="s">
        <v>152</v>
      </c>
      <c r="AS110" s="3" t="str">
        <f>HYPERLINK("https://icf.clappia.com/app/GMB253374/submission/RBY69606144/ICF247370-GMB253374-2i09ipi7oi0g00000000/SIG-20250703_13485mhnb.jpeg", "SIG-20250703_13485mhnb.jpeg")</f>
        <v>SIG-20250703_13485mhnb.jpeg</v>
      </c>
      <c r="AT110" s="1" t="s">
        <v>153</v>
      </c>
      <c r="AU110" s="3" t="str">
        <f>HYPERLINK("https://icf.clappia.com/app/GMB253374/submission/RBY69606144/ICF247370-GMB253374-493lfcb01gf800000000/SIG-20250703_134914630l.jpeg", "SIG-20250703_134914630l.jpeg")</f>
        <v>SIG-20250703_134914630l.jpeg</v>
      </c>
      <c r="AV110" s="3" t="str">
        <f>HYPERLINK("https://www.google.com/maps/place/7.7950133%2C-11.8472979", "7.7950133,-11.8472979")</f>
        <v>7.7950133,-11.8472979</v>
      </c>
    </row>
    <row r="111" ht="15.75" customHeight="1">
      <c r="A111" s="1" t="s">
        <v>689</v>
      </c>
      <c r="B111" s="1" t="s">
        <v>690</v>
      </c>
      <c r="C111" s="1" t="s">
        <v>691</v>
      </c>
      <c r="D111" s="1" t="s">
        <v>691</v>
      </c>
      <c r="E111" s="1" t="s">
        <v>692</v>
      </c>
      <c r="F111" s="1" t="s">
        <v>64</v>
      </c>
      <c r="G111" s="1">
        <v>75.0</v>
      </c>
      <c r="H111" s="1" t="s">
        <v>50</v>
      </c>
      <c r="I111" s="1">
        <v>25.0</v>
      </c>
      <c r="J111" s="1">
        <v>15.0</v>
      </c>
      <c r="K111" s="1">
        <v>15.0</v>
      </c>
      <c r="L111" s="1">
        <v>10.0</v>
      </c>
      <c r="M111" s="1">
        <v>10.0</v>
      </c>
      <c r="N111" s="1" t="s">
        <v>51</v>
      </c>
      <c r="O111" s="1">
        <v>24.0</v>
      </c>
      <c r="P111" s="1">
        <v>14.0</v>
      </c>
      <c r="Q111" s="1">
        <v>14.0</v>
      </c>
      <c r="R111" s="1">
        <v>10.0</v>
      </c>
      <c r="S111" s="1">
        <v>10.0</v>
      </c>
      <c r="T111" s="1" t="s">
        <v>52</v>
      </c>
      <c r="U111" s="1">
        <v>14.0</v>
      </c>
      <c r="V111" s="1">
        <v>6.0</v>
      </c>
      <c r="W111" s="1">
        <v>6.0</v>
      </c>
      <c r="X111" s="1">
        <v>8.0</v>
      </c>
      <c r="Y111" s="1">
        <v>8.0</v>
      </c>
      <c r="Z111" s="1" t="s">
        <v>53</v>
      </c>
      <c r="AA111" s="1">
        <v>9.0</v>
      </c>
      <c r="AB111" s="1">
        <v>5.0</v>
      </c>
      <c r="AC111" s="1">
        <v>5.0</v>
      </c>
      <c r="AD111" s="1">
        <v>4.0</v>
      </c>
      <c r="AE111" s="1">
        <v>4.0</v>
      </c>
      <c r="AF111" s="1" t="s">
        <v>54</v>
      </c>
      <c r="AG111" s="1">
        <v>3.0</v>
      </c>
      <c r="AH111" s="1">
        <v>2.0</v>
      </c>
      <c r="AI111" s="1">
        <v>2.0</v>
      </c>
      <c r="AJ111" s="1">
        <v>1.0</v>
      </c>
      <c r="AK111" s="1">
        <v>1.0</v>
      </c>
      <c r="AL111" s="1">
        <v>75.0</v>
      </c>
      <c r="AM111" s="1" t="s">
        <v>55</v>
      </c>
      <c r="AN111" s="1" t="s">
        <v>55</v>
      </c>
      <c r="AO111" s="1" t="s">
        <v>55</v>
      </c>
      <c r="AP111" s="1" t="s">
        <v>693</v>
      </c>
      <c r="AQ111" s="3" t="str">
        <f>HYPERLINK("https://icf.clappia.com/app/GMB253374/submission/XRK27638209/ICF247370-GMB253374-1oio9cgjpbni80000000/SIG-20250703_13538fkha.jpeg", "SIG-20250703_13538fkha.jpeg")</f>
        <v>SIG-20250703_13538fkha.jpeg</v>
      </c>
      <c r="AR111" s="1" t="s">
        <v>694</v>
      </c>
      <c r="AS111" s="3" t="str">
        <f>HYPERLINK("https://icf.clappia.com/app/GMB253374/submission/XRK27638209/ICF247370-GMB253374-47m6nn4jada60000000/SIG-20250703_135311l63f.jpeg", "SIG-20250703_135311l63f.jpeg")</f>
        <v>SIG-20250703_135311l63f.jpeg</v>
      </c>
      <c r="AT111" s="1" t="s">
        <v>695</v>
      </c>
      <c r="AU111" s="3" t="str">
        <f>HYPERLINK("https://icf.clappia.com/app/GMB253374/submission/XRK27638209/ICF247370-GMB253374-4e1lf4g4j98600000000/SIG-20250703_13534lj1n.jpeg", "SIG-20250703_13534lj1n.jpeg")</f>
        <v>SIG-20250703_13534lj1n.jpeg</v>
      </c>
      <c r="AV111" s="3" t="str">
        <f>HYPERLINK("https://www.google.com/maps/place/8.8403133%2C-12.029895", "8.8403133,-12.029895")</f>
        <v>8.8403133,-12.029895</v>
      </c>
    </row>
    <row r="112" ht="15.75" customHeight="1">
      <c r="A112" s="1" t="s">
        <v>696</v>
      </c>
      <c r="B112" s="1" t="s">
        <v>528</v>
      </c>
      <c r="C112" s="1" t="s">
        <v>691</v>
      </c>
      <c r="D112" s="1" t="s">
        <v>691</v>
      </c>
      <c r="E112" s="1" t="s">
        <v>697</v>
      </c>
      <c r="F112" s="1" t="s">
        <v>64</v>
      </c>
      <c r="G112" s="1">
        <v>300.0</v>
      </c>
      <c r="H112" s="1" t="s">
        <v>50</v>
      </c>
      <c r="I112" s="1">
        <v>59.0</v>
      </c>
      <c r="J112" s="1">
        <v>29.0</v>
      </c>
      <c r="K112" s="1">
        <v>22.0</v>
      </c>
      <c r="L112" s="1">
        <v>30.0</v>
      </c>
      <c r="M112" s="1">
        <v>23.0</v>
      </c>
      <c r="N112" s="1" t="s">
        <v>51</v>
      </c>
      <c r="O112" s="1">
        <v>76.0</v>
      </c>
      <c r="P112" s="1">
        <v>36.0</v>
      </c>
      <c r="Q112" s="1">
        <v>33.0</v>
      </c>
      <c r="R112" s="1">
        <v>40.0</v>
      </c>
      <c r="S112" s="1">
        <v>38.0</v>
      </c>
      <c r="T112" s="1" t="s">
        <v>52</v>
      </c>
      <c r="U112" s="1">
        <v>48.0</v>
      </c>
      <c r="V112" s="1">
        <v>23.0</v>
      </c>
      <c r="W112" s="1">
        <v>20.0</v>
      </c>
      <c r="X112" s="1">
        <v>25.0</v>
      </c>
      <c r="Y112" s="1">
        <v>21.0</v>
      </c>
      <c r="Z112" s="1" t="s">
        <v>53</v>
      </c>
      <c r="AA112" s="1">
        <v>37.0</v>
      </c>
      <c r="AB112" s="1">
        <v>17.0</v>
      </c>
      <c r="AC112" s="1">
        <v>13.0</v>
      </c>
      <c r="AD112" s="1">
        <v>20.0</v>
      </c>
      <c r="AE112" s="1">
        <v>13.0</v>
      </c>
      <c r="AF112" s="1" t="s">
        <v>54</v>
      </c>
      <c r="AG112" s="1">
        <v>46.0</v>
      </c>
      <c r="AH112" s="1">
        <v>22.0</v>
      </c>
      <c r="AI112" s="1">
        <v>19.0</v>
      </c>
      <c r="AJ112" s="1">
        <v>24.0</v>
      </c>
      <c r="AK112" s="1">
        <v>20.0</v>
      </c>
      <c r="AL112" s="1">
        <v>222.0</v>
      </c>
      <c r="AM112" s="1" t="s">
        <v>55</v>
      </c>
      <c r="AN112" s="1">
        <v>78.0</v>
      </c>
      <c r="AO112" s="1">
        <v>78.0</v>
      </c>
      <c r="AP112" s="1" t="s">
        <v>532</v>
      </c>
      <c r="AQ112" s="3" t="str">
        <f>HYPERLINK("https://icf.clappia.com/app/GMB253374/submission/OLH50527253/ICF247370-GMB253374-5cn87pkjegg000000000/SIG-20250703_1212k8h01.jpeg", "SIG-20250703_1212k8h01.jpeg")</f>
        <v>SIG-20250703_1212k8h01.jpeg</v>
      </c>
      <c r="AR112" s="1" t="s">
        <v>533</v>
      </c>
      <c r="AS112" s="3" t="str">
        <f>HYPERLINK("https://icf.clappia.com/app/GMB253374/submission/OLH50527253/ICF247370-GMB253374-4adj0o4dh0n000000000/SIG-20250703_1215ig9dn.jpeg", "SIG-20250703_1215ig9dn.jpeg")</f>
        <v>SIG-20250703_1215ig9dn.jpeg</v>
      </c>
      <c r="AT112" s="1" t="s">
        <v>698</v>
      </c>
      <c r="AU112" s="3" t="str">
        <f>HYPERLINK("https://icf.clappia.com/app/GMB253374/submission/OLH50527253/ICF247370-GMB253374-4g9m15jkm8ac00000000/SIG-20250703_13536nd4n.jpeg", "SIG-20250703_13536nd4n.jpeg")</f>
        <v>SIG-20250703_13536nd4n.jpeg</v>
      </c>
      <c r="AV112" s="3" t="str">
        <f>HYPERLINK("https://www.google.com/maps/place/7.7459756%2C-11.6150565", "7.7459756,-11.6150565")</f>
        <v>7.7459756,-11.6150565</v>
      </c>
    </row>
    <row r="113" ht="15.75" customHeight="1">
      <c r="A113" s="1" t="s">
        <v>699</v>
      </c>
      <c r="B113" s="1" t="s">
        <v>189</v>
      </c>
      <c r="C113" s="1" t="s">
        <v>700</v>
      </c>
      <c r="D113" s="1" t="s">
        <v>700</v>
      </c>
      <c r="E113" s="1" t="s">
        <v>701</v>
      </c>
      <c r="F113" s="1" t="s">
        <v>49</v>
      </c>
      <c r="G113" s="1">
        <v>300.0</v>
      </c>
      <c r="H113" s="1" t="s">
        <v>50</v>
      </c>
      <c r="I113" s="1">
        <v>50.0</v>
      </c>
      <c r="J113" s="1">
        <v>20.0</v>
      </c>
      <c r="K113" s="1">
        <v>20.0</v>
      </c>
      <c r="L113" s="1">
        <v>30.0</v>
      </c>
      <c r="M113" s="1">
        <v>30.0</v>
      </c>
      <c r="N113" s="1" t="s">
        <v>51</v>
      </c>
      <c r="O113" s="1">
        <v>52.0</v>
      </c>
      <c r="P113" s="1">
        <v>27.0</v>
      </c>
      <c r="Q113" s="1">
        <v>25.0</v>
      </c>
      <c r="R113" s="1">
        <v>25.0</v>
      </c>
      <c r="S113" s="1">
        <v>25.0</v>
      </c>
      <c r="T113" s="1" t="s">
        <v>52</v>
      </c>
      <c r="U113" s="1">
        <v>60.0</v>
      </c>
      <c r="V113" s="1">
        <v>28.0</v>
      </c>
      <c r="W113" s="1">
        <v>28.0</v>
      </c>
      <c r="X113" s="1">
        <v>32.0</v>
      </c>
      <c r="Y113" s="1">
        <v>30.0</v>
      </c>
      <c r="Z113" s="1" t="s">
        <v>53</v>
      </c>
      <c r="AA113" s="1">
        <v>55.0</v>
      </c>
      <c r="AB113" s="1">
        <v>30.0</v>
      </c>
      <c r="AC113" s="1">
        <v>30.0</v>
      </c>
      <c r="AD113" s="1">
        <v>25.0</v>
      </c>
      <c r="AE113" s="1">
        <v>25.0</v>
      </c>
      <c r="AF113" s="1" t="s">
        <v>54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v>251.0</v>
      </c>
      <c r="AM113" s="1" t="s">
        <v>55</v>
      </c>
      <c r="AN113" s="1">
        <v>49.0</v>
      </c>
      <c r="AO113" s="1">
        <v>49.0</v>
      </c>
      <c r="AP113" s="1" t="s">
        <v>702</v>
      </c>
      <c r="AQ113" s="3" t="str">
        <f>HYPERLINK("https://icf.clappia.com/app/GMB253374/submission/FJJ39380666/ICF247370-GMB253374-lbnla97n6dfm0000000/SIG-20250703_130555565.jpeg", "SIG-20250703_130555565.jpeg")</f>
        <v>SIG-20250703_130555565.jpeg</v>
      </c>
      <c r="AR113" s="1" t="s">
        <v>703</v>
      </c>
      <c r="AS113" s="3" t="str">
        <f>HYPERLINK("https://icf.clappia.com/app/GMB253374/submission/FJJ39380666/ICF247370-GMB253374-36b46e6ab29k00000000/SIG-20250703_1306g462j.jpeg", "SIG-20250703_1306g462j.jpeg")</f>
        <v>SIG-20250703_1306g462j.jpeg</v>
      </c>
      <c r="AT113" s="1" t="s">
        <v>704</v>
      </c>
      <c r="AU113" s="3" t="str">
        <f>HYPERLINK("https://icf.clappia.com/app/GMB253374/submission/FJJ39380666/ICF247370-GMB253374-5befnao195a800000000/SIG-20250703_1306bmc93.jpeg", "SIG-20250703_1306bmc93.jpeg")</f>
        <v>SIG-20250703_1306bmc93.jpeg</v>
      </c>
      <c r="AV113" s="3" t="str">
        <f>HYPERLINK("https://www.google.com/maps/place/8.8917094%2C-12.0365418", "8.8917094,-12.0365418")</f>
        <v>8.8917094,-12.0365418</v>
      </c>
    </row>
    <row r="114" ht="15.75" customHeight="1">
      <c r="A114" s="1" t="s">
        <v>705</v>
      </c>
      <c r="B114" s="1" t="s">
        <v>161</v>
      </c>
      <c r="C114" s="1" t="s">
        <v>706</v>
      </c>
      <c r="D114" s="1" t="s">
        <v>706</v>
      </c>
      <c r="E114" s="1" t="s">
        <v>707</v>
      </c>
      <c r="F114" s="1" t="s">
        <v>64</v>
      </c>
      <c r="G114" s="1">
        <v>182.0</v>
      </c>
      <c r="H114" s="1" t="s">
        <v>50</v>
      </c>
      <c r="I114" s="1">
        <v>50.0</v>
      </c>
      <c r="J114" s="1">
        <v>30.0</v>
      </c>
      <c r="K114" s="1">
        <v>30.0</v>
      </c>
      <c r="L114" s="1">
        <v>20.0</v>
      </c>
      <c r="M114" s="1">
        <v>20.0</v>
      </c>
      <c r="N114" s="1" t="s">
        <v>51</v>
      </c>
      <c r="O114" s="1">
        <v>45.0</v>
      </c>
      <c r="P114" s="1">
        <v>25.0</v>
      </c>
      <c r="Q114" s="1">
        <v>25.0</v>
      </c>
      <c r="R114" s="1">
        <v>20.0</v>
      </c>
      <c r="S114" s="1">
        <v>18.0</v>
      </c>
      <c r="T114" s="1" t="s">
        <v>52</v>
      </c>
      <c r="U114" s="1">
        <v>35.0</v>
      </c>
      <c r="V114" s="1">
        <v>20.0</v>
      </c>
      <c r="W114" s="1">
        <v>19.0</v>
      </c>
      <c r="X114" s="1">
        <v>15.0</v>
      </c>
      <c r="Y114" s="1">
        <v>14.0</v>
      </c>
      <c r="Z114" s="1" t="s">
        <v>53</v>
      </c>
      <c r="AA114" s="1">
        <v>32.0</v>
      </c>
      <c r="AB114" s="1">
        <v>17.0</v>
      </c>
      <c r="AC114" s="1">
        <v>15.0</v>
      </c>
      <c r="AD114" s="1">
        <v>15.0</v>
      </c>
      <c r="AE114" s="1">
        <v>13.0</v>
      </c>
      <c r="AF114" s="1" t="s">
        <v>54</v>
      </c>
      <c r="AG114" s="1">
        <v>20.0</v>
      </c>
      <c r="AH114" s="1">
        <v>11.0</v>
      </c>
      <c r="AI114" s="1">
        <v>10.0</v>
      </c>
      <c r="AJ114" s="1">
        <v>9.0</v>
      </c>
      <c r="AK114" s="1">
        <v>8.0</v>
      </c>
      <c r="AL114" s="1">
        <v>172.0</v>
      </c>
      <c r="AM114" s="1">
        <v>10.0</v>
      </c>
      <c r="AN114" s="1" t="s">
        <v>55</v>
      </c>
      <c r="AO114" s="1" t="s">
        <v>55</v>
      </c>
      <c r="AP114" s="1" t="s">
        <v>708</v>
      </c>
      <c r="AQ114" s="3" t="str">
        <f>HYPERLINK("https://icf.clappia.com/app/GMB253374/submission/HBZ18220226/ICF247370-GMB253374-1e5k917gejj120000000/SIG-20250703_134215iok0.jpeg", "SIG-20250703_134215iok0.jpeg")</f>
        <v>SIG-20250703_134215iok0.jpeg</v>
      </c>
      <c r="AR114" s="1" t="s">
        <v>709</v>
      </c>
      <c r="AS114" s="3" t="str">
        <f>HYPERLINK("https://icf.clappia.com/app/GMB253374/submission/HBZ18220226/ICF247370-GMB253374-5e7fhgd7pm0600000000/SIG-20250703_1342kk5gm.jpeg", "SIG-20250703_1342kk5gm.jpeg")</f>
        <v>SIG-20250703_1342kk5gm.jpeg</v>
      </c>
      <c r="AT114" s="1" t="s">
        <v>710</v>
      </c>
      <c r="AU114" s="3" t="str">
        <f>HYPERLINK("https://icf.clappia.com/app/GMB253374/submission/HBZ18220226/ICF247370-GMB253374-bflnoe9efcc80000000/SIG-20250703_1343kblo0.jpeg", "SIG-20250703_1343kblo0.jpeg")</f>
        <v>SIG-20250703_1343kblo0.jpeg</v>
      </c>
      <c r="AV114" s="3" t="str">
        <f>HYPERLINK("https://www.google.com/maps/place/7.9381017%2C-11.6995417", "7.9381017,-11.6995417")</f>
        <v>7.9381017,-11.6995417</v>
      </c>
    </row>
    <row r="115" ht="15.75" customHeight="1">
      <c r="A115" s="1" t="s">
        <v>711</v>
      </c>
      <c r="B115" s="1" t="s">
        <v>81</v>
      </c>
      <c r="C115" s="1" t="s">
        <v>712</v>
      </c>
      <c r="D115" s="1" t="s">
        <v>712</v>
      </c>
      <c r="E115" s="1" t="s">
        <v>713</v>
      </c>
      <c r="F115" s="1" t="s">
        <v>64</v>
      </c>
      <c r="G115" s="1">
        <v>300.0</v>
      </c>
      <c r="H115" s="1" t="s">
        <v>50</v>
      </c>
      <c r="I115" s="1">
        <v>50.0</v>
      </c>
      <c r="J115" s="1">
        <v>30.0</v>
      </c>
      <c r="K115" s="1">
        <v>30.0</v>
      </c>
      <c r="L115" s="1">
        <v>20.0</v>
      </c>
      <c r="M115" s="1">
        <v>20.0</v>
      </c>
      <c r="N115" s="1" t="s">
        <v>51</v>
      </c>
      <c r="O115" s="1">
        <v>55.0</v>
      </c>
      <c r="P115" s="1">
        <v>25.0</v>
      </c>
      <c r="Q115" s="1">
        <v>25.0</v>
      </c>
      <c r="R115" s="1">
        <v>30.0</v>
      </c>
      <c r="S115" s="1">
        <v>30.0</v>
      </c>
      <c r="T115" s="1" t="s">
        <v>52</v>
      </c>
      <c r="U115" s="1">
        <v>40.0</v>
      </c>
      <c r="V115" s="1">
        <v>18.0</v>
      </c>
      <c r="W115" s="1">
        <v>18.0</v>
      </c>
      <c r="X115" s="1">
        <v>22.0</v>
      </c>
      <c r="Y115" s="1">
        <v>22.0</v>
      </c>
      <c r="Z115" s="1" t="s">
        <v>53</v>
      </c>
      <c r="AA115" s="1">
        <v>60.0</v>
      </c>
      <c r="AB115" s="1">
        <v>25.0</v>
      </c>
      <c r="AC115" s="1">
        <v>25.0</v>
      </c>
      <c r="AD115" s="1">
        <v>35.0</v>
      </c>
      <c r="AE115" s="1">
        <v>35.0</v>
      </c>
      <c r="AF115" s="1" t="s">
        <v>54</v>
      </c>
      <c r="AG115" s="1">
        <v>77.0</v>
      </c>
      <c r="AH115" s="1">
        <v>37.0</v>
      </c>
      <c r="AI115" s="1">
        <v>37.0</v>
      </c>
      <c r="AJ115" s="1">
        <v>40.0</v>
      </c>
      <c r="AK115" s="1">
        <v>40.0</v>
      </c>
      <c r="AL115" s="1">
        <v>282.0</v>
      </c>
      <c r="AM115" s="1" t="s">
        <v>55</v>
      </c>
      <c r="AN115" s="1">
        <v>18.0</v>
      </c>
      <c r="AO115" s="1">
        <v>18.0</v>
      </c>
      <c r="AP115" s="1" t="s">
        <v>714</v>
      </c>
      <c r="AQ115" s="3" t="str">
        <f>HYPERLINK("https://icf.clappia.com/app/GMB253374/submission/ERX56878332/ICF247370-GMB253374-3af4bneigkc600000000/SIG-20250703_134114oi4h.jpeg", "SIG-20250703_134114oi4h.jpeg")</f>
        <v>SIG-20250703_134114oi4h.jpeg</v>
      </c>
      <c r="AR115" s="1" t="s">
        <v>715</v>
      </c>
      <c r="AS115" s="3" t="str">
        <f>HYPERLINK("https://icf.clappia.com/app/GMB253374/submission/ERX56878332/ICF247370-GMB253374-3n603llc18lm00000000/SIG-20250703_1250gohg.jpeg", "SIG-20250703_1250gohg.jpeg")</f>
        <v>SIG-20250703_1250gohg.jpeg</v>
      </c>
      <c r="AT115" s="1" t="s">
        <v>716</v>
      </c>
      <c r="AU115" s="3" t="str">
        <f>HYPERLINK("https://icf.clappia.com/app/GMB253374/submission/ERX56878332/ICF247370-GMB253374-4d5hgfp9bh6m00000000/SIG-20250703_1324lipld.jpeg", "SIG-20250703_1324lipld.jpeg")</f>
        <v>SIG-20250703_1324lipld.jpeg</v>
      </c>
      <c r="AV115" s="3" t="str">
        <f>HYPERLINK("https://www.google.com/maps/place/7.9362752%2C-11.7324281", "7.9362752,-11.7324281")</f>
        <v>7.9362752,-11.7324281</v>
      </c>
    </row>
    <row r="116" ht="15.75" customHeight="1">
      <c r="A116" s="1" t="s">
        <v>717</v>
      </c>
      <c r="B116" s="1" t="s">
        <v>60</v>
      </c>
      <c r="C116" s="1" t="s">
        <v>499</v>
      </c>
      <c r="D116" s="1" t="s">
        <v>499</v>
      </c>
      <c r="E116" s="1" t="s">
        <v>718</v>
      </c>
      <c r="F116" s="1" t="s">
        <v>64</v>
      </c>
      <c r="G116" s="1">
        <v>200.0</v>
      </c>
      <c r="H116" s="1" t="s">
        <v>50</v>
      </c>
      <c r="I116" s="1">
        <v>43.0</v>
      </c>
      <c r="J116" s="1">
        <v>21.0</v>
      </c>
      <c r="K116" s="1">
        <v>21.0</v>
      </c>
      <c r="L116" s="1">
        <v>22.0</v>
      </c>
      <c r="M116" s="1">
        <v>22.0</v>
      </c>
      <c r="N116" s="1" t="s">
        <v>51</v>
      </c>
      <c r="O116" s="1">
        <v>33.0</v>
      </c>
      <c r="P116" s="1">
        <v>21.0</v>
      </c>
      <c r="Q116" s="1">
        <v>21.0</v>
      </c>
      <c r="R116" s="1">
        <v>12.0</v>
      </c>
      <c r="S116" s="1">
        <v>12.0</v>
      </c>
      <c r="T116" s="1" t="s">
        <v>52</v>
      </c>
      <c r="U116" s="1">
        <v>51.0</v>
      </c>
      <c r="V116" s="1">
        <v>20.0</v>
      </c>
      <c r="W116" s="1">
        <v>20.0</v>
      </c>
      <c r="X116" s="1">
        <v>31.0</v>
      </c>
      <c r="Y116" s="1">
        <v>31.0</v>
      </c>
      <c r="Z116" s="1" t="s">
        <v>53</v>
      </c>
      <c r="AA116" s="1">
        <v>45.0</v>
      </c>
      <c r="AB116" s="1">
        <v>21.0</v>
      </c>
      <c r="AC116" s="1">
        <v>21.0</v>
      </c>
      <c r="AD116" s="1">
        <v>24.0</v>
      </c>
      <c r="AE116" s="1">
        <v>24.0</v>
      </c>
      <c r="AF116" s="1" t="s">
        <v>54</v>
      </c>
      <c r="AG116" s="1">
        <v>22.0</v>
      </c>
      <c r="AH116" s="1">
        <v>13.0</v>
      </c>
      <c r="AI116" s="1">
        <v>13.0</v>
      </c>
      <c r="AJ116" s="1">
        <v>9.0</v>
      </c>
      <c r="AK116" s="1">
        <v>9.0</v>
      </c>
      <c r="AL116" s="1">
        <v>194.0</v>
      </c>
      <c r="AM116" s="1" t="s">
        <v>55</v>
      </c>
      <c r="AN116" s="1">
        <v>6.0</v>
      </c>
      <c r="AO116" s="1">
        <v>6.0</v>
      </c>
      <c r="AP116" s="1" t="s">
        <v>719</v>
      </c>
      <c r="AQ116" s="3" t="str">
        <f>HYPERLINK("https://icf.clappia.com/app/GMB253374/submission/UTC81924214/ICF247370-GMB253374-1478ii0kikkhm0000000/SIG-20250702_1535o7319.jpeg", "SIG-20250702_1535o7319.jpeg")</f>
        <v>SIG-20250702_1535o7319.jpeg</v>
      </c>
      <c r="AR116" s="1" t="s">
        <v>720</v>
      </c>
      <c r="AS116" s="3" t="str">
        <f>HYPERLINK("https://icf.clappia.com/app/GMB253374/submission/UTC81924214/ICF247370-GMB253374-4cf38c4eh0kc00000000/SIG-20250702_1537146c42.jpeg", "SIG-20250702_1537146c42.jpeg")</f>
        <v>SIG-20250702_1537146c42.jpeg</v>
      </c>
      <c r="AT116" s="1" t="s">
        <v>721</v>
      </c>
      <c r="AU116" s="3" t="str">
        <f>HYPERLINK("https://icf.clappia.com/app/GMB253374/submission/UTC81924214/ICF247370-GMB253374-34ciom1eaaga00000000/SIG-20250702_1537174ii9.jpeg", "SIG-20250702_1537174ii9.jpeg")</f>
        <v>SIG-20250702_1537174ii9.jpeg</v>
      </c>
      <c r="AV116" s="3" t="str">
        <f>HYPERLINK("https://www.google.com/maps/place/8.7883526%2C-11.9078678", "8.7883526,-11.9078678")</f>
        <v>8.7883526,-11.9078678</v>
      </c>
    </row>
    <row r="117" ht="15.75" customHeight="1">
      <c r="A117" s="1" t="s">
        <v>722</v>
      </c>
      <c r="B117" s="1" t="s">
        <v>69</v>
      </c>
      <c r="C117" s="1" t="s">
        <v>723</v>
      </c>
      <c r="D117" s="1" t="s">
        <v>723</v>
      </c>
      <c r="E117" s="1" t="s">
        <v>724</v>
      </c>
      <c r="F117" s="1" t="s">
        <v>64</v>
      </c>
      <c r="G117" s="1">
        <v>250.0</v>
      </c>
      <c r="H117" s="1" t="s">
        <v>50</v>
      </c>
      <c r="I117" s="1">
        <v>109.0</v>
      </c>
      <c r="J117" s="1">
        <v>53.0</v>
      </c>
      <c r="K117" s="1">
        <v>52.0</v>
      </c>
      <c r="L117" s="1">
        <v>56.0</v>
      </c>
      <c r="M117" s="1">
        <v>53.0</v>
      </c>
      <c r="N117" s="1" t="s">
        <v>51</v>
      </c>
      <c r="O117" s="1">
        <v>41.0</v>
      </c>
      <c r="P117" s="1">
        <v>21.0</v>
      </c>
      <c r="Q117" s="1">
        <v>20.0</v>
      </c>
      <c r="R117" s="1">
        <v>20.0</v>
      </c>
      <c r="S117" s="1">
        <v>20.0</v>
      </c>
      <c r="T117" s="1" t="s">
        <v>52</v>
      </c>
      <c r="U117" s="1">
        <v>32.0</v>
      </c>
      <c r="V117" s="1">
        <v>13.0</v>
      </c>
      <c r="W117" s="1">
        <v>12.0</v>
      </c>
      <c r="X117" s="1">
        <v>19.0</v>
      </c>
      <c r="Y117" s="1">
        <v>19.0</v>
      </c>
      <c r="Z117" s="1" t="s">
        <v>53</v>
      </c>
      <c r="AA117" s="1">
        <v>28.0</v>
      </c>
      <c r="AB117" s="1">
        <v>17.0</v>
      </c>
      <c r="AC117" s="1">
        <v>17.0</v>
      </c>
      <c r="AD117" s="1">
        <v>11.0</v>
      </c>
      <c r="AE117" s="1">
        <v>10.0</v>
      </c>
      <c r="AF117" s="1" t="s">
        <v>54</v>
      </c>
      <c r="AG117" s="1">
        <v>30.0</v>
      </c>
      <c r="AH117" s="1">
        <v>14.0</v>
      </c>
      <c r="AI117" s="1">
        <v>13.0</v>
      </c>
      <c r="AJ117" s="1">
        <v>16.0</v>
      </c>
      <c r="AK117" s="1">
        <v>15.0</v>
      </c>
      <c r="AL117" s="1">
        <v>231.0</v>
      </c>
      <c r="AM117" s="1">
        <v>9.0</v>
      </c>
      <c r="AN117" s="1">
        <v>10.0</v>
      </c>
      <c r="AO117" s="1">
        <v>10.0</v>
      </c>
      <c r="AP117" s="1" t="s">
        <v>725</v>
      </c>
      <c r="AQ117" s="3" t="str">
        <f>HYPERLINK("https://icf.clappia.com/app/GMB253374/submission/SCK25154218/ICF247370-GMB253374-22k4anbmj5cak0000000/SIG-20250703_133578cdd.jpeg", "SIG-20250703_133578cdd.jpeg")</f>
        <v>SIG-20250703_133578cdd.jpeg</v>
      </c>
      <c r="AR117" s="1" t="s">
        <v>726</v>
      </c>
      <c r="AS117" s="3" t="str">
        <f>HYPERLINK("https://icf.clappia.com/app/GMB253374/submission/SCK25154218/ICF247370-GMB253374-34fo6ank5k5k00000000/SIG-20250703_1334npllc.jpeg", "SIG-20250703_1334npllc.jpeg")</f>
        <v>SIG-20250703_1334npllc.jpeg</v>
      </c>
      <c r="AT117" s="1" t="s">
        <v>727</v>
      </c>
      <c r="AU117" s="3" t="str">
        <f>HYPERLINK("https://icf.clappia.com/app/GMB253374/submission/SCK25154218/ICF247370-GMB253374-11igkd0jikm3a0000000/SIG-20250703_13371kl42.jpeg", "SIG-20250703_13371kl42.jpeg")</f>
        <v>SIG-20250703_13371kl42.jpeg</v>
      </c>
      <c r="AV117" s="3" t="str">
        <f>HYPERLINK("https://www.google.com/maps/place/8.8655007%2C-12.240308", "8.8655007,-12.240308")</f>
        <v>8.8655007,-12.240308</v>
      </c>
    </row>
    <row r="118" ht="15.75" customHeight="1">
      <c r="A118" s="1" t="s">
        <v>728</v>
      </c>
      <c r="B118" s="1" t="s">
        <v>342</v>
      </c>
      <c r="C118" s="1" t="s">
        <v>729</v>
      </c>
      <c r="D118" s="1" t="s">
        <v>729</v>
      </c>
      <c r="E118" s="1" t="s">
        <v>730</v>
      </c>
      <c r="F118" s="1" t="s">
        <v>64</v>
      </c>
      <c r="G118" s="1">
        <v>200.0</v>
      </c>
      <c r="H118" s="1" t="s">
        <v>50</v>
      </c>
      <c r="I118" s="1">
        <v>43.0</v>
      </c>
      <c r="J118" s="1">
        <v>23.0</v>
      </c>
      <c r="K118" s="1">
        <v>20.0</v>
      </c>
      <c r="L118" s="1">
        <v>20.0</v>
      </c>
      <c r="M118" s="1">
        <v>20.0</v>
      </c>
      <c r="N118" s="1" t="s">
        <v>51</v>
      </c>
      <c r="O118" s="1">
        <v>51.0</v>
      </c>
      <c r="P118" s="1">
        <v>27.0</v>
      </c>
      <c r="Q118" s="1">
        <v>25.0</v>
      </c>
      <c r="R118" s="1">
        <v>24.0</v>
      </c>
      <c r="S118" s="1">
        <v>22.0</v>
      </c>
      <c r="T118" s="1" t="s">
        <v>52</v>
      </c>
      <c r="U118" s="1">
        <v>30.0</v>
      </c>
      <c r="V118" s="1">
        <v>14.0</v>
      </c>
      <c r="W118" s="1">
        <v>13.0</v>
      </c>
      <c r="X118" s="1">
        <v>16.0</v>
      </c>
      <c r="Y118" s="1">
        <v>14.0</v>
      </c>
      <c r="Z118" s="1" t="s">
        <v>53</v>
      </c>
      <c r="AA118" s="1">
        <v>41.0</v>
      </c>
      <c r="AB118" s="1">
        <v>20.0</v>
      </c>
      <c r="AC118" s="1">
        <v>19.0</v>
      </c>
      <c r="AD118" s="1">
        <v>21.0</v>
      </c>
      <c r="AE118" s="1">
        <v>20.0</v>
      </c>
      <c r="AF118" s="1" t="s">
        <v>54</v>
      </c>
      <c r="AG118" s="1">
        <v>48.0</v>
      </c>
      <c r="AH118" s="1">
        <v>19.0</v>
      </c>
      <c r="AI118" s="1">
        <v>18.0</v>
      </c>
      <c r="AJ118" s="1">
        <v>29.0</v>
      </c>
      <c r="AK118" s="1">
        <v>28.0</v>
      </c>
      <c r="AL118" s="1">
        <v>199.0</v>
      </c>
      <c r="AM118" s="1" t="s">
        <v>55</v>
      </c>
      <c r="AN118" s="1">
        <v>1.0</v>
      </c>
      <c r="AO118" s="1">
        <v>1.0</v>
      </c>
      <c r="AP118" s="1" t="s">
        <v>731</v>
      </c>
      <c r="AQ118" s="3" t="str">
        <f>HYPERLINK("https://icf.clappia.com/app/GMB253374/submission/BFD90872787/ICF247370-GMB253374-eo6eafl3c4le0000000/SIG-20250703_13308cg53.jpeg", "SIG-20250703_13308cg53.jpeg")</f>
        <v>SIG-20250703_13308cg53.jpeg</v>
      </c>
      <c r="AR118" s="1" t="s">
        <v>732</v>
      </c>
      <c r="AS118" s="3" t="str">
        <f>HYPERLINK("https://icf.clappia.com/app/GMB253374/submission/BFD90872787/ICF247370-GMB253374-54685l1n9bmm00000000/SIG-20250703_1335177e9d.jpeg", "SIG-20250703_1335177e9d.jpeg")</f>
        <v>SIG-20250703_1335177e9d.jpeg</v>
      </c>
      <c r="AT118" s="1" t="s">
        <v>733</v>
      </c>
      <c r="AU118" s="3" t="str">
        <f>HYPERLINK("https://icf.clappia.com/app/GMB253374/submission/BFD90872787/ICF247370-GMB253374-1oaci284iefo40000000/SIG-20250703_133616lhpo.jpeg", "SIG-20250703_133616lhpo.jpeg")</f>
        <v>SIG-20250703_133616lhpo.jpeg</v>
      </c>
      <c r="AV118" s="3" t="str">
        <f>HYPERLINK("https://www.google.com/maps/place/9.0702383%2C-12.072835", "9.0702383,-12.072835")</f>
        <v>9.0702383,-12.072835</v>
      </c>
    </row>
    <row r="119" ht="15.75" customHeight="1">
      <c r="A119" s="1" t="s">
        <v>734</v>
      </c>
      <c r="B119" s="1" t="s">
        <v>528</v>
      </c>
      <c r="C119" s="1" t="s">
        <v>735</v>
      </c>
      <c r="D119" s="1" t="s">
        <v>736</v>
      </c>
      <c r="E119" s="1" t="s">
        <v>737</v>
      </c>
      <c r="F119" s="1" t="s">
        <v>64</v>
      </c>
      <c r="G119" s="1">
        <v>87.0</v>
      </c>
      <c r="H119" s="1" t="s">
        <v>50</v>
      </c>
      <c r="I119" s="1">
        <v>12.0</v>
      </c>
      <c r="J119" s="1">
        <v>7.0</v>
      </c>
      <c r="K119" s="1">
        <v>7.0</v>
      </c>
      <c r="L119" s="1">
        <v>5.0</v>
      </c>
      <c r="M119" s="1">
        <v>5.0</v>
      </c>
      <c r="N119" s="1" t="s">
        <v>51</v>
      </c>
      <c r="O119" s="1">
        <v>23.0</v>
      </c>
      <c r="P119" s="1">
        <v>11.0</v>
      </c>
      <c r="Q119" s="1">
        <v>11.0</v>
      </c>
      <c r="R119" s="1">
        <v>12.0</v>
      </c>
      <c r="S119" s="1">
        <v>12.0</v>
      </c>
      <c r="T119" s="1" t="s">
        <v>52</v>
      </c>
      <c r="U119" s="1">
        <v>17.0</v>
      </c>
      <c r="V119" s="1">
        <v>10.0</v>
      </c>
      <c r="W119" s="1">
        <v>10.0</v>
      </c>
      <c r="X119" s="1">
        <v>7.0</v>
      </c>
      <c r="Y119" s="1">
        <v>7.0</v>
      </c>
      <c r="Z119" s="1" t="s">
        <v>53</v>
      </c>
      <c r="AA119" s="1">
        <v>12.0</v>
      </c>
      <c r="AB119" s="1">
        <v>5.0</v>
      </c>
      <c r="AC119" s="1">
        <v>5.0</v>
      </c>
      <c r="AD119" s="1">
        <v>7.0</v>
      </c>
      <c r="AE119" s="1">
        <v>7.0</v>
      </c>
      <c r="AF119" s="1" t="s">
        <v>54</v>
      </c>
      <c r="AG119" s="1">
        <v>15.0</v>
      </c>
      <c r="AH119" s="1">
        <v>8.0</v>
      </c>
      <c r="AI119" s="1">
        <v>8.0</v>
      </c>
      <c r="AJ119" s="1">
        <v>7.0</v>
      </c>
      <c r="AK119" s="1">
        <v>7.0</v>
      </c>
      <c r="AL119" s="1">
        <v>79.0</v>
      </c>
      <c r="AM119" s="1" t="s">
        <v>55</v>
      </c>
      <c r="AN119" s="1">
        <v>8.0</v>
      </c>
      <c r="AO119" s="1">
        <v>8.0</v>
      </c>
      <c r="AP119" s="1" t="s">
        <v>738</v>
      </c>
      <c r="AQ119" s="3" t="str">
        <f>HYPERLINK("https://icf.clappia.com/app/GMB253374/submission/IPW07356480/ICF247370-GMB253374-4kifpajnkj9800000000/SIG-20250703_13228ec7h.jpeg", "SIG-20250703_13228ec7h.jpeg")</f>
        <v>SIG-20250703_13228ec7h.jpeg</v>
      </c>
      <c r="AR119" s="1" t="s">
        <v>739</v>
      </c>
      <c r="AS119" s="3" t="str">
        <f>HYPERLINK("https://icf.clappia.com/app/GMB253374/submission/IPW07356480/ICF247370-GMB253374-295j5a78ogdla0000000/SIG-20250703_1324fjb1k.jpeg", "SIG-20250703_1324fjb1k.jpeg")</f>
        <v>SIG-20250703_1324fjb1k.jpeg</v>
      </c>
      <c r="AT119" s="1" t="s">
        <v>740</v>
      </c>
      <c r="AU119" s="3" t="str">
        <f>HYPERLINK("https://icf.clappia.com/app/GMB253374/submission/IPW07356480/ICF247370-GMB253374-5bei4hipp64000000000/SIG-20250703_1325n464a.jpeg", "SIG-20250703_1325n464a.jpeg")</f>
        <v>SIG-20250703_1325n464a.jpeg</v>
      </c>
      <c r="AV119" s="3" t="str">
        <f>HYPERLINK("https://www.google.com/maps/place/7.7772467%2C-11.5257833", "7.7772467,-11.5257833")</f>
        <v>7.7772467,-11.5257833</v>
      </c>
    </row>
    <row r="120" ht="15.75" customHeight="1">
      <c r="A120" s="1" t="s">
        <v>741</v>
      </c>
      <c r="B120" s="1" t="s">
        <v>155</v>
      </c>
      <c r="C120" s="1" t="s">
        <v>742</v>
      </c>
      <c r="D120" s="1" t="s">
        <v>742</v>
      </c>
      <c r="E120" s="1" t="s">
        <v>743</v>
      </c>
      <c r="F120" s="1" t="s">
        <v>64</v>
      </c>
      <c r="G120" s="1">
        <v>450.0</v>
      </c>
      <c r="H120" s="1" t="s">
        <v>50</v>
      </c>
      <c r="I120" s="1">
        <v>147.0</v>
      </c>
      <c r="J120" s="1">
        <v>69.0</v>
      </c>
      <c r="K120" s="1">
        <v>69.0</v>
      </c>
      <c r="L120" s="1">
        <v>78.0</v>
      </c>
      <c r="M120" s="1">
        <v>78.0</v>
      </c>
      <c r="N120" s="1" t="s">
        <v>51</v>
      </c>
      <c r="O120" s="1">
        <v>68.0</v>
      </c>
      <c r="P120" s="1">
        <v>32.0</v>
      </c>
      <c r="Q120" s="1">
        <v>32.0</v>
      </c>
      <c r="R120" s="1">
        <v>36.0</v>
      </c>
      <c r="S120" s="1">
        <v>36.0</v>
      </c>
      <c r="T120" s="1" t="s">
        <v>52</v>
      </c>
      <c r="U120" s="1">
        <v>75.0</v>
      </c>
      <c r="V120" s="1">
        <v>36.0</v>
      </c>
      <c r="W120" s="1">
        <v>36.0</v>
      </c>
      <c r="X120" s="1">
        <v>39.0</v>
      </c>
      <c r="Y120" s="1">
        <v>39.0</v>
      </c>
      <c r="Z120" s="1" t="s">
        <v>53</v>
      </c>
      <c r="AA120" s="1">
        <v>76.0</v>
      </c>
      <c r="AB120" s="1">
        <v>37.0</v>
      </c>
      <c r="AC120" s="1">
        <v>37.0</v>
      </c>
      <c r="AD120" s="1">
        <v>39.0</v>
      </c>
      <c r="AE120" s="1">
        <v>39.0</v>
      </c>
      <c r="AF120" s="1" t="s">
        <v>54</v>
      </c>
      <c r="AG120" s="1">
        <v>70.0</v>
      </c>
      <c r="AH120" s="1">
        <v>33.0</v>
      </c>
      <c r="AI120" s="1">
        <v>33.0</v>
      </c>
      <c r="AJ120" s="1">
        <v>37.0</v>
      </c>
      <c r="AK120" s="1">
        <v>37.0</v>
      </c>
      <c r="AL120" s="1">
        <v>436.0</v>
      </c>
      <c r="AM120" s="1" t="s">
        <v>55</v>
      </c>
      <c r="AN120" s="1">
        <v>14.0</v>
      </c>
      <c r="AO120" s="1">
        <v>14.0</v>
      </c>
      <c r="AP120" s="1" t="s">
        <v>744</v>
      </c>
      <c r="AQ120" s="3" t="str">
        <f>HYPERLINK("https://icf.clappia.com/app/GMB253374/submission/FFM53149439/ICF247370-GMB253374-2po7g723o9bk00000000/SIG-20250703_1321cphm4.jpeg", "SIG-20250703_1321cphm4.jpeg")</f>
        <v>SIG-20250703_1321cphm4.jpeg</v>
      </c>
      <c r="AR120" s="1" t="s">
        <v>159</v>
      </c>
      <c r="AS120" s="3" t="str">
        <f>HYPERLINK("https://icf.clappia.com/app/GMB253374/submission/FFM53149439/ICF247370-GMB253374-4ep61ce1ccoo00000000/SIG-20250703_13247gd3c.jpeg", "SIG-20250703_13247gd3c.jpeg")</f>
        <v>SIG-20250703_13247gd3c.jpeg</v>
      </c>
      <c r="AT120" s="1" t="s">
        <v>159</v>
      </c>
      <c r="AU120" s="3" t="str">
        <f>HYPERLINK("https://icf.clappia.com/app/GMB253374/submission/FFM53149439/ICF247370-GMB253374-1j7ao2d7gn3h20000000/SIG-20250703_1324bma4.jpeg", "SIG-20250703_1324bma4.jpeg")</f>
        <v>SIG-20250703_1324bma4.jpeg</v>
      </c>
      <c r="AV120" s="3" t="str">
        <f>HYPERLINK("https://www.google.com/maps/place/8.7391074%2C-11.9985483", "8.7391074,-11.9985483")</f>
        <v>8.7391074,-11.9985483</v>
      </c>
    </row>
    <row r="121" ht="15.75" customHeight="1">
      <c r="A121" s="1" t="s">
        <v>745</v>
      </c>
      <c r="B121" s="1" t="s">
        <v>356</v>
      </c>
      <c r="C121" s="1" t="s">
        <v>746</v>
      </c>
      <c r="D121" s="1" t="s">
        <v>747</v>
      </c>
      <c r="E121" s="1" t="s">
        <v>748</v>
      </c>
      <c r="F121" s="1" t="s">
        <v>64</v>
      </c>
      <c r="G121" s="1">
        <v>227.0</v>
      </c>
      <c r="H121" s="1" t="s">
        <v>50</v>
      </c>
      <c r="I121" s="1">
        <v>81.0</v>
      </c>
      <c r="J121" s="1">
        <v>38.0</v>
      </c>
      <c r="K121" s="1">
        <v>15.0</v>
      </c>
      <c r="L121" s="1">
        <v>43.0</v>
      </c>
      <c r="M121" s="1">
        <v>20.0</v>
      </c>
      <c r="N121" s="1" t="s">
        <v>51</v>
      </c>
      <c r="O121" s="1">
        <v>53.0</v>
      </c>
      <c r="P121" s="1">
        <v>25.0</v>
      </c>
      <c r="Q121" s="1">
        <v>12.0</v>
      </c>
      <c r="R121" s="1">
        <v>28.0</v>
      </c>
      <c r="S121" s="1">
        <v>14.0</v>
      </c>
      <c r="T121" s="1" t="s">
        <v>52</v>
      </c>
      <c r="U121" s="1">
        <v>47.0</v>
      </c>
      <c r="V121" s="1">
        <v>21.0</v>
      </c>
      <c r="W121" s="1">
        <v>11.0</v>
      </c>
      <c r="X121" s="1">
        <v>26.0</v>
      </c>
      <c r="Y121" s="1">
        <v>14.0</v>
      </c>
      <c r="Z121" s="1" t="s">
        <v>53</v>
      </c>
      <c r="AA121" s="1">
        <v>36.0</v>
      </c>
      <c r="AB121" s="1">
        <v>15.0</v>
      </c>
      <c r="AC121" s="1">
        <v>6.0</v>
      </c>
      <c r="AD121" s="1">
        <v>21.0</v>
      </c>
      <c r="AE121" s="1">
        <v>12.0</v>
      </c>
      <c r="AF121" s="1" t="s">
        <v>54</v>
      </c>
      <c r="AG121" s="1">
        <v>17.0</v>
      </c>
      <c r="AH121" s="1">
        <v>7.0</v>
      </c>
      <c r="AI121" s="1">
        <v>3.0</v>
      </c>
      <c r="AJ121" s="1">
        <v>10.0</v>
      </c>
      <c r="AK121" s="1">
        <v>7.0</v>
      </c>
      <c r="AL121" s="1">
        <v>114.0</v>
      </c>
      <c r="AM121" s="1" t="s">
        <v>55</v>
      </c>
      <c r="AN121" s="1">
        <v>113.0</v>
      </c>
      <c r="AO121" s="1">
        <v>113.0</v>
      </c>
      <c r="AP121" s="1" t="s">
        <v>749</v>
      </c>
      <c r="AQ121" s="3" t="str">
        <f>HYPERLINK("https://icf.clappia.com/app/GMB253374/submission/KWU33862477/ICF247370-GMB253374-20e2of62ie0320000000/SIG-20250702_152616i8p5.jpeg", "SIG-20250702_152616i8p5.jpeg")</f>
        <v>SIG-20250702_152616i8p5.jpeg</v>
      </c>
      <c r="AR121" s="1" t="s">
        <v>750</v>
      </c>
      <c r="AS121" s="3" t="str">
        <f>HYPERLINK("https://icf.clappia.com/app/GMB253374/submission/KWU33862477/ICF247370-GMB253374-17iipbodoo46k0000000/SIG-20250702_1526dd9pc.jpeg", "SIG-20250702_1526dd9pc.jpeg")</f>
        <v>SIG-20250702_1526dd9pc.jpeg</v>
      </c>
      <c r="AT121" s="1" t="s">
        <v>674</v>
      </c>
      <c r="AU121" s="3" t="str">
        <f>HYPERLINK("https://icf.clappia.com/app/GMB253374/submission/KWU33862477/ICF247370-GMB253374-5k9kknffnjpm00000000/SIG-20250702_15271228bo.jpeg", "SIG-20250702_15271228bo.jpeg")</f>
        <v>SIG-20250702_15271228bo.jpeg</v>
      </c>
      <c r="AV121" s="3" t="str">
        <f>HYPERLINK("https://www.google.com/maps/place/8.21643%2C-11.6019517", "8.21643,-11.6019517")</f>
        <v>8.21643,-11.6019517</v>
      </c>
    </row>
    <row r="122" ht="15.75" customHeight="1">
      <c r="A122" s="1" t="s">
        <v>751</v>
      </c>
      <c r="B122" s="1" t="s">
        <v>248</v>
      </c>
      <c r="C122" s="1" t="s">
        <v>752</v>
      </c>
      <c r="D122" s="1" t="s">
        <v>752</v>
      </c>
      <c r="E122" s="1" t="s">
        <v>753</v>
      </c>
      <c r="F122" s="1" t="s">
        <v>64</v>
      </c>
      <c r="G122" s="1">
        <v>168.0</v>
      </c>
      <c r="H122" s="1" t="s">
        <v>50</v>
      </c>
      <c r="I122" s="1">
        <v>46.0</v>
      </c>
      <c r="J122" s="1">
        <v>25.0</v>
      </c>
      <c r="K122" s="1">
        <v>25.0</v>
      </c>
      <c r="L122" s="1">
        <v>21.0</v>
      </c>
      <c r="M122" s="1">
        <v>21.0</v>
      </c>
      <c r="N122" s="1" t="s">
        <v>51</v>
      </c>
      <c r="O122" s="1">
        <v>31.0</v>
      </c>
      <c r="P122" s="1">
        <v>12.0</v>
      </c>
      <c r="Q122" s="1">
        <v>12.0</v>
      </c>
      <c r="R122" s="1">
        <v>19.0</v>
      </c>
      <c r="S122" s="1">
        <v>19.0</v>
      </c>
      <c r="T122" s="1" t="s">
        <v>52</v>
      </c>
      <c r="U122" s="1">
        <v>28.0</v>
      </c>
      <c r="V122" s="1">
        <v>15.0</v>
      </c>
      <c r="W122" s="1">
        <v>15.0</v>
      </c>
      <c r="X122" s="1">
        <v>13.0</v>
      </c>
      <c r="Y122" s="1">
        <v>13.0</v>
      </c>
      <c r="Z122" s="1" t="s">
        <v>53</v>
      </c>
      <c r="AA122" s="1">
        <v>37.0</v>
      </c>
      <c r="AB122" s="1">
        <v>17.0</v>
      </c>
      <c r="AC122" s="1">
        <v>17.0</v>
      </c>
      <c r="AD122" s="1">
        <v>20.0</v>
      </c>
      <c r="AE122" s="1">
        <v>20.0</v>
      </c>
      <c r="AF122" s="1" t="s">
        <v>54</v>
      </c>
      <c r="AG122" s="1">
        <v>26.0</v>
      </c>
      <c r="AH122" s="1">
        <v>12.0</v>
      </c>
      <c r="AI122" s="1">
        <v>12.0</v>
      </c>
      <c r="AJ122" s="1">
        <v>14.0</v>
      </c>
      <c r="AK122" s="1">
        <v>14.0</v>
      </c>
      <c r="AL122" s="1">
        <v>168.0</v>
      </c>
      <c r="AM122" s="1" t="s">
        <v>523</v>
      </c>
      <c r="AN122" s="1" t="s">
        <v>55</v>
      </c>
      <c r="AO122" s="1" t="s">
        <v>55</v>
      </c>
      <c r="AP122" s="1" t="s">
        <v>251</v>
      </c>
      <c r="AQ122" s="3" t="str">
        <f>HYPERLINK("https://icf.clappia.com/app/GMB253374/submission/PLL12134528/ICF247370-GMB253374-2lj98ek6d29g00000000/SIG-20250701_1042jlo61.jpeg", "SIG-20250701_1042jlo61.jpeg")</f>
        <v>SIG-20250701_1042jlo61.jpeg</v>
      </c>
      <c r="AR122" s="1" t="s">
        <v>252</v>
      </c>
      <c r="AS122" s="3" t="str">
        <f>HYPERLINK("https://icf.clappia.com/app/GMB253374/submission/PLL12134528/ICF247370-GMB253374-1ok6mf03h81la0000000/SIG-20250701_104391pco.jpeg", "SIG-20250701_104391pco.jpeg")</f>
        <v>SIG-20250701_104391pco.jpeg</v>
      </c>
      <c r="AT122" s="1" t="s">
        <v>754</v>
      </c>
      <c r="AU122" s="3" t="str">
        <f>HYPERLINK("https://icf.clappia.com/app/GMB253374/submission/PLL12134528/ICF247370-GMB253374-59lbl3h0p8mg00000000/SIG-20250703_1325hpn83.jpeg", "SIG-20250703_1325hpn83.jpeg")</f>
        <v>SIG-20250703_1325hpn83.jpeg</v>
      </c>
      <c r="AV122" s="3" t="str">
        <f>HYPERLINK("https://www.google.com/maps/place/7.9295542%2C-11.5765003", "7.9295542,-11.5765003")</f>
        <v>7.9295542,-11.5765003</v>
      </c>
    </row>
    <row r="123" ht="15.75" customHeight="1">
      <c r="A123" s="1" t="s">
        <v>755</v>
      </c>
      <c r="B123" s="1" t="s">
        <v>60</v>
      </c>
      <c r="C123" s="1" t="s">
        <v>756</v>
      </c>
      <c r="D123" s="1" t="s">
        <v>756</v>
      </c>
      <c r="E123" s="1" t="s">
        <v>757</v>
      </c>
      <c r="F123" s="1" t="s">
        <v>49</v>
      </c>
      <c r="G123" s="1">
        <v>50.0</v>
      </c>
      <c r="H123" s="1" t="s">
        <v>50</v>
      </c>
      <c r="I123" s="1">
        <v>14.0</v>
      </c>
      <c r="J123" s="1">
        <v>9.0</v>
      </c>
      <c r="K123" s="1">
        <v>7.0</v>
      </c>
      <c r="L123" s="1">
        <v>5.0</v>
      </c>
      <c r="M123" s="1">
        <v>5.0</v>
      </c>
      <c r="N123" s="1" t="s">
        <v>51</v>
      </c>
      <c r="O123" s="1">
        <v>10.0</v>
      </c>
      <c r="P123" s="1">
        <v>4.0</v>
      </c>
      <c r="Q123" s="1">
        <v>4.0</v>
      </c>
      <c r="R123" s="1">
        <v>6.0</v>
      </c>
      <c r="S123" s="1">
        <v>4.0</v>
      </c>
      <c r="T123" s="1" t="s">
        <v>52</v>
      </c>
      <c r="U123" s="1">
        <v>12.0</v>
      </c>
      <c r="V123" s="1">
        <v>5.0</v>
      </c>
      <c r="W123" s="1">
        <v>5.0</v>
      </c>
      <c r="X123" s="1">
        <v>5.0</v>
      </c>
      <c r="Y123" s="1">
        <v>5.0</v>
      </c>
      <c r="Z123" s="1" t="s">
        <v>53</v>
      </c>
      <c r="AA123" s="1">
        <v>10.0</v>
      </c>
      <c r="AB123" s="1">
        <v>4.0</v>
      </c>
      <c r="AC123" s="1">
        <v>4.0</v>
      </c>
      <c r="AD123" s="1">
        <v>6.0</v>
      </c>
      <c r="AE123" s="1">
        <v>6.0</v>
      </c>
      <c r="AF123" s="1" t="s">
        <v>54</v>
      </c>
      <c r="AG123" s="1">
        <v>10.0</v>
      </c>
      <c r="AH123" s="1">
        <v>3.0</v>
      </c>
      <c r="AI123" s="1">
        <v>3.0</v>
      </c>
      <c r="AJ123" s="1">
        <v>7.0</v>
      </c>
      <c r="AK123" s="1">
        <v>7.0</v>
      </c>
      <c r="AL123" s="1">
        <v>50.0</v>
      </c>
      <c r="AM123" s="1" t="s">
        <v>55</v>
      </c>
      <c r="AN123" s="1" t="s">
        <v>55</v>
      </c>
      <c r="AO123" s="1" t="s">
        <v>55</v>
      </c>
      <c r="AP123" s="1" t="s">
        <v>758</v>
      </c>
      <c r="AQ123" s="3" t="str">
        <f>HYPERLINK("https://icf.clappia.com/app/GMB253374/submission/GQH35577603/ICF247370-GMB253374-2l3bgoml432o00000000/SIG-20250703_1117187oaa.jpeg", "SIG-20250703_1117187oaa.jpeg")</f>
        <v>SIG-20250703_1117187oaa.jpeg</v>
      </c>
      <c r="AR123" s="1" t="s">
        <v>759</v>
      </c>
      <c r="AS123" s="3" t="str">
        <f>HYPERLINK("https://icf.clappia.com/app/GMB253374/submission/GQH35577603/ICF247370-GMB253374-198n4b3j5p92g0000000/SIG-20250703_11178k6nb.jpeg", "SIG-20250703_11178k6nb.jpeg")</f>
        <v>SIG-20250703_11178k6nb.jpeg</v>
      </c>
      <c r="AT123" s="1" t="s">
        <v>760</v>
      </c>
      <c r="AU123" s="3" t="str">
        <f>HYPERLINK("https://icf.clappia.com/app/GMB253374/submission/GQH35577603/ICF247370-GMB253374-6agifa8g0ioo00000000/SIG-20250703_1118jgpf6.jpeg", "SIG-20250703_1118jgpf6.jpeg")</f>
        <v>SIG-20250703_1118jgpf6.jpeg</v>
      </c>
      <c r="AV123" s="3" t="str">
        <f>HYPERLINK("https://www.google.com/maps/place/8.9066576%2C-12.0377349", "8.9066576,-12.0377349")</f>
        <v>8.9066576,-12.0377349</v>
      </c>
    </row>
    <row r="124" ht="15.75" customHeight="1">
      <c r="A124" s="1" t="s">
        <v>761</v>
      </c>
      <c r="B124" s="1" t="s">
        <v>536</v>
      </c>
      <c r="C124" s="1" t="s">
        <v>762</v>
      </c>
      <c r="D124" s="1" t="s">
        <v>762</v>
      </c>
      <c r="E124" s="1" t="s">
        <v>763</v>
      </c>
      <c r="F124" s="1" t="s">
        <v>64</v>
      </c>
      <c r="G124" s="1">
        <v>457.0</v>
      </c>
      <c r="H124" s="1" t="s">
        <v>50</v>
      </c>
      <c r="I124" s="1">
        <v>95.0</v>
      </c>
      <c r="J124" s="1">
        <v>45.0</v>
      </c>
      <c r="K124" s="1">
        <v>43.0</v>
      </c>
      <c r="L124" s="1">
        <v>50.0</v>
      </c>
      <c r="M124" s="1">
        <v>49.0</v>
      </c>
      <c r="N124" s="1" t="s">
        <v>51</v>
      </c>
      <c r="O124" s="1">
        <v>97.0</v>
      </c>
      <c r="P124" s="1">
        <v>53.0</v>
      </c>
      <c r="Q124" s="1">
        <v>52.0</v>
      </c>
      <c r="R124" s="1">
        <v>44.0</v>
      </c>
      <c r="S124" s="1">
        <v>44.0</v>
      </c>
      <c r="T124" s="1" t="s">
        <v>52</v>
      </c>
      <c r="U124" s="1">
        <v>93.0</v>
      </c>
      <c r="V124" s="1">
        <v>48.0</v>
      </c>
      <c r="W124" s="1">
        <v>47.0</v>
      </c>
      <c r="X124" s="1">
        <v>45.0</v>
      </c>
      <c r="Y124" s="1">
        <v>44.0</v>
      </c>
      <c r="Z124" s="1" t="s">
        <v>53</v>
      </c>
      <c r="AA124" s="1">
        <v>85.0</v>
      </c>
      <c r="AB124" s="1">
        <v>40.0</v>
      </c>
      <c r="AC124" s="1">
        <v>40.0</v>
      </c>
      <c r="AD124" s="1">
        <v>45.0</v>
      </c>
      <c r="AE124" s="1">
        <v>44.0</v>
      </c>
      <c r="AF124" s="1" t="s">
        <v>54</v>
      </c>
      <c r="AG124" s="1">
        <v>94.0</v>
      </c>
      <c r="AH124" s="1">
        <v>42.0</v>
      </c>
      <c r="AI124" s="1">
        <v>41.0</v>
      </c>
      <c r="AJ124" s="1">
        <v>52.0</v>
      </c>
      <c r="AK124" s="1">
        <v>52.0</v>
      </c>
      <c r="AL124" s="1">
        <v>456.0</v>
      </c>
      <c r="AM124" s="1">
        <v>1.0</v>
      </c>
      <c r="AN124" s="1" t="s">
        <v>55</v>
      </c>
      <c r="AO124" s="1" t="s">
        <v>55</v>
      </c>
      <c r="AP124" s="1" t="s">
        <v>764</v>
      </c>
      <c r="AQ124" s="3" t="str">
        <f>HYPERLINK("https://icf.clappia.com/app/GMB253374/submission/YVC12907389/ICF247370-GMB253374-2djo2j9go7ao00000000/SIG-20250702_1200nf7bg.jpeg", "SIG-20250702_1200nf7bg.jpeg")</f>
        <v>SIG-20250702_1200nf7bg.jpeg</v>
      </c>
      <c r="AR124" s="1" t="s">
        <v>765</v>
      </c>
      <c r="AS124" s="3" t="str">
        <f>HYPERLINK("https://icf.clappia.com/app/GMB253374/submission/YVC12907389/ICF247370-GMB253374-30688o41i52o00000000/SIG-20250702_1201fjcm0.jpeg", "SIG-20250702_1201fjcm0.jpeg")</f>
        <v>SIG-20250702_1201fjcm0.jpeg</v>
      </c>
      <c r="AT124" s="1" t="s">
        <v>766</v>
      </c>
      <c r="AU124" s="3" t="str">
        <f>HYPERLINK("https://icf.clappia.com/app/GMB253374/submission/YVC12907389/ICF247370-GMB253374-69heohhgd00e00000000/SIG-20250703_13175j3p7.jpeg", "SIG-20250703_13175j3p7.jpeg")</f>
        <v>SIG-20250703_13175j3p7.jpeg</v>
      </c>
      <c r="AV124" s="3" t="str">
        <f>HYPERLINK("https://www.google.com/maps/place/9.18493%2C-12.1479717", "9.18493,-12.1479717")</f>
        <v>9.18493,-12.1479717</v>
      </c>
    </row>
    <row r="125" ht="15.75" customHeight="1">
      <c r="A125" s="1" t="s">
        <v>767</v>
      </c>
      <c r="B125" s="1" t="s">
        <v>75</v>
      </c>
      <c r="C125" s="1" t="s">
        <v>768</v>
      </c>
      <c r="D125" s="1" t="s">
        <v>769</v>
      </c>
      <c r="E125" s="1" t="s">
        <v>770</v>
      </c>
      <c r="F125" s="1" t="s">
        <v>49</v>
      </c>
      <c r="G125" s="1">
        <v>200.0</v>
      </c>
      <c r="H125" s="1" t="s">
        <v>50</v>
      </c>
      <c r="I125" s="1">
        <v>43.0</v>
      </c>
      <c r="J125" s="1">
        <v>25.0</v>
      </c>
      <c r="K125" s="1">
        <v>25.0</v>
      </c>
      <c r="L125" s="1">
        <v>18.0</v>
      </c>
      <c r="M125" s="1">
        <v>18.0</v>
      </c>
      <c r="N125" s="1" t="s">
        <v>51</v>
      </c>
      <c r="O125" s="1">
        <v>45.0</v>
      </c>
      <c r="P125" s="1">
        <v>27.0</v>
      </c>
      <c r="Q125" s="1">
        <v>27.0</v>
      </c>
      <c r="R125" s="1">
        <v>18.0</v>
      </c>
      <c r="S125" s="1">
        <v>18.0</v>
      </c>
      <c r="T125" s="1" t="s">
        <v>52</v>
      </c>
      <c r="U125" s="1">
        <v>41.0</v>
      </c>
      <c r="V125" s="1">
        <v>27.0</v>
      </c>
      <c r="W125" s="1">
        <v>27.0</v>
      </c>
      <c r="X125" s="1">
        <v>14.0</v>
      </c>
      <c r="Y125" s="1">
        <v>14.0</v>
      </c>
      <c r="Z125" s="1" t="s">
        <v>53</v>
      </c>
      <c r="AA125" s="1">
        <v>39.0</v>
      </c>
      <c r="AB125" s="1">
        <v>18.0</v>
      </c>
      <c r="AC125" s="1">
        <v>18.0</v>
      </c>
      <c r="AD125" s="1">
        <v>21.0</v>
      </c>
      <c r="AE125" s="1">
        <v>21.0</v>
      </c>
      <c r="AF125" s="1" t="s">
        <v>54</v>
      </c>
      <c r="AG125" s="1">
        <v>32.0</v>
      </c>
      <c r="AH125" s="1">
        <v>14.0</v>
      </c>
      <c r="AI125" s="1">
        <v>14.0</v>
      </c>
      <c r="AJ125" s="1">
        <v>18.0</v>
      </c>
      <c r="AK125" s="1">
        <v>18.0</v>
      </c>
      <c r="AL125" s="1">
        <v>200.0</v>
      </c>
      <c r="AM125" s="1" t="s">
        <v>55</v>
      </c>
      <c r="AN125" s="1" t="s">
        <v>55</v>
      </c>
      <c r="AO125" s="1" t="s">
        <v>55</v>
      </c>
      <c r="AP125" s="1" t="s">
        <v>771</v>
      </c>
      <c r="AQ125" s="3" t="str">
        <f>HYPERLINK("https://icf.clappia.com/app/GMB253374/submission/MNZ67945358/ICF247370-GMB253374-2n1cgp1l7a4400000000/SIG-20250703_13049m3hm.jpeg", "SIG-20250703_13049m3hm.jpeg")</f>
        <v>SIG-20250703_13049m3hm.jpeg</v>
      </c>
      <c r="AR125" s="1" t="s">
        <v>772</v>
      </c>
      <c r="AS125" s="3" t="str">
        <f>HYPERLINK("https://icf.clappia.com/app/GMB253374/submission/MNZ67945358/ICF247370-GMB253374-4dp1nhenebo400000000/SIG-20250703_1301197e9d.jpeg", "SIG-20250703_1301197e9d.jpeg")</f>
        <v>SIG-20250703_1301197e9d.jpeg</v>
      </c>
      <c r="AT125" s="1" t="s">
        <v>773</v>
      </c>
      <c r="AU125" s="3" t="str">
        <f>HYPERLINK("https://icf.clappia.com/app/GMB253374/submission/MNZ67945358/ICF247370-GMB253374-1p9fingoo0n3m0000000/SIG-20250703_130110n548.jpeg", "SIG-20250703_130110n548.jpeg")</f>
        <v>SIG-20250703_130110n548.jpeg</v>
      </c>
      <c r="AV125" s="3" t="str">
        <f>HYPERLINK("https://www.google.com/maps/place/8.8802742%2C-12.1098607", "8.8802742,-12.1098607")</f>
        <v>8.8802742,-12.1098607</v>
      </c>
    </row>
    <row r="126" ht="15.75" customHeight="1">
      <c r="A126" s="1" t="s">
        <v>774</v>
      </c>
      <c r="B126" s="1" t="s">
        <v>129</v>
      </c>
      <c r="C126" s="1" t="s">
        <v>775</v>
      </c>
      <c r="D126" s="1" t="s">
        <v>775</v>
      </c>
      <c r="E126" s="1" t="s">
        <v>776</v>
      </c>
      <c r="F126" s="1" t="s">
        <v>64</v>
      </c>
      <c r="G126" s="1">
        <v>200.0</v>
      </c>
      <c r="H126" s="1" t="s">
        <v>50</v>
      </c>
      <c r="I126" s="1">
        <v>40.0</v>
      </c>
      <c r="J126" s="1">
        <v>20.0</v>
      </c>
      <c r="K126" s="1">
        <v>20.0</v>
      </c>
      <c r="L126" s="1">
        <v>20.0</v>
      </c>
      <c r="M126" s="1">
        <v>20.0</v>
      </c>
      <c r="N126" s="1" t="s">
        <v>51</v>
      </c>
      <c r="O126" s="1">
        <v>17.0</v>
      </c>
      <c r="P126" s="1">
        <v>13.0</v>
      </c>
      <c r="Q126" s="1">
        <v>13.0</v>
      </c>
      <c r="R126" s="1">
        <v>4.0</v>
      </c>
      <c r="S126" s="1">
        <v>4.0</v>
      </c>
      <c r="T126" s="1" t="s">
        <v>52</v>
      </c>
      <c r="U126" s="1">
        <v>20.0</v>
      </c>
      <c r="V126" s="1">
        <v>5.0</v>
      </c>
      <c r="W126" s="1">
        <v>5.0</v>
      </c>
      <c r="X126" s="1">
        <v>15.0</v>
      </c>
      <c r="Y126" s="1">
        <v>15.0</v>
      </c>
      <c r="Z126" s="1" t="s">
        <v>53</v>
      </c>
      <c r="AA126" s="1">
        <v>12.0</v>
      </c>
      <c r="AB126" s="1">
        <v>9.0</v>
      </c>
      <c r="AC126" s="1">
        <v>9.0</v>
      </c>
      <c r="AD126" s="1">
        <v>3.0</v>
      </c>
      <c r="AE126" s="1">
        <v>3.0</v>
      </c>
      <c r="AF126" s="1" t="s">
        <v>54</v>
      </c>
      <c r="AG126" s="1">
        <v>21.0</v>
      </c>
      <c r="AH126" s="1">
        <v>7.0</v>
      </c>
      <c r="AI126" s="1">
        <v>7.0</v>
      </c>
      <c r="AJ126" s="1">
        <v>14.0</v>
      </c>
      <c r="AK126" s="1">
        <v>14.0</v>
      </c>
      <c r="AL126" s="1">
        <v>110.0</v>
      </c>
      <c r="AM126" s="1" t="s">
        <v>55</v>
      </c>
      <c r="AN126" s="1">
        <v>90.0</v>
      </c>
      <c r="AO126" s="1">
        <v>90.0</v>
      </c>
      <c r="AP126" s="1" t="s">
        <v>132</v>
      </c>
      <c r="AQ126" s="3" t="str">
        <f>HYPERLINK("https://icf.clappia.com/app/GMB253374/submission/CPJ01826771/ICF247370-GMB253374-65c5dc93ec0800000000/SIG-20250703_125817kjmg.jpeg", "SIG-20250703_125817kjmg.jpeg")</f>
        <v>SIG-20250703_125817kjmg.jpeg</v>
      </c>
      <c r="AR126" s="1" t="s">
        <v>133</v>
      </c>
      <c r="AS126" s="3" t="str">
        <f>HYPERLINK("https://icf.clappia.com/app/GMB253374/submission/CPJ01826771/ICF247370-GMB253374-25l0n701fpji80000000/SIG-20250703_1259nl042.jpeg", "SIG-20250703_1259nl042.jpeg")</f>
        <v>SIG-20250703_1259nl042.jpeg</v>
      </c>
      <c r="AT126" s="1" t="s">
        <v>134</v>
      </c>
      <c r="AU126" s="3" t="str">
        <f>HYPERLINK("https://icf.clappia.com/app/GMB253374/submission/CPJ01826771/ICF247370-GMB253374-29lbbh0138cc80000000/SIG-20250703_130014oe6f.jpeg", "SIG-20250703_130014oe6f.jpeg")</f>
        <v>SIG-20250703_130014oe6f.jpeg</v>
      </c>
      <c r="AV126" s="3" t="str">
        <f>HYPERLINK("https://www.google.com/maps/place/8.0722583%2C-11.7185933", "8.0722583,-11.7185933")</f>
        <v>8.0722583,-11.7185933</v>
      </c>
    </row>
    <row r="127" ht="15.75" customHeight="1">
      <c r="A127" s="1" t="s">
        <v>777</v>
      </c>
      <c r="B127" s="1" t="s">
        <v>778</v>
      </c>
      <c r="C127" s="1" t="s">
        <v>779</v>
      </c>
      <c r="D127" s="1" t="s">
        <v>779</v>
      </c>
      <c r="E127" s="1" t="s">
        <v>780</v>
      </c>
      <c r="F127" s="1" t="s">
        <v>64</v>
      </c>
      <c r="G127" s="1">
        <v>206.0</v>
      </c>
      <c r="H127" s="1" t="s">
        <v>50</v>
      </c>
      <c r="I127" s="1">
        <v>78.0</v>
      </c>
      <c r="J127" s="1">
        <v>40.0</v>
      </c>
      <c r="K127" s="1">
        <v>40.0</v>
      </c>
      <c r="L127" s="1">
        <v>38.0</v>
      </c>
      <c r="M127" s="1">
        <v>38.0</v>
      </c>
      <c r="N127" s="1" t="s">
        <v>51</v>
      </c>
      <c r="O127" s="1">
        <v>24.0</v>
      </c>
      <c r="P127" s="1">
        <v>13.0</v>
      </c>
      <c r="Q127" s="1">
        <v>13.0</v>
      </c>
      <c r="R127" s="1">
        <v>11.0</v>
      </c>
      <c r="S127" s="1">
        <v>11.0</v>
      </c>
      <c r="T127" s="1" t="s">
        <v>52</v>
      </c>
      <c r="U127" s="1">
        <v>16.0</v>
      </c>
      <c r="V127" s="1">
        <v>10.0</v>
      </c>
      <c r="W127" s="1">
        <v>10.0</v>
      </c>
      <c r="X127" s="1">
        <v>6.0</v>
      </c>
      <c r="Y127" s="1">
        <v>6.0</v>
      </c>
      <c r="Z127" s="1" t="s">
        <v>53</v>
      </c>
      <c r="AA127" s="1">
        <v>15.0</v>
      </c>
      <c r="AB127" s="1">
        <v>4.0</v>
      </c>
      <c r="AC127" s="1">
        <v>4.0</v>
      </c>
      <c r="AD127" s="1">
        <v>11.0</v>
      </c>
      <c r="AE127" s="1">
        <v>11.0</v>
      </c>
      <c r="AF127" s="1" t="s">
        <v>54</v>
      </c>
      <c r="AG127" s="1">
        <v>17.0</v>
      </c>
      <c r="AH127" s="1">
        <v>9.0</v>
      </c>
      <c r="AI127" s="1">
        <v>9.0</v>
      </c>
      <c r="AJ127" s="1">
        <v>8.0</v>
      </c>
      <c r="AK127" s="1">
        <v>8.0</v>
      </c>
      <c r="AL127" s="1">
        <v>150.0</v>
      </c>
      <c r="AM127" s="1" t="s">
        <v>55</v>
      </c>
      <c r="AN127" s="1">
        <v>56.0</v>
      </c>
      <c r="AO127" s="1">
        <v>56.0</v>
      </c>
      <c r="AP127" s="1" t="s">
        <v>781</v>
      </c>
      <c r="AQ127" s="3" t="str">
        <f>HYPERLINK("https://icf.clappia.com/app/GMB253374/submission/DVQ52665978/ICF247370-GMB253374-2lon7200dbc600000000/SIG-20250703_1041dhhe2.jpeg", "SIG-20250703_1041dhhe2.jpeg")</f>
        <v>SIG-20250703_1041dhhe2.jpeg</v>
      </c>
      <c r="AR127" s="1" t="s">
        <v>782</v>
      </c>
      <c r="AS127" s="3" t="str">
        <f>HYPERLINK("https://icf.clappia.com/app/GMB253374/submission/DVQ52665978/ICF247370-GMB253374-3f22e24gp6f600000000/SIG-20250703_1041m1el7.jpeg", "SIG-20250703_1041m1el7.jpeg")</f>
        <v>SIG-20250703_1041m1el7.jpeg</v>
      </c>
      <c r="AT127" s="1" t="s">
        <v>783</v>
      </c>
      <c r="AU127" s="3" t="str">
        <f>HYPERLINK("https://icf.clappia.com/app/GMB253374/submission/DVQ52665978/ICF247370-GMB253374-18bkjceh0l4ak0000000/SIG-20250703_104214cm0k.jpeg", "SIG-20250703_104214cm0k.jpeg")</f>
        <v>SIG-20250703_104214cm0k.jpeg</v>
      </c>
      <c r="AV127" s="3" t="str">
        <f>HYPERLINK("https://www.google.com/maps/place/7.800015%2C-11.610385", "7.800015,-11.610385")</f>
        <v>7.800015,-11.610385</v>
      </c>
    </row>
    <row r="128" ht="15.75" customHeight="1">
      <c r="A128" s="1" t="s">
        <v>784</v>
      </c>
      <c r="B128" s="1" t="s">
        <v>167</v>
      </c>
      <c r="C128" s="1" t="s">
        <v>785</v>
      </c>
      <c r="D128" s="1" t="s">
        <v>786</v>
      </c>
      <c r="E128" s="1" t="s">
        <v>787</v>
      </c>
      <c r="F128" s="1" t="s">
        <v>64</v>
      </c>
      <c r="G128" s="1">
        <v>116.0</v>
      </c>
      <c r="H128" s="1" t="s">
        <v>50</v>
      </c>
      <c r="I128" s="1">
        <v>31.0</v>
      </c>
      <c r="J128" s="1">
        <v>15.0</v>
      </c>
      <c r="K128" s="1">
        <v>15.0</v>
      </c>
      <c r="L128" s="1">
        <v>16.0</v>
      </c>
      <c r="M128" s="1">
        <v>16.0</v>
      </c>
      <c r="N128" s="1" t="s">
        <v>51</v>
      </c>
      <c r="O128" s="1">
        <v>24.0</v>
      </c>
      <c r="P128" s="1">
        <v>10.0</v>
      </c>
      <c r="Q128" s="1">
        <v>10.0</v>
      </c>
      <c r="R128" s="1">
        <v>14.0</v>
      </c>
      <c r="S128" s="1">
        <v>14.0</v>
      </c>
      <c r="T128" s="1" t="s">
        <v>52</v>
      </c>
      <c r="U128" s="1">
        <v>26.0</v>
      </c>
      <c r="V128" s="1">
        <v>10.0</v>
      </c>
      <c r="W128" s="1">
        <v>10.0</v>
      </c>
      <c r="X128" s="1">
        <v>16.0</v>
      </c>
      <c r="Y128" s="1">
        <v>16.0</v>
      </c>
      <c r="Z128" s="1" t="s">
        <v>53</v>
      </c>
      <c r="AA128" s="1">
        <v>19.0</v>
      </c>
      <c r="AB128" s="1">
        <v>11.0</v>
      </c>
      <c r="AC128" s="1">
        <v>11.0</v>
      </c>
      <c r="AD128" s="1">
        <v>8.0</v>
      </c>
      <c r="AE128" s="1">
        <v>8.0</v>
      </c>
      <c r="AF128" s="1" t="s">
        <v>54</v>
      </c>
      <c r="AG128" s="1">
        <v>16.0</v>
      </c>
      <c r="AH128" s="1">
        <v>6.0</v>
      </c>
      <c r="AI128" s="1">
        <v>6.0</v>
      </c>
      <c r="AJ128" s="1">
        <v>10.0</v>
      </c>
      <c r="AK128" s="1">
        <v>10.0</v>
      </c>
      <c r="AL128" s="1">
        <v>116.0</v>
      </c>
      <c r="AM128" s="1" t="s">
        <v>55</v>
      </c>
      <c r="AN128" s="1" t="s">
        <v>55</v>
      </c>
      <c r="AO128" s="1" t="s">
        <v>55</v>
      </c>
      <c r="AP128" s="1" t="s">
        <v>788</v>
      </c>
      <c r="AQ128" s="3" t="str">
        <f>HYPERLINK("https://icf.clappia.com/app/GMB253374/submission/GTO69230917/ICF247370-GMB253374-2ch32d33k8me00000000/SIG-20250703_10577f32l.jpeg", "SIG-20250703_10577f32l.jpeg")</f>
        <v>SIG-20250703_10577f32l.jpeg</v>
      </c>
      <c r="AR128" s="1" t="s">
        <v>789</v>
      </c>
      <c r="AS128" s="3" t="str">
        <f>HYPERLINK("https://icf.clappia.com/app/GMB253374/submission/GTO69230917/ICF247370-GMB253374-4p77noc75eg400000000/SIG-20250703_1257c1265.jpeg", "SIG-20250703_1257c1265.jpeg")</f>
        <v>SIG-20250703_1257c1265.jpeg</v>
      </c>
      <c r="AT128" s="1" t="s">
        <v>790</v>
      </c>
      <c r="AU128" s="3" t="str">
        <f>HYPERLINK("https://icf.clappia.com/app/GMB253374/submission/GTO69230917/ICF247370-GMB253374-4bc0pd9c315200000000/SIG-20250703_105729320.jpeg", "SIG-20250703_105729320.jpeg")</f>
        <v>SIG-20250703_105729320.jpeg</v>
      </c>
      <c r="AV128" s="3" t="str">
        <f>HYPERLINK("https://www.google.com/maps/place/7.7925779%2C-11.850861", "7.7925779,-11.850861")</f>
        <v>7.7925779,-11.850861</v>
      </c>
    </row>
    <row r="129" ht="15.75" customHeight="1">
      <c r="A129" s="1" t="s">
        <v>791</v>
      </c>
      <c r="B129" s="1" t="s">
        <v>161</v>
      </c>
      <c r="C129" s="1" t="s">
        <v>786</v>
      </c>
      <c r="D129" s="1" t="s">
        <v>786</v>
      </c>
      <c r="E129" s="1" t="s">
        <v>792</v>
      </c>
      <c r="F129" s="1" t="s">
        <v>49</v>
      </c>
      <c r="G129" s="1">
        <v>158.0</v>
      </c>
      <c r="H129" s="1" t="s">
        <v>50</v>
      </c>
      <c r="I129" s="1">
        <v>60.0</v>
      </c>
      <c r="J129" s="1">
        <v>34.0</v>
      </c>
      <c r="K129" s="1">
        <v>34.0</v>
      </c>
      <c r="L129" s="1">
        <v>26.0</v>
      </c>
      <c r="M129" s="1">
        <v>26.0</v>
      </c>
      <c r="N129" s="1" t="s">
        <v>51</v>
      </c>
      <c r="O129" s="1">
        <v>31.0</v>
      </c>
      <c r="P129" s="1">
        <v>17.0</v>
      </c>
      <c r="Q129" s="1">
        <v>17.0</v>
      </c>
      <c r="R129" s="1">
        <v>14.0</v>
      </c>
      <c r="S129" s="1">
        <v>14.0</v>
      </c>
      <c r="T129" s="1" t="s">
        <v>52</v>
      </c>
      <c r="U129" s="1">
        <v>24.0</v>
      </c>
      <c r="V129" s="1">
        <v>10.0</v>
      </c>
      <c r="W129" s="1">
        <v>10.0</v>
      </c>
      <c r="X129" s="1">
        <v>14.0</v>
      </c>
      <c r="Y129" s="1">
        <v>14.0</v>
      </c>
      <c r="Z129" s="1" t="s">
        <v>53</v>
      </c>
      <c r="AA129" s="1">
        <v>21.0</v>
      </c>
      <c r="AB129" s="1">
        <v>8.0</v>
      </c>
      <c r="AC129" s="1">
        <v>8.0</v>
      </c>
      <c r="AD129" s="1">
        <v>7.0</v>
      </c>
      <c r="AE129" s="1">
        <v>7.0</v>
      </c>
      <c r="AF129" s="1" t="s">
        <v>54</v>
      </c>
      <c r="AG129" s="1">
        <v>22.0</v>
      </c>
      <c r="AH129" s="1">
        <v>8.0</v>
      </c>
      <c r="AI129" s="1">
        <v>8.0</v>
      </c>
      <c r="AJ129" s="1">
        <v>12.0</v>
      </c>
      <c r="AK129" s="1">
        <v>10.0</v>
      </c>
      <c r="AL129" s="1">
        <v>148.0</v>
      </c>
      <c r="AM129" s="1">
        <v>10.0</v>
      </c>
      <c r="AN129" s="1" t="s">
        <v>55</v>
      </c>
      <c r="AO129" s="1" t="s">
        <v>55</v>
      </c>
      <c r="AP129" s="1" t="s">
        <v>793</v>
      </c>
      <c r="AQ129" s="3" t="str">
        <f>HYPERLINK("https://icf.clappia.com/app/GMB253374/submission/PYL21098632/ICF247370-GMB253374-63k98m8cdni400000000/SIG-20250703_1254137b82.jpeg", "SIG-20250703_1254137b82.jpeg")</f>
        <v>SIG-20250703_1254137b82.jpeg</v>
      </c>
      <c r="AR129" s="1" t="s">
        <v>794</v>
      </c>
      <c r="AS129" s="3" t="str">
        <f>HYPERLINK("https://icf.clappia.com/app/GMB253374/submission/PYL21098632/ICF247370-GMB253374-d0m3n79g0m5e0000000/SIG-20250703_1255j8cf4.jpeg", "SIG-20250703_1255j8cf4.jpeg")</f>
        <v>SIG-20250703_1255j8cf4.jpeg</v>
      </c>
      <c r="AT129" s="1" t="s">
        <v>795</v>
      </c>
      <c r="AU129" s="3" t="str">
        <f>HYPERLINK("https://icf.clappia.com/app/GMB253374/submission/PYL21098632/ICF247370-GMB253374-2mbnob3aj60800000000/SIG-20250703_1257875gm.jpeg", "SIG-20250703_1257875gm.jpeg")</f>
        <v>SIG-20250703_1257875gm.jpeg</v>
      </c>
      <c r="AV129" s="3" t="str">
        <f>HYPERLINK("https://www.google.com/maps/place/7.9484991%2C-11.7112773", "7.9484991,-11.7112773")</f>
        <v>7.9484991,-11.7112773</v>
      </c>
    </row>
    <row r="130" ht="15.75" customHeight="1">
      <c r="A130" s="1" t="s">
        <v>796</v>
      </c>
      <c r="B130" s="1" t="s">
        <v>349</v>
      </c>
      <c r="C130" s="1" t="s">
        <v>797</v>
      </c>
      <c r="D130" s="1" t="s">
        <v>797</v>
      </c>
      <c r="E130" s="1" t="s">
        <v>798</v>
      </c>
      <c r="F130" s="1" t="s">
        <v>64</v>
      </c>
      <c r="G130" s="1">
        <v>110.0</v>
      </c>
      <c r="H130" s="1" t="s">
        <v>50</v>
      </c>
      <c r="I130" s="1">
        <v>32.0</v>
      </c>
      <c r="J130" s="1">
        <v>18.0</v>
      </c>
      <c r="K130" s="1">
        <v>15.0</v>
      </c>
      <c r="L130" s="1">
        <v>14.0</v>
      </c>
      <c r="M130" s="1">
        <v>12.0</v>
      </c>
      <c r="N130" s="1" t="s">
        <v>51</v>
      </c>
      <c r="O130" s="1">
        <v>26.0</v>
      </c>
      <c r="P130" s="1">
        <v>10.0</v>
      </c>
      <c r="Q130" s="1">
        <v>9.0</v>
      </c>
      <c r="R130" s="1">
        <v>16.0</v>
      </c>
      <c r="S130" s="1">
        <v>13.0</v>
      </c>
      <c r="T130" s="1" t="s">
        <v>52</v>
      </c>
      <c r="U130" s="1">
        <v>21.0</v>
      </c>
      <c r="V130" s="1">
        <v>12.0</v>
      </c>
      <c r="W130" s="1">
        <v>12.0</v>
      </c>
      <c r="X130" s="1">
        <v>9.0</v>
      </c>
      <c r="Y130" s="1">
        <v>9.0</v>
      </c>
      <c r="Z130" s="1" t="s">
        <v>53</v>
      </c>
      <c r="AA130" s="1">
        <v>11.0</v>
      </c>
      <c r="AB130" s="1">
        <v>4.0</v>
      </c>
      <c r="AC130" s="1">
        <v>4.0</v>
      </c>
      <c r="AD130" s="1">
        <v>7.0</v>
      </c>
      <c r="AE130" s="1">
        <v>6.0</v>
      </c>
      <c r="AF130" s="1" t="s">
        <v>54</v>
      </c>
      <c r="AG130" s="1">
        <v>22.0</v>
      </c>
      <c r="AH130" s="1">
        <v>10.0</v>
      </c>
      <c r="AI130" s="1">
        <v>8.0</v>
      </c>
      <c r="AJ130" s="1">
        <v>12.0</v>
      </c>
      <c r="AK130" s="1">
        <v>9.0</v>
      </c>
      <c r="AL130" s="1">
        <v>97.0</v>
      </c>
      <c r="AM130" s="1">
        <v>5.0</v>
      </c>
      <c r="AN130" s="1">
        <v>8.0</v>
      </c>
      <c r="AO130" s="1">
        <v>8.0</v>
      </c>
      <c r="AP130" s="1" t="s">
        <v>224</v>
      </c>
      <c r="AQ130" s="3" t="str">
        <f>HYPERLINK("https://icf.clappia.com/app/GMB253374/submission/OCL32235777/ICF247370-GMB253374-3h712hcm5e6200000000/SIG-20250703_12459nmhi.jpeg", "SIG-20250703_12459nmhi.jpeg")</f>
        <v>SIG-20250703_12459nmhi.jpeg</v>
      </c>
      <c r="AR130" s="1" t="s">
        <v>799</v>
      </c>
      <c r="AS130" s="3" t="str">
        <f>HYPERLINK("https://icf.clappia.com/app/GMB253374/submission/OCL32235777/ICF247370-GMB253374-4coccaejk1na00000000/SIG-20250703_124614854n.jpeg", "SIG-20250703_124614854n.jpeg")</f>
        <v>SIG-20250703_124614854n.jpeg</v>
      </c>
      <c r="AT130" s="1" t="s">
        <v>800</v>
      </c>
      <c r="AU130" s="3" t="str">
        <f>HYPERLINK("https://icf.clappia.com/app/GMB253374/submission/OCL32235777/ICF247370-GMB253374-2bhmcm9ogoc480000000/SIG-20250703_12488e9dc.jpeg", "SIG-20250703_12488e9dc.jpeg")</f>
        <v>SIG-20250703_12488e9dc.jpeg</v>
      </c>
      <c r="AV130" s="3" t="str">
        <f>HYPERLINK("https://www.google.com/maps/place/9.0002567%2C-11.911805", "9.0002567,-11.911805")</f>
        <v>9.0002567,-11.911805</v>
      </c>
    </row>
    <row r="131" ht="15.75" customHeight="1">
      <c r="A131" s="1" t="s">
        <v>801</v>
      </c>
      <c r="B131" s="1" t="s">
        <v>802</v>
      </c>
      <c r="C131" s="1" t="s">
        <v>803</v>
      </c>
      <c r="D131" s="1" t="s">
        <v>804</v>
      </c>
      <c r="E131" s="1" t="s">
        <v>805</v>
      </c>
      <c r="F131" s="1" t="s">
        <v>64</v>
      </c>
      <c r="G131" s="1">
        <v>199.0</v>
      </c>
      <c r="H131" s="1" t="s">
        <v>50</v>
      </c>
      <c r="I131" s="1">
        <v>69.0</v>
      </c>
      <c r="J131" s="1">
        <v>30.0</v>
      </c>
      <c r="K131" s="1">
        <v>30.0</v>
      </c>
      <c r="L131" s="1">
        <v>34.0</v>
      </c>
      <c r="M131" s="1">
        <v>34.0</v>
      </c>
      <c r="N131" s="1" t="s">
        <v>51</v>
      </c>
      <c r="O131" s="1">
        <v>36.0</v>
      </c>
      <c r="P131" s="1">
        <v>15.0</v>
      </c>
      <c r="Q131" s="1">
        <v>15.0</v>
      </c>
      <c r="R131" s="1">
        <v>21.0</v>
      </c>
      <c r="S131" s="1">
        <v>21.0</v>
      </c>
      <c r="T131" s="1" t="s">
        <v>52</v>
      </c>
      <c r="U131" s="1">
        <v>41.0</v>
      </c>
      <c r="V131" s="1">
        <v>21.0</v>
      </c>
      <c r="W131" s="1">
        <v>21.0</v>
      </c>
      <c r="X131" s="1">
        <v>20.0</v>
      </c>
      <c r="Y131" s="1">
        <v>20.0</v>
      </c>
      <c r="Z131" s="1" t="s">
        <v>53</v>
      </c>
      <c r="AA131" s="1">
        <v>34.0</v>
      </c>
      <c r="AB131" s="1">
        <v>15.0</v>
      </c>
      <c r="AC131" s="1">
        <v>15.0</v>
      </c>
      <c r="AD131" s="1">
        <v>19.0</v>
      </c>
      <c r="AE131" s="1">
        <v>19.0</v>
      </c>
      <c r="AF131" s="1" t="s">
        <v>54</v>
      </c>
      <c r="AG131" s="1">
        <v>5.0</v>
      </c>
      <c r="AH131" s="1">
        <v>2.0</v>
      </c>
      <c r="AI131" s="1">
        <v>2.0</v>
      </c>
      <c r="AJ131" s="1">
        <v>3.0</v>
      </c>
      <c r="AK131" s="1">
        <v>3.0</v>
      </c>
      <c r="AL131" s="1">
        <v>180.0</v>
      </c>
      <c r="AM131" s="1">
        <v>5.0</v>
      </c>
      <c r="AN131" s="1">
        <v>14.0</v>
      </c>
      <c r="AO131" s="1">
        <v>14.0</v>
      </c>
      <c r="AP131" s="1" t="s">
        <v>806</v>
      </c>
      <c r="AQ131" s="3" t="str">
        <f>HYPERLINK("https://icf.clappia.com/app/GMB253374/submission/QJP32732165/ICF247370-GMB253374-29ki18f6d0mak0000000/SIG-20250703_12434o2of.jpeg", "SIG-20250703_12434o2of.jpeg")</f>
        <v>SIG-20250703_12434o2of.jpeg</v>
      </c>
      <c r="AR131" s="1" t="s">
        <v>807</v>
      </c>
      <c r="AS131" s="3" t="str">
        <f>HYPERLINK("https://icf.clappia.com/app/GMB253374/submission/QJP32732165/ICF247370-GMB253374-ne3c9e7j0o1m0000000/SIG-20250703_12441601h9.jpeg", "SIG-20250703_12441601h9.jpeg")</f>
        <v>SIG-20250703_12441601h9.jpeg</v>
      </c>
      <c r="AT131" s="1" t="s">
        <v>808</v>
      </c>
      <c r="AU131" s="3" t="str">
        <f>HYPERLINK("https://icf.clappia.com/app/GMB253374/submission/QJP32732165/ICF247370-GMB253374-2c87247njg6m00000000/SIG-20250703_12451a629h.jpeg", "SIG-20250703_12451a629h.jpeg")</f>
        <v>SIG-20250703_12451a629h.jpeg</v>
      </c>
      <c r="AV131" s="3" t="str">
        <f>HYPERLINK("https://www.google.com/maps/place/7.6098567%2C-11.664305", "7.6098567,-11.664305")</f>
        <v>7.6098567,-11.664305</v>
      </c>
    </row>
    <row r="132" ht="15.75" customHeight="1">
      <c r="A132" s="1" t="s">
        <v>809</v>
      </c>
      <c r="B132" s="1" t="s">
        <v>81</v>
      </c>
      <c r="C132" s="1" t="s">
        <v>810</v>
      </c>
      <c r="D132" s="1" t="s">
        <v>810</v>
      </c>
      <c r="E132" s="1" t="s">
        <v>811</v>
      </c>
      <c r="F132" s="1" t="s">
        <v>64</v>
      </c>
      <c r="G132" s="1">
        <v>129.0</v>
      </c>
      <c r="H132" s="1" t="s">
        <v>50</v>
      </c>
      <c r="I132" s="1">
        <v>120.0</v>
      </c>
      <c r="J132" s="1">
        <v>60.0</v>
      </c>
      <c r="K132" s="1">
        <v>23.0</v>
      </c>
      <c r="L132" s="1">
        <v>60.0</v>
      </c>
      <c r="M132" s="1">
        <v>19.0</v>
      </c>
      <c r="N132" s="1" t="s">
        <v>51</v>
      </c>
      <c r="O132" s="1">
        <v>49.0</v>
      </c>
      <c r="P132" s="1">
        <v>24.0</v>
      </c>
      <c r="Q132" s="1">
        <v>12.0</v>
      </c>
      <c r="R132" s="1">
        <v>25.0</v>
      </c>
      <c r="S132" s="1">
        <v>8.0</v>
      </c>
      <c r="T132" s="1" t="s">
        <v>52</v>
      </c>
      <c r="U132" s="1">
        <v>50.0</v>
      </c>
      <c r="V132" s="1">
        <v>25.0</v>
      </c>
      <c r="W132" s="1">
        <v>23.0</v>
      </c>
      <c r="X132" s="1">
        <v>25.0</v>
      </c>
      <c r="Y132" s="1">
        <v>10.0</v>
      </c>
      <c r="Z132" s="1" t="s">
        <v>53</v>
      </c>
      <c r="AA132" s="1">
        <v>45.0</v>
      </c>
      <c r="AB132" s="1">
        <v>20.0</v>
      </c>
      <c r="AC132" s="1">
        <v>8.0</v>
      </c>
      <c r="AD132" s="1">
        <v>25.0</v>
      </c>
      <c r="AE132" s="1">
        <v>8.0</v>
      </c>
      <c r="AF132" s="1" t="s">
        <v>54</v>
      </c>
      <c r="AG132" s="1">
        <v>50.0</v>
      </c>
      <c r="AH132" s="1">
        <v>25.0</v>
      </c>
      <c r="AI132" s="1">
        <v>7.0</v>
      </c>
      <c r="AJ132" s="1">
        <v>25.0</v>
      </c>
      <c r="AK132" s="1">
        <v>4.0</v>
      </c>
      <c r="AL132" s="1">
        <v>122.0</v>
      </c>
      <c r="AM132" s="1">
        <v>7.0</v>
      </c>
      <c r="AN132" s="1" t="s">
        <v>55</v>
      </c>
      <c r="AO132" s="1" t="s">
        <v>55</v>
      </c>
      <c r="AP132" s="1" t="s">
        <v>812</v>
      </c>
      <c r="AQ132" s="3" t="str">
        <f>HYPERLINK("https://icf.clappia.com/app/GMB253374/submission/BNV24592042/ICF247370-GMB253374-1he2ja4b17b440000000/SIG-20250703_1244j86d9.jpeg", "SIG-20250703_1244j86d9.jpeg")</f>
        <v>SIG-20250703_1244j86d9.jpeg</v>
      </c>
      <c r="AR132" s="1" t="s">
        <v>813</v>
      </c>
      <c r="AS132" s="3" t="str">
        <f>HYPERLINK("https://icf.clappia.com/app/GMB253374/submission/BNV24592042/ICF247370-GMB253374-4hamoma0og8c0000000/SIG-20250703_12455pld4.jpeg", "SIG-20250703_12455pld4.jpeg")</f>
        <v>SIG-20250703_12455pld4.jpeg</v>
      </c>
      <c r="AT132" s="1" t="s">
        <v>814</v>
      </c>
      <c r="AU132" s="3" t="str">
        <f>HYPERLINK("https://icf.clappia.com/app/GMB253374/submission/BNV24592042/ICF247370-GMB253374-5nobfpl4kbmk00000000/SIG-20250703_12453n1ek.jpeg", "SIG-20250703_12453n1ek.jpeg")</f>
        <v>SIG-20250703_12453n1ek.jpeg</v>
      </c>
      <c r="AV132" s="3" t="str">
        <f>HYPERLINK("https://www.google.com/maps/place/7.9623583%2C-11.7592583", "7.9623583,-11.7592583")</f>
        <v>7.9623583,-11.7592583</v>
      </c>
    </row>
    <row r="133" ht="15.75" customHeight="1">
      <c r="A133" s="1" t="s">
        <v>815</v>
      </c>
      <c r="B133" s="1" t="s">
        <v>167</v>
      </c>
      <c r="C133" s="1" t="s">
        <v>816</v>
      </c>
      <c r="D133" s="1" t="s">
        <v>816</v>
      </c>
      <c r="E133" s="1" t="s">
        <v>817</v>
      </c>
      <c r="F133" s="1" t="s">
        <v>64</v>
      </c>
      <c r="G133" s="1">
        <v>150.0</v>
      </c>
      <c r="H133" s="1" t="s">
        <v>50</v>
      </c>
      <c r="I133" s="1">
        <v>30.0</v>
      </c>
      <c r="J133" s="1">
        <v>14.0</v>
      </c>
      <c r="K133" s="1">
        <v>14.0</v>
      </c>
      <c r="L133" s="1">
        <v>16.0</v>
      </c>
      <c r="M133" s="1">
        <v>16.0</v>
      </c>
      <c r="N133" s="1" t="s">
        <v>51</v>
      </c>
      <c r="O133" s="1">
        <v>25.0</v>
      </c>
      <c r="P133" s="1">
        <v>15.0</v>
      </c>
      <c r="Q133" s="1">
        <v>15.0</v>
      </c>
      <c r="R133" s="1">
        <v>10.0</v>
      </c>
      <c r="S133" s="1">
        <v>10.0</v>
      </c>
      <c r="T133" s="1" t="s">
        <v>52</v>
      </c>
      <c r="U133" s="1">
        <v>23.0</v>
      </c>
      <c r="V133" s="1">
        <v>13.0</v>
      </c>
      <c r="W133" s="1">
        <v>13.0</v>
      </c>
      <c r="X133" s="1">
        <v>10.0</v>
      </c>
      <c r="Y133" s="1">
        <v>10.0</v>
      </c>
      <c r="Z133" s="1" t="s">
        <v>53</v>
      </c>
      <c r="AA133" s="1">
        <v>27.0</v>
      </c>
      <c r="AB133" s="1">
        <v>17.0</v>
      </c>
      <c r="AC133" s="1">
        <v>17.0</v>
      </c>
      <c r="AD133" s="1">
        <v>10.0</v>
      </c>
      <c r="AE133" s="1">
        <v>10.0</v>
      </c>
      <c r="AF133" s="1" t="s">
        <v>54</v>
      </c>
      <c r="AG133" s="1">
        <v>20.0</v>
      </c>
      <c r="AH133" s="1">
        <v>14.0</v>
      </c>
      <c r="AI133" s="1">
        <v>14.0</v>
      </c>
      <c r="AJ133" s="1">
        <v>6.0</v>
      </c>
      <c r="AK133" s="1">
        <v>6.0</v>
      </c>
      <c r="AL133" s="1">
        <v>125.0</v>
      </c>
      <c r="AM133" s="1" t="s">
        <v>55</v>
      </c>
      <c r="AN133" s="1">
        <v>25.0</v>
      </c>
      <c r="AO133" s="1">
        <v>25.0</v>
      </c>
      <c r="AP133" s="1" t="s">
        <v>818</v>
      </c>
      <c r="AQ133" s="3" t="str">
        <f>HYPERLINK("https://icf.clappia.com/app/GMB253374/submission/CYY52950789/ICF247370-GMB253374-4nn1l4fbn8ao00000000/SIG-20250703_1239pjepc.jpeg", "SIG-20250703_1239pjepc.jpeg")</f>
        <v>SIG-20250703_1239pjepc.jpeg</v>
      </c>
      <c r="AR133" s="1" t="s">
        <v>819</v>
      </c>
      <c r="AS133" s="3" t="str">
        <f>HYPERLINK("https://icf.clappia.com/app/GMB253374/submission/CYY52950789/ICF247370-GMB253374-6afmm8e49cba00000000/SIG-20250703_1240536g2.jpeg", "SIG-20250703_1240536g2.jpeg")</f>
        <v>SIG-20250703_1240536g2.jpeg</v>
      </c>
      <c r="AT133" s="1" t="s">
        <v>820</v>
      </c>
      <c r="AU133" s="3" t="str">
        <f>HYPERLINK("https://icf.clappia.com/app/GMB253374/submission/CYY52950789/ICF247370-GMB253374-29ka115188f1a0000000/SIG-20250703_124113lbge.jpeg", "SIG-20250703_124113lbge.jpeg")</f>
        <v>SIG-20250703_124113lbge.jpeg</v>
      </c>
      <c r="AV133" s="3" t="str">
        <f>HYPERLINK("https://www.google.com/maps/place/7.8783969%2C-11.7814123", "7.8783969,-11.7814123")</f>
        <v>7.8783969,-11.7814123</v>
      </c>
    </row>
    <row r="134" ht="15.75" customHeight="1">
      <c r="A134" s="1" t="s">
        <v>821</v>
      </c>
      <c r="B134" s="1" t="s">
        <v>161</v>
      </c>
      <c r="C134" s="1" t="s">
        <v>822</v>
      </c>
      <c r="D134" s="1" t="s">
        <v>822</v>
      </c>
      <c r="E134" s="1" t="s">
        <v>823</v>
      </c>
      <c r="F134" s="1" t="s">
        <v>49</v>
      </c>
      <c r="G134" s="1">
        <v>233.0</v>
      </c>
      <c r="H134" s="1" t="s">
        <v>50</v>
      </c>
      <c r="I134" s="1">
        <v>48.0</v>
      </c>
      <c r="J134" s="1">
        <v>23.0</v>
      </c>
      <c r="K134" s="1">
        <v>15.0</v>
      </c>
      <c r="L134" s="1">
        <v>25.0</v>
      </c>
      <c r="M134" s="1">
        <v>17.0</v>
      </c>
      <c r="N134" s="1" t="s">
        <v>51</v>
      </c>
      <c r="O134" s="1">
        <v>35.0</v>
      </c>
      <c r="P134" s="1">
        <v>15.0</v>
      </c>
      <c r="Q134" s="1">
        <v>5.0</v>
      </c>
      <c r="R134" s="1">
        <v>20.0</v>
      </c>
      <c r="S134" s="1">
        <v>8.0</v>
      </c>
      <c r="T134" s="1" t="s">
        <v>52</v>
      </c>
      <c r="U134" s="1">
        <v>30.0</v>
      </c>
      <c r="V134" s="1">
        <v>12.0</v>
      </c>
      <c r="W134" s="1">
        <v>4.0</v>
      </c>
      <c r="X134" s="1">
        <v>18.0</v>
      </c>
      <c r="Y134" s="1">
        <v>3.0</v>
      </c>
      <c r="Z134" s="1" t="s">
        <v>53</v>
      </c>
      <c r="AA134" s="1">
        <v>26.0</v>
      </c>
      <c r="AB134" s="1">
        <v>12.0</v>
      </c>
      <c r="AC134" s="1" t="s">
        <v>55</v>
      </c>
      <c r="AD134" s="1">
        <v>14.0</v>
      </c>
      <c r="AE134" s="1">
        <v>1.0</v>
      </c>
      <c r="AF134" s="1" t="s">
        <v>54</v>
      </c>
      <c r="AG134" s="1">
        <v>31.0</v>
      </c>
      <c r="AH134" s="1">
        <v>14.0</v>
      </c>
      <c r="AI134" s="1">
        <v>5.0</v>
      </c>
      <c r="AJ134" s="1">
        <v>17.0</v>
      </c>
      <c r="AK134" s="1">
        <v>5.0</v>
      </c>
      <c r="AL134" s="1">
        <v>63.0</v>
      </c>
      <c r="AM134" s="1" t="s">
        <v>55</v>
      </c>
      <c r="AN134" s="1">
        <v>170.0</v>
      </c>
      <c r="AO134" s="1">
        <v>170.0</v>
      </c>
      <c r="AP134" s="1" t="s">
        <v>824</v>
      </c>
      <c r="AQ134" s="3" t="str">
        <f>HYPERLINK("https://icf.clappia.com/app/GMB253374/submission/WFY10489409/ICF247370-GMB253374-317k4c2nam4m00000000/SIG-20250703_1239keakb.jpeg", "SIG-20250703_1239keakb.jpeg")</f>
        <v>SIG-20250703_1239keakb.jpeg</v>
      </c>
      <c r="AR134" s="1" t="s">
        <v>825</v>
      </c>
      <c r="AS134" s="3" t="str">
        <f>HYPERLINK("https://icf.clappia.com/app/GMB253374/submission/WFY10489409/ICF247370-GMB253374-2439bdifeck6e0000000/SIG-20250703_1239100p71.jpeg", "SIG-20250703_1239100p71.jpeg")</f>
        <v>SIG-20250703_1239100p71.jpeg</v>
      </c>
      <c r="AT134" s="1" t="s">
        <v>826</v>
      </c>
      <c r="AU134" s="3" t="str">
        <f>HYPERLINK("https://icf.clappia.com/app/GMB253374/submission/WFY10489409/ICF247370-GMB253374-18injncnpo20o0000000/SIG-20250703_1240n6o3p.jpeg", "SIG-20250703_1240n6o3p.jpeg")</f>
        <v>SIG-20250703_1240n6o3p.jpeg</v>
      </c>
      <c r="AV134" s="3" t="str">
        <f>HYPERLINK("https://www.google.com/maps/place/7.9873655%2C-11.7326301", "7.9873655,-11.7326301")</f>
        <v>7.9873655,-11.7326301</v>
      </c>
    </row>
    <row r="135" ht="15.75" customHeight="1">
      <c r="A135" s="1" t="s">
        <v>827</v>
      </c>
      <c r="B135" s="1" t="s">
        <v>94</v>
      </c>
      <c r="C135" s="1" t="s">
        <v>828</v>
      </c>
      <c r="D135" s="1" t="s">
        <v>828</v>
      </c>
      <c r="E135" s="1" t="s">
        <v>829</v>
      </c>
      <c r="F135" s="1" t="s">
        <v>64</v>
      </c>
      <c r="G135" s="1">
        <v>130.0</v>
      </c>
      <c r="H135" s="1" t="s">
        <v>50</v>
      </c>
      <c r="I135" s="1">
        <v>51.0</v>
      </c>
      <c r="J135" s="1">
        <v>25.0</v>
      </c>
      <c r="K135" s="1">
        <v>25.0</v>
      </c>
      <c r="L135" s="1">
        <v>26.0</v>
      </c>
      <c r="M135" s="1">
        <v>26.0</v>
      </c>
      <c r="N135" s="1" t="s">
        <v>51</v>
      </c>
      <c r="O135" s="1">
        <v>41.0</v>
      </c>
      <c r="P135" s="1">
        <v>19.0</v>
      </c>
      <c r="Q135" s="1">
        <v>19.0</v>
      </c>
      <c r="R135" s="1">
        <v>22.0</v>
      </c>
      <c r="S135" s="1">
        <v>22.0</v>
      </c>
      <c r="T135" s="1" t="s">
        <v>52</v>
      </c>
      <c r="U135" s="1">
        <v>32.0</v>
      </c>
      <c r="V135" s="1">
        <v>17.0</v>
      </c>
      <c r="W135" s="1">
        <v>17.0</v>
      </c>
      <c r="X135" s="1">
        <v>15.0</v>
      </c>
      <c r="Y135" s="1">
        <v>15.0</v>
      </c>
      <c r="Z135" s="1" t="s">
        <v>53</v>
      </c>
      <c r="AA135" s="1" t="s">
        <v>55</v>
      </c>
      <c r="AB135" s="1" t="s">
        <v>55</v>
      </c>
      <c r="AC135" s="1" t="s">
        <v>55</v>
      </c>
      <c r="AD135" s="1" t="s">
        <v>55</v>
      </c>
      <c r="AE135" s="1" t="s">
        <v>55</v>
      </c>
      <c r="AF135" s="1" t="s">
        <v>54</v>
      </c>
      <c r="AG135" s="1" t="s">
        <v>55</v>
      </c>
      <c r="AH135" s="1" t="s">
        <v>55</v>
      </c>
      <c r="AI135" s="1" t="s">
        <v>55</v>
      </c>
      <c r="AJ135" s="1" t="s">
        <v>55</v>
      </c>
      <c r="AK135" s="1" t="s">
        <v>55</v>
      </c>
      <c r="AL135" s="1">
        <v>124.0</v>
      </c>
      <c r="AM135" s="1" t="s">
        <v>55</v>
      </c>
      <c r="AN135" s="1">
        <v>6.0</v>
      </c>
      <c r="AO135" s="1">
        <v>6.0</v>
      </c>
      <c r="AP135" s="1" t="s">
        <v>830</v>
      </c>
      <c r="AQ135" s="3" t="str">
        <f>HYPERLINK("https://icf.clappia.com/app/GMB253374/submission/IHG36297793/ICF247370-GMB253374-1gl158526khc40000000/SIG-20250702_1409a9bab.jpeg", "SIG-20250702_1409a9bab.jpeg")</f>
        <v>SIG-20250702_1409a9bab.jpeg</v>
      </c>
      <c r="AR135" s="1" t="s">
        <v>831</v>
      </c>
      <c r="AS135" s="3" t="str">
        <f>HYPERLINK("https://icf.clappia.com/app/GMB253374/submission/IHG36297793/ICF247370-GMB253374-56ig0mapae4g0000000/SIG-20250702_1410fp7nh.jpeg", "SIG-20250702_1410fp7nh.jpeg")</f>
        <v>SIG-20250702_1410fp7nh.jpeg</v>
      </c>
      <c r="AT135" s="1" t="s">
        <v>832</v>
      </c>
      <c r="AU135" s="3" t="str">
        <f>HYPERLINK("https://icf.clappia.com/app/GMB253374/submission/IHG36297793/ICF247370-GMB253374-5ihnn4g17dd600000000/SIG-20250702_141214g19e.jpeg", "SIG-20250702_141214g19e.jpeg")</f>
        <v>SIG-20250702_141214g19e.jpeg</v>
      </c>
      <c r="AV135" s="3" t="str">
        <f>HYPERLINK("https://www.google.com/maps/place/7.7358916%2C-11.8140576", "7.7358916,-11.8140576")</f>
        <v>7.7358916,-11.8140576</v>
      </c>
    </row>
    <row r="136" ht="15.75" customHeight="1">
      <c r="A136" s="1" t="s">
        <v>833</v>
      </c>
      <c r="B136" s="1" t="s">
        <v>81</v>
      </c>
      <c r="C136" s="1" t="s">
        <v>834</v>
      </c>
      <c r="D136" s="1" t="s">
        <v>834</v>
      </c>
      <c r="E136" s="1" t="s">
        <v>835</v>
      </c>
      <c r="F136" s="1" t="s">
        <v>64</v>
      </c>
      <c r="G136" s="1">
        <v>217.0</v>
      </c>
      <c r="H136" s="1" t="s">
        <v>50</v>
      </c>
      <c r="I136" s="1">
        <v>164.0</v>
      </c>
      <c r="J136" s="1">
        <v>65.0</v>
      </c>
      <c r="K136" s="1">
        <v>37.0</v>
      </c>
      <c r="L136" s="1">
        <v>99.0</v>
      </c>
      <c r="M136" s="1">
        <v>50.0</v>
      </c>
      <c r="N136" s="1" t="s">
        <v>51</v>
      </c>
      <c r="O136" s="1">
        <v>147.0</v>
      </c>
      <c r="P136" s="1">
        <v>56.0</v>
      </c>
      <c r="Q136" s="1">
        <v>40.0</v>
      </c>
      <c r="R136" s="1">
        <v>91.0</v>
      </c>
      <c r="S136" s="1">
        <v>84.0</v>
      </c>
      <c r="T136" s="1" t="s">
        <v>52</v>
      </c>
      <c r="U136" s="1">
        <v>234.0</v>
      </c>
      <c r="V136" s="1">
        <v>93.0</v>
      </c>
      <c r="W136" s="1">
        <v>6.0</v>
      </c>
      <c r="X136" s="1">
        <v>141.0</v>
      </c>
      <c r="Y136" s="1" t="s">
        <v>55</v>
      </c>
      <c r="Z136" s="1" t="s">
        <v>53</v>
      </c>
      <c r="AA136" s="1">
        <v>238.0</v>
      </c>
      <c r="AB136" s="1">
        <v>112.0</v>
      </c>
      <c r="AC136" s="1" t="s">
        <v>55</v>
      </c>
      <c r="AD136" s="1">
        <v>126.0</v>
      </c>
      <c r="AE136" s="1" t="s">
        <v>55</v>
      </c>
      <c r="AF136" s="1" t="s">
        <v>54</v>
      </c>
      <c r="AG136" s="1">
        <v>227.0</v>
      </c>
      <c r="AH136" s="1">
        <v>106.0</v>
      </c>
      <c r="AI136" s="1" t="s">
        <v>55</v>
      </c>
      <c r="AJ136" s="1">
        <v>121.0</v>
      </c>
      <c r="AK136" s="1" t="s">
        <v>55</v>
      </c>
      <c r="AL136" s="1">
        <v>217.0</v>
      </c>
      <c r="AM136" s="1" t="s">
        <v>55</v>
      </c>
      <c r="AN136" s="1" t="s">
        <v>55</v>
      </c>
      <c r="AO136" s="1" t="s">
        <v>55</v>
      </c>
      <c r="AP136" s="1" t="s">
        <v>836</v>
      </c>
      <c r="AQ136" s="3" t="str">
        <f>HYPERLINK("https://icf.clappia.com/app/GMB253374/submission/WHR48121157/ICF247370-GMB253374-13jjn5ja4l7n60000000/SIG-20250703_12276j1h1.jpeg", "SIG-20250703_12276j1h1.jpeg")</f>
        <v>SIG-20250703_12276j1h1.jpeg</v>
      </c>
      <c r="AR136" s="1" t="s">
        <v>837</v>
      </c>
      <c r="AS136" s="3" t="str">
        <f>HYPERLINK("https://icf.clappia.com/app/GMB253374/submission/WHR48121157/ICF247370-GMB253374-o45h3hhfj89e0000000/SIG-20250703_12281779ml.jpeg", "SIG-20250703_12281779ml.jpeg")</f>
        <v>SIG-20250703_12281779ml.jpeg</v>
      </c>
      <c r="AT136" s="1" t="s">
        <v>838</v>
      </c>
      <c r="AU136" s="3" t="str">
        <f>HYPERLINK("https://icf.clappia.com/app/GMB253374/submission/WHR48121157/ICF247370-GMB253374-5l9galjph80m00000000/SIG-20250703_1229n92bc.jpeg", "SIG-20250703_1229n92bc.jpeg")</f>
        <v>SIG-20250703_1229n92bc.jpeg</v>
      </c>
      <c r="AV136" s="3" t="str">
        <f>HYPERLINK("https://www.google.com/maps/place/7.957865%2C-11.7347657", "7.957865,-11.7347657")</f>
        <v>7.957865,-11.7347657</v>
      </c>
    </row>
    <row r="137" ht="15.75" customHeight="1">
      <c r="A137" s="1" t="s">
        <v>839</v>
      </c>
      <c r="B137" s="1" t="s">
        <v>81</v>
      </c>
      <c r="C137" s="1" t="s">
        <v>840</v>
      </c>
      <c r="D137" s="1" t="s">
        <v>840</v>
      </c>
      <c r="E137" s="1" t="s">
        <v>841</v>
      </c>
      <c r="F137" s="1" t="s">
        <v>64</v>
      </c>
      <c r="G137" s="1">
        <v>600.0</v>
      </c>
      <c r="H137" s="1" t="s">
        <v>50</v>
      </c>
      <c r="I137" s="1">
        <v>130.0</v>
      </c>
      <c r="J137" s="1">
        <v>60.0</v>
      </c>
      <c r="K137" s="1">
        <v>60.0</v>
      </c>
      <c r="L137" s="1">
        <v>70.0</v>
      </c>
      <c r="M137" s="1">
        <v>70.0</v>
      </c>
      <c r="N137" s="1" t="s">
        <v>51</v>
      </c>
      <c r="O137" s="1">
        <v>110.0</v>
      </c>
      <c r="P137" s="1">
        <v>50.0</v>
      </c>
      <c r="Q137" s="1">
        <v>50.0</v>
      </c>
      <c r="R137" s="1">
        <v>60.0</v>
      </c>
      <c r="S137" s="1">
        <v>60.0</v>
      </c>
      <c r="T137" s="1" t="s">
        <v>52</v>
      </c>
      <c r="U137" s="1">
        <v>135.0</v>
      </c>
      <c r="V137" s="1">
        <v>65.0</v>
      </c>
      <c r="W137" s="1">
        <v>65.0</v>
      </c>
      <c r="X137" s="1">
        <v>70.0</v>
      </c>
      <c r="Y137" s="1">
        <v>70.0</v>
      </c>
      <c r="Z137" s="1" t="s">
        <v>53</v>
      </c>
      <c r="AA137" s="1">
        <v>100.0</v>
      </c>
      <c r="AB137" s="1">
        <v>50.0</v>
      </c>
      <c r="AC137" s="1">
        <v>50.0</v>
      </c>
      <c r="AD137" s="1">
        <v>50.0</v>
      </c>
      <c r="AE137" s="1">
        <v>50.0</v>
      </c>
      <c r="AF137" s="1" t="s">
        <v>54</v>
      </c>
      <c r="AG137" s="1">
        <v>125.0</v>
      </c>
      <c r="AH137" s="1">
        <v>60.0</v>
      </c>
      <c r="AI137" s="1">
        <v>60.0</v>
      </c>
      <c r="AJ137" s="1">
        <v>65.0</v>
      </c>
      <c r="AK137" s="1">
        <v>65.0</v>
      </c>
      <c r="AL137" s="1">
        <v>600.0</v>
      </c>
      <c r="AM137" s="1" t="s">
        <v>55</v>
      </c>
      <c r="AN137" s="1" t="s">
        <v>55</v>
      </c>
      <c r="AO137" s="1" t="s">
        <v>55</v>
      </c>
      <c r="AP137" s="1" t="s">
        <v>90</v>
      </c>
      <c r="AQ137" s="3" t="str">
        <f>HYPERLINK("https://icf.clappia.com/app/GMB253374/submission/RHS17439484/ICF247370-GMB253374-2hh9jkneploa00000000/SIG-20250703_1226jnjjd.jpeg", "SIG-20250703_1226jnjjd.jpeg")</f>
        <v>SIG-20250703_1226jnjjd.jpeg</v>
      </c>
      <c r="AR137" s="1" t="s">
        <v>91</v>
      </c>
      <c r="AS137" s="3" t="str">
        <f>HYPERLINK("https://icf.clappia.com/app/GMB253374/submission/RHS17439484/ICF247370-GMB253374-6bm9fa36p0oo00000000/SIG-20250703_1225gojdm.jpeg", "SIG-20250703_1225gojdm.jpeg")</f>
        <v>SIG-20250703_1225gojdm.jpeg</v>
      </c>
      <c r="AT137" s="1" t="s">
        <v>842</v>
      </c>
      <c r="AU137" s="3" t="str">
        <f>HYPERLINK("https://icf.clappia.com/app/GMB253374/submission/RHS17439484/ICF247370-GMB253374-4a98ho94j0c600000000/SIG-20250703_1226m4gi.jpeg", "SIG-20250703_1226m4gi.jpeg")</f>
        <v>SIG-20250703_1226m4gi.jpeg</v>
      </c>
      <c r="AV137" s="3" t="str">
        <f>HYPERLINK("https://www.google.com/maps/place/7.9715085%2C-11.7372572", "7.9715085,-11.7372572")</f>
        <v>7.9715085,-11.7372572</v>
      </c>
    </row>
    <row r="138" ht="15.75" customHeight="1">
      <c r="A138" s="1" t="s">
        <v>843</v>
      </c>
      <c r="B138" s="1" t="s">
        <v>46</v>
      </c>
      <c r="C138" s="1" t="s">
        <v>844</v>
      </c>
      <c r="D138" s="1" t="s">
        <v>844</v>
      </c>
      <c r="E138" s="1" t="s">
        <v>845</v>
      </c>
      <c r="F138" s="1" t="s">
        <v>64</v>
      </c>
      <c r="G138" s="1">
        <v>317.0</v>
      </c>
      <c r="H138" s="1" t="s">
        <v>50</v>
      </c>
      <c r="I138" s="1">
        <v>71.0</v>
      </c>
      <c r="J138" s="1">
        <v>33.0</v>
      </c>
      <c r="K138" s="1">
        <v>33.0</v>
      </c>
      <c r="L138" s="1">
        <v>38.0</v>
      </c>
      <c r="M138" s="1">
        <v>38.0</v>
      </c>
      <c r="N138" s="1" t="s">
        <v>51</v>
      </c>
      <c r="O138" s="1">
        <v>58.0</v>
      </c>
      <c r="P138" s="1">
        <v>28.0</v>
      </c>
      <c r="Q138" s="1">
        <v>28.0</v>
      </c>
      <c r="R138" s="1">
        <v>30.0</v>
      </c>
      <c r="S138" s="1">
        <v>30.0</v>
      </c>
      <c r="T138" s="1" t="s">
        <v>52</v>
      </c>
      <c r="U138" s="1">
        <v>65.0</v>
      </c>
      <c r="V138" s="1">
        <v>31.0</v>
      </c>
      <c r="W138" s="1">
        <v>31.0</v>
      </c>
      <c r="X138" s="1">
        <v>34.0</v>
      </c>
      <c r="Y138" s="1">
        <v>34.0</v>
      </c>
      <c r="Z138" s="1" t="s">
        <v>53</v>
      </c>
      <c r="AA138" s="1">
        <v>62.0</v>
      </c>
      <c r="AB138" s="1">
        <v>28.0</v>
      </c>
      <c r="AC138" s="1">
        <v>28.0</v>
      </c>
      <c r="AD138" s="1">
        <v>34.0</v>
      </c>
      <c r="AE138" s="1">
        <v>34.0</v>
      </c>
      <c r="AF138" s="1" t="s">
        <v>54</v>
      </c>
      <c r="AG138" s="1">
        <v>61.0</v>
      </c>
      <c r="AH138" s="1">
        <v>28.0</v>
      </c>
      <c r="AI138" s="1">
        <v>28.0</v>
      </c>
      <c r="AJ138" s="1">
        <v>33.0</v>
      </c>
      <c r="AK138" s="1">
        <v>30.0</v>
      </c>
      <c r="AL138" s="1">
        <v>314.0</v>
      </c>
      <c r="AM138" s="1">
        <v>3.0</v>
      </c>
      <c r="AN138" s="1" t="s">
        <v>55</v>
      </c>
      <c r="AO138" s="1" t="s">
        <v>55</v>
      </c>
      <c r="AP138" s="1" t="s">
        <v>846</v>
      </c>
      <c r="AQ138" s="3" t="str">
        <f>HYPERLINK("https://icf.clappia.com/app/GMB253374/submission/NQD54777949/ICF247370-GMB253374-30m0la049b5i00000000/SIG-20250702_1503k3294.jpeg", "SIG-20250702_1503k3294.jpeg")</f>
        <v>SIG-20250702_1503k3294.jpeg</v>
      </c>
      <c r="AR138" s="1">
        <v>1.0</v>
      </c>
      <c r="AS138" s="3" t="str">
        <f>HYPERLINK("https://icf.clappia.com/app/GMB253374/submission/NQD54777949/ICF247370-GMB253374-41dnf18h3dde00000000/SIG-20250702_1504imb5b.jpeg", "SIG-20250702_1504imb5b.jpeg")</f>
        <v>SIG-20250702_1504imb5b.jpeg</v>
      </c>
      <c r="AT138" s="1">
        <v>1.0</v>
      </c>
      <c r="AU138" s="3" t="str">
        <f>HYPERLINK("https://icf.clappia.com/app/GMB253374/submission/NQD54777949/ICF247370-GMB253374-3hnnp2kp6bfe00000000/SIG-20250702_15041e637.jpeg", "SIG-20250702_15041e637.jpeg")</f>
        <v>SIG-20250702_15041e637.jpeg</v>
      </c>
      <c r="AV138" s="3" t="str">
        <f>HYPERLINK("https://www.google.com/maps/place/8.9255717%2C-12.05424", "8.9255717,-12.05424")</f>
        <v>8.9255717,-12.05424</v>
      </c>
    </row>
    <row r="139" ht="15.75" customHeight="1">
      <c r="A139" s="1" t="s">
        <v>847</v>
      </c>
      <c r="B139" s="1" t="s">
        <v>349</v>
      </c>
      <c r="C139" s="1" t="s">
        <v>848</v>
      </c>
      <c r="D139" s="1" t="s">
        <v>844</v>
      </c>
      <c r="E139" s="2" t="s">
        <v>849</v>
      </c>
      <c r="F139" s="1" t="s">
        <v>64</v>
      </c>
      <c r="G139" s="1">
        <v>150.0</v>
      </c>
      <c r="H139" s="1" t="s">
        <v>50</v>
      </c>
      <c r="I139" s="1">
        <v>51.0</v>
      </c>
      <c r="J139" s="1">
        <v>26.0</v>
      </c>
      <c r="K139" s="1">
        <v>25.0</v>
      </c>
      <c r="L139" s="1">
        <v>25.0</v>
      </c>
      <c r="M139" s="1">
        <v>22.0</v>
      </c>
      <c r="N139" s="1" t="s">
        <v>51</v>
      </c>
      <c r="O139" s="1">
        <v>50.0</v>
      </c>
      <c r="P139" s="1">
        <v>27.0</v>
      </c>
      <c r="Q139" s="1">
        <v>24.0</v>
      </c>
      <c r="R139" s="1">
        <v>23.0</v>
      </c>
      <c r="S139" s="1">
        <v>20.0</v>
      </c>
      <c r="T139" s="1" t="s">
        <v>52</v>
      </c>
      <c r="U139" s="1">
        <v>19.0</v>
      </c>
      <c r="V139" s="1">
        <v>11.0</v>
      </c>
      <c r="W139" s="1">
        <v>10.0</v>
      </c>
      <c r="X139" s="1">
        <v>8.0</v>
      </c>
      <c r="Y139" s="1">
        <v>8.0</v>
      </c>
      <c r="Z139" s="1" t="s">
        <v>53</v>
      </c>
      <c r="AA139" s="1">
        <v>27.0</v>
      </c>
      <c r="AB139" s="1">
        <v>13.0</v>
      </c>
      <c r="AC139" s="1">
        <v>10.0</v>
      </c>
      <c r="AD139" s="1">
        <v>14.0</v>
      </c>
      <c r="AE139" s="1">
        <v>12.0</v>
      </c>
      <c r="AF139" s="1" t="s">
        <v>54</v>
      </c>
      <c r="AG139" s="1">
        <v>12.0</v>
      </c>
      <c r="AH139" s="1">
        <v>5.0</v>
      </c>
      <c r="AI139" s="1">
        <v>4.0</v>
      </c>
      <c r="AJ139" s="1">
        <v>7.0</v>
      </c>
      <c r="AK139" s="1">
        <v>5.0</v>
      </c>
      <c r="AL139" s="1">
        <v>140.0</v>
      </c>
      <c r="AM139" s="1">
        <v>10.0</v>
      </c>
      <c r="AN139" s="1" t="s">
        <v>55</v>
      </c>
      <c r="AO139" s="1" t="s">
        <v>55</v>
      </c>
      <c r="AP139" s="1" t="s">
        <v>224</v>
      </c>
      <c r="AQ139" s="3" t="str">
        <f>HYPERLINK("https://icf.clappia.com/app/GMB253374/submission/HCG03006180/ICF247370-GMB253374-664ga7a9pj2400000000/SIG-20250701_14374png8.jpeg", "SIG-20250701_14374png8.jpeg")</f>
        <v>SIG-20250701_14374png8.jpeg</v>
      </c>
      <c r="AR139" s="1" t="s">
        <v>799</v>
      </c>
      <c r="AS139" s="3" t="str">
        <f>HYPERLINK("https://icf.clappia.com/app/GMB253374/submission/HCG03006180/ICF247370-GMB253374-2o2m4ojg8gfe00000000/SIG-20250702_094510l2da.jpeg", "SIG-20250702_094510l2da.jpeg")</f>
        <v>SIG-20250702_094510l2da.jpeg</v>
      </c>
      <c r="AT139" s="1" t="s">
        <v>850</v>
      </c>
      <c r="AU139" s="3" t="str">
        <f>HYPERLINK("https://icf.clappia.com/app/GMB253374/submission/HCG03006180/ICF247370-GMB253374-190b1e2209dfe0000000/SIG-20250702_0946aj4b4.jpeg", "SIG-20250702_0946aj4b4.jpeg")</f>
        <v>SIG-20250702_0946aj4b4.jpeg</v>
      </c>
      <c r="AV139" s="3" t="str">
        <f>HYPERLINK("https://www.google.com/maps/place/9.000445%2C-11.91101", "9.000445,-11.91101")</f>
        <v>9.000445,-11.91101</v>
      </c>
    </row>
    <row r="140" ht="15.75" customHeight="1">
      <c r="A140" s="1" t="s">
        <v>851</v>
      </c>
      <c r="B140" s="1" t="s">
        <v>81</v>
      </c>
      <c r="C140" s="1" t="s">
        <v>852</v>
      </c>
      <c r="D140" s="1" t="s">
        <v>852</v>
      </c>
      <c r="E140" s="1" t="s">
        <v>853</v>
      </c>
      <c r="F140" s="1" t="s">
        <v>49</v>
      </c>
      <c r="G140" s="1">
        <v>152.0</v>
      </c>
      <c r="H140" s="1" t="s">
        <v>50</v>
      </c>
      <c r="I140" s="1">
        <v>39.0</v>
      </c>
      <c r="J140" s="1">
        <v>21.0</v>
      </c>
      <c r="K140" s="1">
        <v>19.0</v>
      </c>
      <c r="L140" s="1">
        <v>18.0</v>
      </c>
      <c r="M140" s="1">
        <v>18.0</v>
      </c>
      <c r="N140" s="1" t="s">
        <v>51</v>
      </c>
      <c r="O140" s="1">
        <v>31.0</v>
      </c>
      <c r="P140" s="1">
        <v>11.0</v>
      </c>
      <c r="Q140" s="1">
        <v>10.0</v>
      </c>
      <c r="R140" s="1">
        <v>20.0</v>
      </c>
      <c r="S140" s="1">
        <v>16.0</v>
      </c>
      <c r="T140" s="1" t="s">
        <v>52</v>
      </c>
      <c r="U140" s="1">
        <v>26.0</v>
      </c>
      <c r="V140" s="1">
        <v>14.0</v>
      </c>
      <c r="W140" s="1">
        <v>12.0</v>
      </c>
      <c r="X140" s="1">
        <v>12.0</v>
      </c>
      <c r="Y140" s="1">
        <v>12.0</v>
      </c>
      <c r="Z140" s="1" t="s">
        <v>53</v>
      </c>
      <c r="AA140" s="1">
        <v>32.0</v>
      </c>
      <c r="AB140" s="1">
        <v>12.0</v>
      </c>
      <c r="AC140" s="1">
        <v>12.0</v>
      </c>
      <c r="AD140" s="1">
        <v>20.0</v>
      </c>
      <c r="AE140" s="1">
        <v>16.0</v>
      </c>
      <c r="AF140" s="1" t="s">
        <v>54</v>
      </c>
      <c r="AG140" s="1">
        <v>28.0</v>
      </c>
      <c r="AH140" s="1">
        <v>10.0</v>
      </c>
      <c r="AI140" s="1">
        <v>10.0</v>
      </c>
      <c r="AJ140" s="1">
        <v>18.0</v>
      </c>
      <c r="AK140" s="1">
        <v>15.0</v>
      </c>
      <c r="AL140" s="1">
        <v>140.0</v>
      </c>
      <c r="AM140" s="1" t="s">
        <v>55</v>
      </c>
      <c r="AN140" s="1">
        <v>12.0</v>
      </c>
      <c r="AO140" s="1">
        <v>12.0</v>
      </c>
      <c r="AP140" s="1" t="s">
        <v>854</v>
      </c>
      <c r="AQ140" s="3" t="str">
        <f>HYPERLINK("https://icf.clappia.com/app/GMB253374/submission/QMO47881532/ICF247370-GMB253374-180ie2d7kcln60000000/SIG-20250703_12204bnog.jpeg", "SIG-20250703_12204bnog.jpeg")</f>
        <v>SIG-20250703_12204bnog.jpeg</v>
      </c>
      <c r="AR140" s="1" t="s">
        <v>855</v>
      </c>
      <c r="AS140" s="3" t="str">
        <f>HYPERLINK("https://icf.clappia.com/app/GMB253374/submission/QMO47881532/ICF247370-GMB253374-57cd6p4620ic00000000/SIG-20250703_1220opm59.jpeg", "SIG-20250703_1220opm59.jpeg")</f>
        <v>SIG-20250703_1220opm59.jpeg</v>
      </c>
      <c r="AT140" s="1" t="s">
        <v>856</v>
      </c>
      <c r="AU140" s="3" t="str">
        <f>HYPERLINK("https://icf.clappia.com/app/GMB253374/submission/QMO47881532/ICF247370-GMB253374-5b7dia6f376600000000/SIG-20250703_122015ikak.jpeg", "SIG-20250703_122015ikak.jpeg")</f>
        <v>SIG-20250703_122015ikak.jpeg</v>
      </c>
      <c r="AV140" s="3" t="str">
        <f>HYPERLINK("https://www.google.com/maps/place/7.9460888%2C-11.7372512", "7.9460888,-11.7372512")</f>
        <v>7.9460888,-11.7372512</v>
      </c>
    </row>
    <row r="141" ht="15.75" customHeight="1">
      <c r="A141" s="1" t="s">
        <v>857</v>
      </c>
      <c r="B141" s="1" t="s">
        <v>81</v>
      </c>
      <c r="C141" s="1" t="s">
        <v>858</v>
      </c>
      <c r="D141" s="1" t="s">
        <v>858</v>
      </c>
      <c r="E141" s="1" t="s">
        <v>859</v>
      </c>
      <c r="F141" s="1" t="s">
        <v>64</v>
      </c>
      <c r="G141" s="1">
        <v>341.0</v>
      </c>
      <c r="H141" s="1" t="s">
        <v>50</v>
      </c>
      <c r="I141" s="1">
        <v>87.0</v>
      </c>
      <c r="J141" s="1">
        <v>45.0</v>
      </c>
      <c r="K141" s="1">
        <v>25.0</v>
      </c>
      <c r="L141" s="1">
        <v>42.0</v>
      </c>
      <c r="M141" s="1">
        <v>29.0</v>
      </c>
      <c r="N141" s="1" t="s">
        <v>51</v>
      </c>
      <c r="O141" s="1">
        <v>90.0</v>
      </c>
      <c r="P141" s="1">
        <v>43.0</v>
      </c>
      <c r="Q141" s="1">
        <v>36.0</v>
      </c>
      <c r="R141" s="1">
        <v>46.0</v>
      </c>
      <c r="S141" s="1">
        <v>38.0</v>
      </c>
      <c r="T141" s="1" t="s">
        <v>52</v>
      </c>
      <c r="U141" s="1">
        <v>79.0</v>
      </c>
      <c r="V141" s="1">
        <v>40.0</v>
      </c>
      <c r="W141" s="1">
        <v>37.0</v>
      </c>
      <c r="X141" s="1">
        <v>39.0</v>
      </c>
      <c r="Y141" s="1">
        <v>35.0</v>
      </c>
      <c r="Z141" s="1" t="s">
        <v>53</v>
      </c>
      <c r="AA141" s="1">
        <v>112.0</v>
      </c>
      <c r="AB141" s="1">
        <v>53.0</v>
      </c>
      <c r="AC141" s="1">
        <v>34.0</v>
      </c>
      <c r="AD141" s="1">
        <v>59.0</v>
      </c>
      <c r="AE141" s="1">
        <v>40.0</v>
      </c>
      <c r="AF141" s="1" t="s">
        <v>54</v>
      </c>
      <c r="AG141" s="1">
        <v>67.0</v>
      </c>
      <c r="AH141" s="1">
        <v>31.0</v>
      </c>
      <c r="AI141" s="1">
        <v>31.0</v>
      </c>
      <c r="AJ141" s="1">
        <v>36.0</v>
      </c>
      <c r="AK141" s="1">
        <v>35.0</v>
      </c>
      <c r="AL141" s="1">
        <v>340.0</v>
      </c>
      <c r="AM141" s="1" t="s">
        <v>55</v>
      </c>
      <c r="AN141" s="1">
        <v>1.0</v>
      </c>
      <c r="AO141" s="1">
        <v>1.0</v>
      </c>
      <c r="AP141" s="1" t="s">
        <v>860</v>
      </c>
      <c r="AQ141" s="3" t="str">
        <f>HYPERLINK("https://icf.clappia.com/app/GMB253374/submission/QOH87012342/ICF247370-GMB253374-91fmc78hd4920000000/SIG-20250703_1220188n59.jpeg", "SIG-20250703_1220188n59.jpeg")</f>
        <v>SIG-20250703_1220188n59.jpeg</v>
      </c>
      <c r="AR141" s="1" t="s">
        <v>861</v>
      </c>
      <c r="AS141" s="3" t="str">
        <f>HYPERLINK("https://icf.clappia.com/app/GMB253374/submission/QOH87012342/ICF247370-GMB253374-56kjkhp98m8000000000/SIG-20250703_122018p723.jpeg", "SIG-20250703_122018p723.jpeg")</f>
        <v>SIG-20250703_122018p723.jpeg</v>
      </c>
      <c r="AT141" s="1" t="s">
        <v>862</v>
      </c>
      <c r="AU141" s="3" t="str">
        <f>HYPERLINK("https://icf.clappia.com/app/GMB253374/submission/QOH87012342/ICF247370-GMB253374-1lnc04a2oih5g0000000/SIG-20250703_1221n7220.jpeg", "SIG-20250703_1221n7220.jpeg")</f>
        <v>SIG-20250703_1221n7220.jpeg</v>
      </c>
      <c r="AV141" s="3" t="str">
        <f>HYPERLINK("https://www.google.com/maps/place/7.9873655%2C-11.7326301", "7.9873655,-11.7326301")</f>
        <v>7.9873655,-11.7326301</v>
      </c>
    </row>
    <row r="142" ht="15.75" customHeight="1">
      <c r="A142" s="1" t="s">
        <v>863</v>
      </c>
      <c r="B142" s="1" t="s">
        <v>94</v>
      </c>
      <c r="C142" s="1" t="s">
        <v>858</v>
      </c>
      <c r="D142" s="1" t="s">
        <v>858</v>
      </c>
      <c r="E142" s="1" t="s">
        <v>864</v>
      </c>
      <c r="F142" s="1" t="s">
        <v>64</v>
      </c>
      <c r="G142" s="1">
        <v>186.0</v>
      </c>
      <c r="H142" s="1" t="s">
        <v>50</v>
      </c>
      <c r="I142" s="1">
        <v>40.0</v>
      </c>
      <c r="J142" s="1">
        <v>20.0</v>
      </c>
      <c r="K142" s="1">
        <v>20.0</v>
      </c>
      <c r="L142" s="1">
        <v>20.0</v>
      </c>
      <c r="M142" s="1">
        <v>20.0</v>
      </c>
      <c r="N142" s="1" t="s">
        <v>51</v>
      </c>
      <c r="O142" s="1">
        <v>41.0</v>
      </c>
      <c r="P142" s="1">
        <v>21.0</v>
      </c>
      <c r="Q142" s="1">
        <v>21.0</v>
      </c>
      <c r="R142" s="1">
        <v>20.0</v>
      </c>
      <c r="S142" s="1">
        <v>20.0</v>
      </c>
      <c r="T142" s="1" t="s">
        <v>52</v>
      </c>
      <c r="U142" s="1">
        <v>42.0</v>
      </c>
      <c r="V142" s="1">
        <v>20.0</v>
      </c>
      <c r="W142" s="1">
        <v>20.0</v>
      </c>
      <c r="X142" s="1">
        <v>22.0</v>
      </c>
      <c r="Y142" s="1">
        <v>22.0</v>
      </c>
      <c r="Z142" s="1" t="s">
        <v>53</v>
      </c>
      <c r="AA142" s="1">
        <v>42.0</v>
      </c>
      <c r="AB142" s="1">
        <v>20.0</v>
      </c>
      <c r="AC142" s="1">
        <v>20.0</v>
      </c>
      <c r="AD142" s="1">
        <v>22.0</v>
      </c>
      <c r="AE142" s="1">
        <v>22.0</v>
      </c>
      <c r="AF142" s="1" t="s">
        <v>54</v>
      </c>
      <c r="AG142" s="1">
        <v>21.0</v>
      </c>
      <c r="AH142" s="1">
        <v>10.0</v>
      </c>
      <c r="AI142" s="1">
        <v>10.0</v>
      </c>
      <c r="AJ142" s="1">
        <v>11.0</v>
      </c>
      <c r="AK142" s="1">
        <v>11.0</v>
      </c>
      <c r="AL142" s="1">
        <v>186.0</v>
      </c>
      <c r="AM142" s="1" t="s">
        <v>55</v>
      </c>
      <c r="AN142" s="1" t="s">
        <v>55</v>
      </c>
      <c r="AO142" s="1" t="s">
        <v>55</v>
      </c>
      <c r="AP142" s="1" t="s">
        <v>865</v>
      </c>
      <c r="AQ142" s="3" t="str">
        <f>HYPERLINK("https://icf.clappia.com/app/GMB253374/submission/KMR55149188/ICF247370-GMB253374-dp659pj3jehe000000/SIG-20250703_1219a7n08.jpeg", "SIG-20250703_1219a7n08.jpeg")</f>
        <v>SIG-20250703_1219a7n08.jpeg</v>
      </c>
      <c r="AR142" s="1" t="s">
        <v>866</v>
      </c>
      <c r="AS142" s="3" t="str">
        <f>HYPERLINK("https://icf.clappia.com/app/GMB253374/submission/KMR55149188/ICF247370-GMB253374-jh84d5bm790k0000000/SIG-20250703_122037ig3.jpeg", "SIG-20250703_122037ig3.jpeg")</f>
        <v>SIG-20250703_122037ig3.jpeg</v>
      </c>
      <c r="AT142" s="1" t="s">
        <v>867</v>
      </c>
      <c r="AU142" s="3" t="str">
        <f>HYPERLINK("https://icf.clappia.com/app/GMB253374/submission/KMR55149188/ICF247370-GMB253374-1bae08166k2ik0000000/SIG-20250703_1221p08if.jpeg", "SIG-20250703_1221p08if.jpeg")</f>
        <v>SIG-20250703_1221p08if.jpeg</v>
      </c>
      <c r="AV142" s="3" t="str">
        <f>HYPERLINK("https://www.google.com/maps/place/7.6526767%2C-11.9639067", "7.6526767,-11.9639067")</f>
        <v>7.6526767,-11.9639067</v>
      </c>
    </row>
    <row r="143" ht="15.75" customHeight="1">
      <c r="A143" s="1" t="s">
        <v>868</v>
      </c>
      <c r="B143" s="1" t="s">
        <v>81</v>
      </c>
      <c r="C143" s="1" t="s">
        <v>869</v>
      </c>
      <c r="D143" s="1" t="s">
        <v>869</v>
      </c>
      <c r="E143" s="1" t="s">
        <v>870</v>
      </c>
      <c r="F143" s="1" t="s">
        <v>64</v>
      </c>
      <c r="G143" s="1">
        <v>24.0</v>
      </c>
      <c r="H143" s="1" t="s">
        <v>50</v>
      </c>
      <c r="I143" s="1">
        <v>35.0</v>
      </c>
      <c r="J143" s="1">
        <v>17.0</v>
      </c>
      <c r="K143" s="1">
        <v>10.0</v>
      </c>
      <c r="L143" s="1">
        <v>18.0</v>
      </c>
      <c r="M143" s="1">
        <v>14.0</v>
      </c>
      <c r="N143" s="1" t="s">
        <v>51</v>
      </c>
      <c r="O143" s="1">
        <v>45.0</v>
      </c>
      <c r="P143" s="1">
        <v>21.0</v>
      </c>
      <c r="Q143" s="1" t="s">
        <v>55</v>
      </c>
      <c r="R143" s="1">
        <v>24.0</v>
      </c>
      <c r="S143" s="1" t="s">
        <v>55</v>
      </c>
      <c r="T143" s="1" t="s">
        <v>52</v>
      </c>
      <c r="U143" s="1">
        <v>25.0</v>
      </c>
      <c r="V143" s="1">
        <v>9.0</v>
      </c>
      <c r="W143" s="1" t="s">
        <v>55</v>
      </c>
      <c r="X143" s="1">
        <v>16.0</v>
      </c>
      <c r="Y143" s="1" t="s">
        <v>55</v>
      </c>
      <c r="Z143" s="1" t="s">
        <v>53</v>
      </c>
      <c r="AA143" s="1">
        <v>23.0</v>
      </c>
      <c r="AB143" s="1">
        <v>8.0</v>
      </c>
      <c r="AC143" s="1" t="s">
        <v>55</v>
      </c>
      <c r="AD143" s="1">
        <v>15.0</v>
      </c>
      <c r="AE143" s="1" t="s">
        <v>55</v>
      </c>
      <c r="AF143" s="1" t="s">
        <v>54</v>
      </c>
      <c r="AG143" s="1">
        <v>20.0</v>
      </c>
      <c r="AH143" s="1">
        <v>7.0</v>
      </c>
      <c r="AI143" s="1" t="s">
        <v>55</v>
      </c>
      <c r="AJ143" s="1">
        <v>13.0</v>
      </c>
      <c r="AK143" s="1" t="s">
        <v>55</v>
      </c>
      <c r="AL143" s="1">
        <v>24.0</v>
      </c>
      <c r="AM143" s="1" t="s">
        <v>55</v>
      </c>
      <c r="AN143" s="1" t="s">
        <v>55</v>
      </c>
      <c r="AO143" s="1" t="s">
        <v>55</v>
      </c>
      <c r="AP143" s="1" t="s">
        <v>871</v>
      </c>
      <c r="AQ143" s="3" t="str">
        <f>HYPERLINK("https://icf.clappia.com/app/GMB253374/submission/KXH83516408/ICF247370-GMB253374-2kb5enb6b0i800000000/SIG-20250703_12192cfde.jpeg", "SIG-20250703_12192cfde.jpeg")</f>
        <v>SIG-20250703_12192cfde.jpeg</v>
      </c>
      <c r="AR143" s="1" t="s">
        <v>872</v>
      </c>
      <c r="AS143" s="3" t="str">
        <f>HYPERLINK("https://icf.clappia.com/app/GMB253374/submission/KXH83516408/ICF247370-GMB253374-4lon4lnkg7go00000000/SIG-20250703_1219obpdh.jpeg", "SIG-20250703_1219obpdh.jpeg")</f>
        <v>SIG-20250703_1219obpdh.jpeg</v>
      </c>
      <c r="AT143" s="1" t="s">
        <v>873</v>
      </c>
      <c r="AU143" s="3" t="str">
        <f>HYPERLINK("https://icf.clappia.com/app/GMB253374/submission/KXH83516408/ICF247370-GMB253374-cpej7jioc77e0000000/SIG-20250703_1220p3f7k.jpeg", "SIG-20250703_1220p3f7k.jpeg")</f>
        <v>SIG-20250703_1220p3f7k.jpeg</v>
      </c>
      <c r="AV143" s="3" t="str">
        <f>HYPERLINK("https://www.google.com/maps/place/7.94204%2C-11.7287267", "7.94204,-11.7287267")</f>
        <v>7.94204,-11.7287267</v>
      </c>
    </row>
    <row r="144" ht="15.75" customHeight="1">
      <c r="A144" s="1" t="s">
        <v>874</v>
      </c>
      <c r="B144" s="1" t="s">
        <v>438</v>
      </c>
      <c r="C144" s="1" t="s">
        <v>875</v>
      </c>
      <c r="D144" s="1" t="s">
        <v>875</v>
      </c>
      <c r="E144" s="1" t="s">
        <v>876</v>
      </c>
      <c r="F144" s="1" t="s">
        <v>64</v>
      </c>
      <c r="G144" s="1">
        <v>150.0</v>
      </c>
      <c r="H144" s="1" t="s">
        <v>50</v>
      </c>
      <c r="I144" s="1">
        <v>61.0</v>
      </c>
      <c r="J144" s="1">
        <v>27.0</v>
      </c>
      <c r="K144" s="1">
        <v>27.0</v>
      </c>
      <c r="L144" s="1">
        <v>34.0</v>
      </c>
      <c r="M144" s="1">
        <v>34.0</v>
      </c>
      <c r="N144" s="1" t="s">
        <v>51</v>
      </c>
      <c r="O144" s="1">
        <v>40.0</v>
      </c>
      <c r="P144" s="1">
        <v>19.0</v>
      </c>
      <c r="Q144" s="1">
        <v>19.0</v>
      </c>
      <c r="R144" s="1">
        <v>21.0</v>
      </c>
      <c r="S144" s="1">
        <v>21.0</v>
      </c>
      <c r="T144" s="1" t="s">
        <v>52</v>
      </c>
      <c r="U144" s="1">
        <v>24.0</v>
      </c>
      <c r="V144" s="1">
        <v>9.0</v>
      </c>
      <c r="W144" s="1">
        <v>9.0</v>
      </c>
      <c r="X144" s="1">
        <v>11.0</v>
      </c>
      <c r="Y144" s="1">
        <v>7.0</v>
      </c>
      <c r="Z144" s="1" t="s">
        <v>53</v>
      </c>
      <c r="AA144" s="1" t="s">
        <v>55</v>
      </c>
      <c r="AB144" s="1" t="s">
        <v>55</v>
      </c>
      <c r="AC144" s="1" t="s">
        <v>55</v>
      </c>
      <c r="AD144" s="1" t="s">
        <v>55</v>
      </c>
      <c r="AE144" s="1" t="s">
        <v>55</v>
      </c>
      <c r="AF144" s="1" t="s">
        <v>54</v>
      </c>
      <c r="AG144" s="1" t="s">
        <v>55</v>
      </c>
      <c r="AH144" s="1" t="s">
        <v>55</v>
      </c>
      <c r="AI144" s="1" t="s">
        <v>55</v>
      </c>
      <c r="AJ144" s="1" t="s">
        <v>55</v>
      </c>
      <c r="AK144" s="1" t="s">
        <v>55</v>
      </c>
      <c r="AL144" s="1">
        <v>117.0</v>
      </c>
      <c r="AM144" s="1">
        <v>6.0</v>
      </c>
      <c r="AN144" s="1">
        <v>27.0</v>
      </c>
      <c r="AO144" s="1">
        <v>27.0</v>
      </c>
      <c r="AP144" s="1" t="s">
        <v>877</v>
      </c>
      <c r="AQ144" s="3" t="str">
        <f>HYPERLINK("https://icf.clappia.com/app/GMB253374/submission/BCY62459651/ICF247370-GMB253374-59gg987gji0400000000/SIG-20250703_1219hj262.jpeg", "SIG-20250703_1219hj262.jpeg")</f>
        <v>SIG-20250703_1219hj262.jpeg</v>
      </c>
      <c r="AR144" s="1" t="s">
        <v>878</v>
      </c>
      <c r="AS144" s="3" t="str">
        <f>HYPERLINK("https://icf.clappia.com/app/GMB253374/submission/BCY62459651/ICF247370-GMB253374-5do0k8abb9eo00000000/SIG-20250703_1219g6fdf.jpeg", "SIG-20250703_1219g6fdf.jpeg")</f>
        <v>SIG-20250703_1219g6fdf.jpeg</v>
      </c>
      <c r="AT144" s="1" t="s">
        <v>879</v>
      </c>
      <c r="AU144" s="3" t="str">
        <f>HYPERLINK("https://icf.clappia.com/app/GMB253374/submission/BCY62459651/ICF247370-GMB253374-3d74alhkp4ii00000000/SIG-20250703_1220743ak.jpeg", "SIG-20250703_1220743ak.jpeg")</f>
        <v>SIG-20250703_1220743ak.jpeg</v>
      </c>
      <c r="AV144" s="3" t="str">
        <f>HYPERLINK("https://www.google.com/maps/place/7.60078%2C-11.9251983", "7.60078,-11.9251983")</f>
        <v>7.60078,-11.9251983</v>
      </c>
    </row>
    <row r="145" ht="15.75" customHeight="1">
      <c r="A145" s="1" t="s">
        <v>880</v>
      </c>
      <c r="B145" s="1" t="s">
        <v>167</v>
      </c>
      <c r="C145" s="1" t="s">
        <v>881</v>
      </c>
      <c r="D145" s="1" t="s">
        <v>881</v>
      </c>
      <c r="E145" s="1" t="s">
        <v>882</v>
      </c>
      <c r="F145" s="1" t="s">
        <v>64</v>
      </c>
      <c r="G145" s="1">
        <v>115.0</v>
      </c>
      <c r="H145" s="1" t="s">
        <v>50</v>
      </c>
      <c r="I145" s="1">
        <v>20.0</v>
      </c>
      <c r="J145" s="1">
        <v>8.0</v>
      </c>
      <c r="K145" s="1">
        <v>8.0</v>
      </c>
      <c r="L145" s="1">
        <v>12.0</v>
      </c>
      <c r="M145" s="1">
        <v>12.0</v>
      </c>
      <c r="N145" s="1" t="s">
        <v>51</v>
      </c>
      <c r="O145" s="1">
        <v>23.0</v>
      </c>
      <c r="P145" s="1">
        <v>11.0</v>
      </c>
      <c r="Q145" s="1">
        <v>11.0</v>
      </c>
      <c r="R145" s="1">
        <v>12.0</v>
      </c>
      <c r="S145" s="1">
        <v>12.0</v>
      </c>
      <c r="T145" s="1" t="s">
        <v>52</v>
      </c>
      <c r="U145" s="1">
        <v>21.0</v>
      </c>
      <c r="V145" s="1">
        <v>10.0</v>
      </c>
      <c r="W145" s="1">
        <v>10.0</v>
      </c>
      <c r="X145" s="1">
        <v>11.0</v>
      </c>
      <c r="Y145" s="1">
        <v>11.0</v>
      </c>
      <c r="Z145" s="1" t="s">
        <v>53</v>
      </c>
      <c r="AA145" s="1">
        <v>24.0</v>
      </c>
      <c r="AB145" s="1">
        <v>10.0</v>
      </c>
      <c r="AC145" s="1">
        <v>10.0</v>
      </c>
      <c r="AD145" s="1">
        <v>14.0</v>
      </c>
      <c r="AE145" s="1">
        <v>14.0</v>
      </c>
      <c r="AF145" s="1" t="s">
        <v>54</v>
      </c>
      <c r="AG145" s="1">
        <v>17.0</v>
      </c>
      <c r="AH145" s="1">
        <v>7.0</v>
      </c>
      <c r="AI145" s="1">
        <v>7.0</v>
      </c>
      <c r="AJ145" s="1">
        <v>10.0</v>
      </c>
      <c r="AK145" s="1">
        <v>10.0</v>
      </c>
      <c r="AL145" s="1">
        <v>105.0</v>
      </c>
      <c r="AM145" s="1">
        <v>10.0</v>
      </c>
      <c r="AN145" s="1" t="s">
        <v>55</v>
      </c>
      <c r="AO145" s="1" t="s">
        <v>55</v>
      </c>
      <c r="AP145" s="1" t="s">
        <v>170</v>
      </c>
      <c r="AQ145" s="3" t="str">
        <f>HYPERLINK("https://icf.clappia.com/app/GMB253374/submission/LGR04490327/ICF247370-GMB253374-5j2dpnpj30cc00000000/SIG-20250703_12159g7fd.jpeg", "SIG-20250703_12159g7fd.jpeg")</f>
        <v>SIG-20250703_12159g7fd.jpeg</v>
      </c>
      <c r="AR145" s="1" t="s">
        <v>171</v>
      </c>
      <c r="AS145" s="3" t="str">
        <f>HYPERLINK("https://icf.clappia.com/app/GMB253374/submission/LGR04490327/ICF247370-GMB253374-5po288dmnb5600000000/SIG-20250703_1216d7epo.jpeg", "SIG-20250703_1216d7epo.jpeg")</f>
        <v>SIG-20250703_1216d7epo.jpeg</v>
      </c>
      <c r="AT145" s="1" t="s">
        <v>172</v>
      </c>
      <c r="AU145" s="3" t="str">
        <f>HYPERLINK("https://icf.clappia.com/app/GMB253374/submission/LGR04490327/ICF247370-GMB253374-68no9lm3kjpm00000000/SIG-20250703_1216kng.jpeg", "SIG-20250703_1216kng.jpeg")</f>
        <v>SIG-20250703_1216kng.jpeg</v>
      </c>
      <c r="AV145" s="3" t="str">
        <f>HYPERLINK("https://www.google.com/maps/place/7.927945%2C-11.731715", "7.927945,-11.731715")</f>
        <v>7.927945,-11.731715</v>
      </c>
    </row>
    <row r="146" ht="15.75" customHeight="1">
      <c r="A146" s="1" t="s">
        <v>883</v>
      </c>
      <c r="B146" s="1" t="s">
        <v>161</v>
      </c>
      <c r="C146" s="1" t="s">
        <v>884</v>
      </c>
      <c r="D146" s="1" t="s">
        <v>884</v>
      </c>
      <c r="E146" s="1" t="s">
        <v>885</v>
      </c>
      <c r="F146" s="1" t="s">
        <v>49</v>
      </c>
      <c r="G146" s="1">
        <v>78.0</v>
      </c>
      <c r="H146" s="1" t="s">
        <v>50</v>
      </c>
      <c r="I146" s="1">
        <v>33.0</v>
      </c>
      <c r="J146" s="1">
        <v>15.0</v>
      </c>
      <c r="K146" s="1">
        <v>11.0</v>
      </c>
      <c r="L146" s="1">
        <v>18.0</v>
      </c>
      <c r="M146" s="1">
        <v>11.0</v>
      </c>
      <c r="N146" s="1" t="s">
        <v>51</v>
      </c>
      <c r="O146" s="1">
        <v>15.0</v>
      </c>
      <c r="P146" s="1">
        <v>6.0</v>
      </c>
      <c r="Q146" s="1">
        <v>5.0</v>
      </c>
      <c r="R146" s="1">
        <v>9.0</v>
      </c>
      <c r="S146" s="1">
        <v>3.0</v>
      </c>
      <c r="T146" s="1" t="s">
        <v>52</v>
      </c>
      <c r="U146" s="1">
        <v>10.0</v>
      </c>
      <c r="V146" s="1">
        <v>6.0</v>
      </c>
      <c r="W146" s="1">
        <v>1.0</v>
      </c>
      <c r="X146" s="1">
        <v>4.0</v>
      </c>
      <c r="Y146" s="1">
        <v>4.0</v>
      </c>
      <c r="Z146" s="1" t="s">
        <v>53</v>
      </c>
      <c r="AA146" s="1">
        <v>9.0</v>
      </c>
      <c r="AB146" s="1">
        <v>4.0</v>
      </c>
      <c r="AC146" s="1">
        <v>4.0</v>
      </c>
      <c r="AD146" s="1">
        <v>5.0</v>
      </c>
      <c r="AE146" s="1">
        <v>5.0</v>
      </c>
      <c r="AF146" s="1" t="s">
        <v>54</v>
      </c>
      <c r="AG146" s="1">
        <v>11.0</v>
      </c>
      <c r="AH146" s="1">
        <v>5.0</v>
      </c>
      <c r="AI146" s="1">
        <v>5.0</v>
      </c>
      <c r="AJ146" s="1">
        <v>6.0</v>
      </c>
      <c r="AK146" s="1">
        <v>6.0</v>
      </c>
      <c r="AL146" s="1">
        <v>55.0</v>
      </c>
      <c r="AM146" s="1">
        <v>10.0</v>
      </c>
      <c r="AN146" s="1">
        <v>13.0</v>
      </c>
      <c r="AO146" s="1" t="s">
        <v>55</v>
      </c>
      <c r="AP146" s="1" t="s">
        <v>165</v>
      </c>
      <c r="AQ146" s="3" t="str">
        <f>HYPERLINK("https://icf.clappia.com/app/GMB253374/submission/CIZ46123699/ICF247370-GMB253374-30895775c98o00000000/SIG-20250703_1209do6gg.jpeg", "SIG-20250703_1209do6gg.jpeg")</f>
        <v>SIG-20250703_1209do6gg.jpeg</v>
      </c>
      <c r="AR146" s="1" t="s">
        <v>886</v>
      </c>
      <c r="AS146" s="3" t="str">
        <f>HYPERLINK("https://icf.clappia.com/app/GMB253374/submission/CIZ46123699/ICF247370-GMB253374-fcbojgminooo0000000/SIG-20250703_1211ad0m2.jpeg", "SIG-20250703_1211ad0m2.jpeg")</f>
        <v>SIG-20250703_1211ad0m2.jpeg</v>
      </c>
      <c r="AT146" s="1" t="s">
        <v>887</v>
      </c>
      <c r="AU146" s="3" t="str">
        <f>HYPERLINK("https://icf.clappia.com/app/GMB253374/submission/CIZ46123699/ICF247370-GMB253374-3l8g942o3o9200000000/SIG-20250703_1211ee2c9.jpeg", "SIG-20250703_1211ee2c9.jpeg")</f>
        <v>SIG-20250703_1211ee2c9.jpeg</v>
      </c>
      <c r="AV146" s="3" t="str">
        <f>HYPERLINK("https://www.google.com/maps/place/7.9456138%2C-11.7084827", "7.9456138,-11.7084827")</f>
        <v>7.9456138,-11.7084827</v>
      </c>
    </row>
    <row r="147" ht="15.75" customHeight="1">
      <c r="A147" s="1" t="s">
        <v>888</v>
      </c>
      <c r="B147" s="1" t="s">
        <v>81</v>
      </c>
      <c r="C147" s="1" t="s">
        <v>889</v>
      </c>
      <c r="D147" s="1" t="s">
        <v>889</v>
      </c>
      <c r="E147" s="1" t="s">
        <v>890</v>
      </c>
      <c r="F147" s="1" t="s">
        <v>64</v>
      </c>
      <c r="G147" s="1">
        <v>326.0</v>
      </c>
      <c r="H147" s="1" t="s">
        <v>50</v>
      </c>
      <c r="I147" s="1">
        <v>80.0</v>
      </c>
      <c r="J147" s="1">
        <v>34.0</v>
      </c>
      <c r="K147" s="1">
        <v>34.0</v>
      </c>
      <c r="L147" s="1">
        <v>46.0</v>
      </c>
      <c r="M147" s="1">
        <v>46.0</v>
      </c>
      <c r="N147" s="1" t="s">
        <v>51</v>
      </c>
      <c r="O147" s="1">
        <v>68.0</v>
      </c>
      <c r="P147" s="1">
        <v>30.0</v>
      </c>
      <c r="Q147" s="1">
        <v>30.0</v>
      </c>
      <c r="R147" s="1">
        <v>38.0</v>
      </c>
      <c r="S147" s="1">
        <v>38.0</v>
      </c>
      <c r="T147" s="1" t="s">
        <v>52</v>
      </c>
      <c r="U147" s="1">
        <v>63.0</v>
      </c>
      <c r="V147" s="1">
        <v>30.0</v>
      </c>
      <c r="W147" s="1">
        <v>30.0</v>
      </c>
      <c r="X147" s="1">
        <v>33.0</v>
      </c>
      <c r="Y147" s="1">
        <v>33.0</v>
      </c>
      <c r="Z147" s="1" t="s">
        <v>53</v>
      </c>
      <c r="AA147" s="1">
        <v>58.0</v>
      </c>
      <c r="AB147" s="1">
        <v>26.0</v>
      </c>
      <c r="AC147" s="1">
        <v>26.0</v>
      </c>
      <c r="AD147" s="1">
        <v>32.0</v>
      </c>
      <c r="AE147" s="1">
        <v>32.0</v>
      </c>
      <c r="AF147" s="1" t="s">
        <v>54</v>
      </c>
      <c r="AG147" s="1">
        <v>57.0</v>
      </c>
      <c r="AH147" s="1">
        <v>36.0</v>
      </c>
      <c r="AI147" s="1">
        <v>36.0</v>
      </c>
      <c r="AJ147" s="1">
        <v>21.0</v>
      </c>
      <c r="AK147" s="1">
        <v>21.0</v>
      </c>
      <c r="AL147" s="1">
        <v>326.0</v>
      </c>
      <c r="AM147" s="1" t="s">
        <v>55</v>
      </c>
      <c r="AN147" s="1" t="s">
        <v>55</v>
      </c>
      <c r="AO147" s="1" t="s">
        <v>55</v>
      </c>
      <c r="AP147" s="1" t="s">
        <v>891</v>
      </c>
      <c r="AQ147" s="3" t="str">
        <f>HYPERLINK("https://icf.clappia.com/app/GMB253374/submission/NWL67581248/ICF247370-GMB253374-3k8ecp94p8fg0000000/SIG-20250703_120910j4ge.jpeg", "SIG-20250703_120910j4ge.jpeg")</f>
        <v>SIG-20250703_120910j4ge.jpeg</v>
      </c>
      <c r="AR147" s="1" t="s">
        <v>892</v>
      </c>
      <c r="AS147" s="3" t="str">
        <f>HYPERLINK("https://icf.clappia.com/app/GMB253374/submission/NWL67581248/ICF247370-GMB253374-3b3348c4dnpe00000000/SIG-20250703_121082ih.jpeg", "SIG-20250703_121082ih.jpeg")</f>
        <v>SIG-20250703_121082ih.jpeg</v>
      </c>
      <c r="AT147" s="1" t="s">
        <v>893</v>
      </c>
      <c r="AU147" s="3" t="str">
        <f>HYPERLINK("https://icf.clappia.com/app/GMB253374/submission/NWL67581248/ICF247370-GMB253374-plo6dn0ag1nm0000000/SIG-20250703_12101fg7g.jpeg", "SIG-20250703_12101fg7g.jpeg")</f>
        <v>SIG-20250703_12101fg7g.jpeg</v>
      </c>
      <c r="AV147" s="3" t="str">
        <f>HYPERLINK("https://www.google.com/maps/place/7.9167517%2C-11.7221433", "7.9167517,-11.7221433")</f>
        <v>7.9167517,-11.7221433</v>
      </c>
    </row>
    <row r="148" ht="15.75" customHeight="1">
      <c r="A148" s="1" t="s">
        <v>894</v>
      </c>
      <c r="B148" s="1" t="s">
        <v>81</v>
      </c>
      <c r="C148" s="1" t="s">
        <v>895</v>
      </c>
      <c r="D148" s="1" t="s">
        <v>895</v>
      </c>
      <c r="E148" s="1" t="s">
        <v>896</v>
      </c>
      <c r="F148" s="1" t="s">
        <v>64</v>
      </c>
      <c r="G148" s="1">
        <v>200.0</v>
      </c>
      <c r="H148" s="1" t="s">
        <v>50</v>
      </c>
      <c r="I148" s="1">
        <v>67.0</v>
      </c>
      <c r="J148" s="1">
        <v>35.0</v>
      </c>
      <c r="K148" s="1">
        <v>35.0</v>
      </c>
      <c r="L148" s="1">
        <v>32.0</v>
      </c>
      <c r="M148" s="1">
        <v>32.0</v>
      </c>
      <c r="N148" s="1" t="s">
        <v>51</v>
      </c>
      <c r="O148" s="1">
        <v>28.0</v>
      </c>
      <c r="P148" s="1">
        <v>12.0</v>
      </c>
      <c r="Q148" s="1">
        <v>12.0</v>
      </c>
      <c r="R148" s="1">
        <v>16.0</v>
      </c>
      <c r="S148" s="1">
        <v>16.0</v>
      </c>
      <c r="T148" s="1" t="s">
        <v>52</v>
      </c>
      <c r="U148" s="1">
        <v>36.0</v>
      </c>
      <c r="V148" s="1">
        <v>20.0</v>
      </c>
      <c r="W148" s="1">
        <v>20.0</v>
      </c>
      <c r="X148" s="1">
        <v>16.0</v>
      </c>
      <c r="Y148" s="1">
        <v>16.0</v>
      </c>
      <c r="Z148" s="1" t="s">
        <v>53</v>
      </c>
      <c r="AA148" s="1">
        <v>37.0</v>
      </c>
      <c r="AB148" s="1">
        <v>20.0</v>
      </c>
      <c r="AC148" s="1">
        <v>20.0</v>
      </c>
      <c r="AD148" s="1">
        <v>17.0</v>
      </c>
      <c r="AE148" s="1">
        <v>17.0</v>
      </c>
      <c r="AF148" s="1" t="s">
        <v>54</v>
      </c>
      <c r="AG148" s="1">
        <v>32.0</v>
      </c>
      <c r="AH148" s="1">
        <v>16.0</v>
      </c>
      <c r="AI148" s="1">
        <v>16.0</v>
      </c>
      <c r="AJ148" s="1">
        <v>16.0</v>
      </c>
      <c r="AK148" s="1">
        <v>16.0</v>
      </c>
      <c r="AL148" s="1">
        <v>200.0</v>
      </c>
      <c r="AM148" s="1" t="s">
        <v>55</v>
      </c>
      <c r="AN148" s="1" t="s">
        <v>55</v>
      </c>
      <c r="AO148" s="1" t="s">
        <v>55</v>
      </c>
      <c r="AP148" s="1" t="s">
        <v>897</v>
      </c>
      <c r="AQ148" s="3" t="str">
        <f>HYPERLINK("https://icf.clappia.com/app/GMB253374/submission/SUB70234855/ICF247370-GMB253374-5cjk2o8bjbo400000000/SIG-20250703_1204pa14c.jpeg", "SIG-20250703_1204pa14c.jpeg")</f>
        <v>SIG-20250703_1204pa14c.jpeg</v>
      </c>
      <c r="AR148" s="1" t="s">
        <v>898</v>
      </c>
      <c r="AS148" s="3" t="str">
        <f>HYPERLINK("https://icf.clappia.com/app/GMB253374/submission/SUB70234855/ICF247370-GMB253374-1a948d22dmikg0000000/SIG-20250703_120419dhlb.jpeg", "SIG-20250703_120419dhlb.jpeg")</f>
        <v>SIG-20250703_120419dhlb.jpeg</v>
      </c>
      <c r="AT148" s="1" t="s">
        <v>899</v>
      </c>
      <c r="AU148" s="3" t="str">
        <f>HYPERLINK("https://icf.clappia.com/app/GMB253374/submission/SUB70234855/ICF247370-GMB253374-2ahhc437bhipm0000000/SIG-20250703_12068gf7g.jpeg", "SIG-20250703_12068gf7g.jpeg")</f>
        <v>SIG-20250703_12068gf7g.jpeg</v>
      </c>
      <c r="AV148" s="3" t="str">
        <f>HYPERLINK("https://www.google.com/maps/place/7.9654767%2C-11.7430033", "7.9654767,-11.7430033")</f>
        <v>7.9654767,-11.7430033</v>
      </c>
    </row>
    <row r="149" ht="15.75" customHeight="1">
      <c r="A149" s="1" t="s">
        <v>900</v>
      </c>
      <c r="B149" s="1" t="s">
        <v>102</v>
      </c>
      <c r="C149" s="1" t="s">
        <v>901</v>
      </c>
      <c r="D149" s="1" t="s">
        <v>901</v>
      </c>
      <c r="E149" s="1" t="s">
        <v>902</v>
      </c>
      <c r="F149" s="1" t="s">
        <v>64</v>
      </c>
      <c r="G149" s="1">
        <v>200.0</v>
      </c>
      <c r="H149" s="1" t="s">
        <v>50</v>
      </c>
      <c r="I149" s="1">
        <v>38.0</v>
      </c>
      <c r="J149" s="1">
        <v>18.0</v>
      </c>
      <c r="K149" s="1">
        <v>18.0</v>
      </c>
      <c r="L149" s="1">
        <v>20.0</v>
      </c>
      <c r="M149" s="1">
        <v>20.0</v>
      </c>
      <c r="N149" s="1" t="s">
        <v>51</v>
      </c>
      <c r="O149" s="1">
        <v>43.0</v>
      </c>
      <c r="P149" s="1">
        <v>22.0</v>
      </c>
      <c r="Q149" s="1">
        <v>18.0</v>
      </c>
      <c r="R149" s="1">
        <v>21.0</v>
      </c>
      <c r="S149" s="1">
        <v>16.0</v>
      </c>
      <c r="T149" s="1" t="s">
        <v>52</v>
      </c>
      <c r="U149" s="1">
        <v>47.0</v>
      </c>
      <c r="V149" s="1">
        <v>24.0</v>
      </c>
      <c r="W149" s="1">
        <v>20.0</v>
      </c>
      <c r="X149" s="1">
        <v>23.0</v>
      </c>
      <c r="Y149" s="1">
        <v>23.0</v>
      </c>
      <c r="Z149" s="1" t="s">
        <v>53</v>
      </c>
      <c r="AA149" s="1">
        <v>33.0</v>
      </c>
      <c r="AB149" s="1">
        <v>18.0</v>
      </c>
      <c r="AC149" s="1">
        <v>17.0</v>
      </c>
      <c r="AD149" s="1">
        <v>15.0</v>
      </c>
      <c r="AE149" s="1">
        <v>15.0</v>
      </c>
      <c r="AF149" s="1" t="s">
        <v>54</v>
      </c>
      <c r="AG149" s="1">
        <v>33.0</v>
      </c>
      <c r="AH149" s="1">
        <v>15.0</v>
      </c>
      <c r="AI149" s="1">
        <v>14.0</v>
      </c>
      <c r="AJ149" s="1">
        <v>18.0</v>
      </c>
      <c r="AK149" s="1">
        <v>17.0</v>
      </c>
      <c r="AL149" s="1">
        <v>178.0</v>
      </c>
      <c r="AM149" s="1" t="s">
        <v>55</v>
      </c>
      <c r="AN149" s="1">
        <v>22.0</v>
      </c>
      <c r="AO149" s="1">
        <v>22.0</v>
      </c>
      <c r="AP149" s="1" t="s">
        <v>903</v>
      </c>
      <c r="AQ149" s="3" t="str">
        <f>HYPERLINK("https://icf.clappia.com/app/GMB253374/submission/DFQ20141463/ICF247370-GMB253374-deedfjhojpfe0000000/SIG-20250703_1204c687g.jpeg", "SIG-20250703_1204c687g.jpeg")</f>
        <v>SIG-20250703_1204c687g.jpeg</v>
      </c>
      <c r="AR149" s="1" t="s">
        <v>904</v>
      </c>
      <c r="AS149" s="3" t="str">
        <f>HYPERLINK("https://icf.clappia.com/app/GMB253374/submission/DFQ20141463/ICF247370-GMB253374-3mejf2505hp800000000/SIG-20250703_1203ic828.jpeg", "SIG-20250703_1203ic828.jpeg")</f>
        <v>SIG-20250703_1203ic828.jpeg</v>
      </c>
      <c r="AT149" s="1" t="s">
        <v>905</v>
      </c>
      <c r="AU149" s="3" t="str">
        <f>HYPERLINK("https://icf.clappia.com/app/GMB253374/submission/DFQ20141463/ICF247370-GMB253374-2kabifjdpchg00000000/SIG-20250703_12024a5ob.jpeg", "SIG-20250703_12024a5ob.jpeg")</f>
        <v>SIG-20250703_12024a5ob.jpeg</v>
      </c>
      <c r="AV149" s="3" t="str">
        <f>HYPERLINK("https://www.google.com/maps/place/9.1478467%2C-11.95852", "9.1478467,-11.95852")</f>
        <v>9.1478467,-11.95852</v>
      </c>
    </row>
    <row r="150" ht="15.75" customHeight="1">
      <c r="A150" s="1" t="s">
        <v>906</v>
      </c>
      <c r="B150" s="1" t="s">
        <v>81</v>
      </c>
      <c r="C150" s="1" t="s">
        <v>907</v>
      </c>
      <c r="D150" s="1" t="s">
        <v>907</v>
      </c>
      <c r="E150" s="1" t="s">
        <v>908</v>
      </c>
      <c r="F150" s="1" t="s">
        <v>64</v>
      </c>
      <c r="G150" s="1">
        <v>400.0</v>
      </c>
      <c r="H150" s="1" t="s">
        <v>50</v>
      </c>
      <c r="I150" s="1">
        <v>106.0</v>
      </c>
      <c r="J150" s="1">
        <v>53.0</v>
      </c>
      <c r="K150" s="1">
        <v>22.0</v>
      </c>
      <c r="L150" s="1">
        <v>53.0</v>
      </c>
      <c r="M150" s="1">
        <v>25.0</v>
      </c>
      <c r="N150" s="1" t="s">
        <v>51</v>
      </c>
      <c r="O150" s="1">
        <v>124.0</v>
      </c>
      <c r="P150" s="1">
        <v>68.0</v>
      </c>
      <c r="Q150" s="1">
        <v>28.0</v>
      </c>
      <c r="R150" s="1">
        <v>56.0</v>
      </c>
      <c r="S150" s="1">
        <v>26.0</v>
      </c>
      <c r="T150" s="1" t="s">
        <v>52</v>
      </c>
      <c r="U150" s="1">
        <v>160.0</v>
      </c>
      <c r="V150" s="1">
        <v>87.0</v>
      </c>
      <c r="W150" s="1">
        <v>36.0</v>
      </c>
      <c r="X150" s="1">
        <v>73.0</v>
      </c>
      <c r="Y150" s="1">
        <v>25.0</v>
      </c>
      <c r="Z150" s="1" t="s">
        <v>53</v>
      </c>
      <c r="AA150" s="1">
        <v>102.0</v>
      </c>
      <c r="AB150" s="1">
        <v>50.0</v>
      </c>
      <c r="AC150" s="1">
        <v>34.0</v>
      </c>
      <c r="AD150" s="1">
        <v>52.0</v>
      </c>
      <c r="AE150" s="1">
        <v>46.0</v>
      </c>
      <c r="AF150" s="1" t="s">
        <v>54</v>
      </c>
      <c r="AG150" s="1">
        <v>90.0</v>
      </c>
      <c r="AH150" s="1">
        <v>36.0</v>
      </c>
      <c r="AI150" s="1">
        <v>23.0</v>
      </c>
      <c r="AJ150" s="1">
        <v>54.0</v>
      </c>
      <c r="AK150" s="1">
        <v>24.0</v>
      </c>
      <c r="AL150" s="1">
        <v>289.0</v>
      </c>
      <c r="AM150" s="1" t="s">
        <v>55</v>
      </c>
      <c r="AN150" s="1">
        <v>111.0</v>
      </c>
      <c r="AO150" s="1">
        <v>111.0</v>
      </c>
      <c r="AP150" s="1" t="s">
        <v>111</v>
      </c>
      <c r="AQ150" s="3" t="str">
        <f>HYPERLINK("https://icf.clappia.com/app/GMB253374/submission/QCF18744692/ICF247370-GMB253374-4ef5040fl1ne00000000/SIG-20250703_1201i9c33.jpeg", "SIG-20250703_1201i9c33.jpeg")</f>
        <v>SIG-20250703_1201i9c33.jpeg</v>
      </c>
      <c r="AR150" s="1" t="s">
        <v>112</v>
      </c>
      <c r="AS150" s="3" t="str">
        <f>HYPERLINK("https://icf.clappia.com/app/GMB253374/submission/QCF18744692/ICF247370-GMB253374-1ponb6k4kkfhg0000000/SIG-20250703_1201pce46.jpeg", "SIG-20250703_1201pce46.jpeg")</f>
        <v>SIG-20250703_1201pce46.jpeg</v>
      </c>
      <c r="AT150" s="1" t="s">
        <v>113</v>
      </c>
      <c r="AU150" s="3" t="str">
        <f>HYPERLINK("https://icf.clappia.com/app/GMB253374/submission/QCF18744692/ICF247370-GMB253374-60mlnc80enmo00000000/SIG-20250703_1202156iom.jpeg", "SIG-20250703_1202156iom.jpeg")</f>
        <v>SIG-20250703_1202156iom.jpeg</v>
      </c>
      <c r="AV150" s="3" t="str">
        <f>HYPERLINK("https://www.google.com/maps/place/7.9723753%2C-11.7343782", "7.9723753,-11.7343782")</f>
        <v>7.9723753,-11.7343782</v>
      </c>
    </row>
    <row r="151" ht="15.75" customHeight="1">
      <c r="A151" s="1" t="s">
        <v>909</v>
      </c>
      <c r="B151" s="1" t="s">
        <v>167</v>
      </c>
      <c r="C151" s="1" t="s">
        <v>907</v>
      </c>
      <c r="D151" s="1" t="s">
        <v>907</v>
      </c>
      <c r="E151" s="1" t="s">
        <v>910</v>
      </c>
      <c r="F151" s="1" t="s">
        <v>64</v>
      </c>
      <c r="G151" s="1">
        <v>200.0</v>
      </c>
      <c r="H151" s="1" t="s">
        <v>50</v>
      </c>
      <c r="I151" s="1">
        <v>68.0</v>
      </c>
      <c r="J151" s="1">
        <v>36.0</v>
      </c>
      <c r="K151" s="1">
        <v>32.0</v>
      </c>
      <c r="L151" s="1">
        <v>32.0</v>
      </c>
      <c r="M151" s="1">
        <v>29.0</v>
      </c>
      <c r="N151" s="1" t="s">
        <v>51</v>
      </c>
      <c r="O151" s="1">
        <v>28.0</v>
      </c>
      <c r="P151" s="1">
        <v>15.0</v>
      </c>
      <c r="Q151" s="1">
        <v>15.0</v>
      </c>
      <c r="R151" s="1">
        <v>13.0</v>
      </c>
      <c r="S151" s="1">
        <v>9.0</v>
      </c>
      <c r="T151" s="1" t="s">
        <v>52</v>
      </c>
      <c r="U151" s="1">
        <v>29.0</v>
      </c>
      <c r="V151" s="1">
        <v>13.0</v>
      </c>
      <c r="W151" s="1">
        <v>13.0</v>
      </c>
      <c r="X151" s="1">
        <v>16.0</v>
      </c>
      <c r="Y151" s="1">
        <v>16.0</v>
      </c>
      <c r="Z151" s="1" t="s">
        <v>53</v>
      </c>
      <c r="AA151" s="1">
        <v>27.0</v>
      </c>
      <c r="AB151" s="1">
        <v>18.0</v>
      </c>
      <c r="AC151" s="1">
        <v>11.0</v>
      </c>
      <c r="AD151" s="1">
        <v>9.0</v>
      </c>
      <c r="AE151" s="1">
        <v>9.0</v>
      </c>
      <c r="AF151" s="1" t="s">
        <v>54</v>
      </c>
      <c r="AG151" s="1">
        <v>30.0</v>
      </c>
      <c r="AH151" s="1">
        <v>20.0</v>
      </c>
      <c r="AI151" s="1">
        <v>20.0</v>
      </c>
      <c r="AJ151" s="1">
        <v>10.0</v>
      </c>
      <c r="AK151" s="1">
        <v>10.0</v>
      </c>
      <c r="AL151" s="1">
        <v>164.0</v>
      </c>
      <c r="AM151" s="1" t="s">
        <v>55</v>
      </c>
      <c r="AN151" s="1">
        <v>36.0</v>
      </c>
      <c r="AO151" s="1">
        <v>36.0</v>
      </c>
      <c r="AP151" s="1" t="s">
        <v>911</v>
      </c>
      <c r="AQ151" s="3" t="str">
        <f>HYPERLINK("https://icf.clappia.com/app/GMB253374/submission/RJR94610311/ICF247370-GMB253374-4po17i5lnh5e00000000/SIG-20250701_1325lek84.jpeg", "SIG-20250701_1325lek84.jpeg")</f>
        <v>SIG-20250701_1325lek84.jpeg</v>
      </c>
      <c r="AR151" s="1" t="s">
        <v>912</v>
      </c>
      <c r="AS151" s="3" t="str">
        <f>HYPERLINK("https://icf.clappia.com/app/GMB253374/submission/RJR94610311/ICF247370-GMB253374-5d6pe7d5e87m00000000/SIG-20250701_130714m6gk.jpeg", "SIG-20250701_130714m6gk.jpeg")</f>
        <v>SIG-20250701_130714m6gk.jpeg</v>
      </c>
      <c r="AT151" s="1" t="s">
        <v>913</v>
      </c>
      <c r="AU151" s="3" t="str">
        <f>HYPERLINK("https://icf.clappia.com/app/GMB253374/submission/RJR94610311/ICF247370-GMB253374-105nl4215o5p80000000/SIG-20250701_130711i8d7.jpeg", "SIG-20250701_130711i8d7.jpeg")</f>
        <v>SIG-20250701_130711i8d7.jpeg</v>
      </c>
      <c r="AV151" s="3" t="str">
        <f>HYPERLINK("https://www.google.com/maps/place/7.9790329%2C-11.7899484", "7.9790329,-11.7899484")</f>
        <v>7.9790329,-11.7899484</v>
      </c>
    </row>
    <row r="152" ht="15.75" customHeight="1">
      <c r="A152" s="1" t="s">
        <v>914</v>
      </c>
      <c r="B152" s="1" t="s">
        <v>81</v>
      </c>
      <c r="C152" s="1" t="s">
        <v>915</v>
      </c>
      <c r="D152" s="1" t="s">
        <v>915</v>
      </c>
      <c r="E152" s="1" t="s">
        <v>916</v>
      </c>
      <c r="F152" s="1" t="s">
        <v>49</v>
      </c>
      <c r="G152" s="1">
        <v>100.0</v>
      </c>
      <c r="H152" s="1" t="s">
        <v>50</v>
      </c>
      <c r="I152" s="1">
        <v>16.0</v>
      </c>
      <c r="J152" s="1" t="s">
        <v>917</v>
      </c>
      <c r="K152" s="1">
        <v>6.0</v>
      </c>
      <c r="L152" s="1">
        <v>10.0</v>
      </c>
      <c r="M152" s="1">
        <v>10.0</v>
      </c>
      <c r="N152" s="1" t="s">
        <v>51</v>
      </c>
      <c r="O152" s="1">
        <v>18.0</v>
      </c>
      <c r="P152" s="1" t="s">
        <v>917</v>
      </c>
      <c r="Q152" s="1" t="s">
        <v>917</v>
      </c>
      <c r="R152" s="1">
        <v>12.0</v>
      </c>
      <c r="S152" s="1">
        <v>12.0</v>
      </c>
      <c r="T152" s="1" t="s">
        <v>52</v>
      </c>
      <c r="U152" s="1">
        <v>16.0</v>
      </c>
      <c r="V152" s="1" t="s">
        <v>918</v>
      </c>
      <c r="W152" s="1" t="s">
        <v>918</v>
      </c>
      <c r="X152" s="1" t="s">
        <v>919</v>
      </c>
      <c r="Y152" s="1" t="s">
        <v>919</v>
      </c>
      <c r="Z152" s="1" t="s">
        <v>53</v>
      </c>
      <c r="AA152" s="1">
        <v>14.0</v>
      </c>
      <c r="AB152" s="1" t="s">
        <v>917</v>
      </c>
      <c r="AC152" s="1" t="s">
        <v>917</v>
      </c>
      <c r="AD152" s="1" t="s">
        <v>920</v>
      </c>
      <c r="AE152" s="1" t="s">
        <v>920</v>
      </c>
      <c r="AF152" s="1" t="s">
        <v>54</v>
      </c>
      <c r="AG152" s="1">
        <v>13.0</v>
      </c>
      <c r="AH152" s="1" t="s">
        <v>918</v>
      </c>
      <c r="AI152" s="1" t="s">
        <v>918</v>
      </c>
      <c r="AJ152" s="1" t="s">
        <v>917</v>
      </c>
      <c r="AK152" s="1" t="s">
        <v>917</v>
      </c>
      <c r="AL152" s="1">
        <v>77.0</v>
      </c>
      <c r="AM152" s="1" t="s">
        <v>55</v>
      </c>
      <c r="AN152" s="1">
        <v>23.0</v>
      </c>
      <c r="AO152" s="1">
        <v>23.0</v>
      </c>
      <c r="AP152" s="1" t="s">
        <v>921</v>
      </c>
      <c r="AQ152" s="3" t="str">
        <f>HYPERLINK("https://icf.clappia.com/app/GMB253374/submission/ORE51117617/ICF247370-GMB253374-9c14goloi8i80000000/SIG-20250703_115329hhc.jpeg", "SIG-20250703_115329hhc.jpeg")</f>
        <v>SIG-20250703_115329hhc.jpeg</v>
      </c>
      <c r="AR152" s="1" t="s">
        <v>922</v>
      </c>
      <c r="AS152" s="3" t="str">
        <f>HYPERLINK("https://icf.clappia.com/app/GMB253374/submission/ORE51117617/ICF247370-GMB253374-4e8ne3h46l7600000000/SIG-20250703_1154ilmbg.jpeg", "SIG-20250703_1154ilmbg.jpeg")</f>
        <v>SIG-20250703_1154ilmbg.jpeg</v>
      </c>
      <c r="AT152" s="1" t="s">
        <v>923</v>
      </c>
      <c r="AU152" s="3" t="str">
        <f>HYPERLINK("https://icf.clappia.com/app/GMB253374/submission/ORE51117617/ICF247370-GMB253374-25g0763b18ni00000000/SIG-20250703_11592460a.jpeg", "SIG-20250703_11592460a.jpeg")</f>
        <v>SIG-20250703_11592460a.jpeg</v>
      </c>
      <c r="AV152" s="3" t="str">
        <f>HYPERLINK("https://www.google.com/maps/place/7.9406275%2C-11.7297876", "7.9406275,-11.7297876")</f>
        <v>7.9406275,-11.7297876</v>
      </c>
    </row>
    <row r="153" ht="15.75" customHeight="1">
      <c r="A153" s="1" t="s">
        <v>924</v>
      </c>
      <c r="B153" s="1" t="s">
        <v>60</v>
      </c>
      <c r="C153" s="1" t="s">
        <v>915</v>
      </c>
      <c r="D153" s="1" t="s">
        <v>915</v>
      </c>
      <c r="E153" s="1" t="s">
        <v>925</v>
      </c>
      <c r="F153" s="1" t="s">
        <v>64</v>
      </c>
      <c r="G153" s="1">
        <v>150.0</v>
      </c>
      <c r="H153" s="1" t="s">
        <v>50</v>
      </c>
      <c r="I153" s="1">
        <v>45.0</v>
      </c>
      <c r="J153" s="1">
        <v>20.0</v>
      </c>
      <c r="K153" s="1">
        <v>18.0</v>
      </c>
      <c r="L153" s="1">
        <v>25.0</v>
      </c>
      <c r="M153" s="1">
        <v>21.0</v>
      </c>
      <c r="N153" s="1" t="s">
        <v>51</v>
      </c>
      <c r="O153" s="1">
        <v>35.0</v>
      </c>
      <c r="P153" s="1">
        <v>15.0</v>
      </c>
      <c r="Q153" s="1">
        <v>15.0</v>
      </c>
      <c r="R153" s="1">
        <v>20.0</v>
      </c>
      <c r="S153" s="1">
        <v>16.0</v>
      </c>
      <c r="T153" s="1" t="s">
        <v>52</v>
      </c>
      <c r="U153" s="1">
        <v>32.0</v>
      </c>
      <c r="V153" s="1">
        <v>12.0</v>
      </c>
      <c r="W153" s="1">
        <v>10.0</v>
      </c>
      <c r="X153" s="1">
        <v>20.0</v>
      </c>
      <c r="Y153" s="1">
        <v>18.0</v>
      </c>
      <c r="Z153" s="1" t="s">
        <v>53</v>
      </c>
      <c r="AA153" s="1">
        <v>22.0</v>
      </c>
      <c r="AB153" s="1">
        <v>10.0</v>
      </c>
      <c r="AC153" s="1">
        <v>8.0</v>
      </c>
      <c r="AD153" s="1">
        <v>12.0</v>
      </c>
      <c r="AE153" s="1">
        <v>9.0</v>
      </c>
      <c r="AF153" s="1" t="s">
        <v>54</v>
      </c>
      <c r="AG153" s="1">
        <v>16.0</v>
      </c>
      <c r="AH153" s="1">
        <v>6.0</v>
      </c>
      <c r="AI153" s="1">
        <v>5.0</v>
      </c>
      <c r="AJ153" s="1">
        <v>10.0</v>
      </c>
      <c r="AK153" s="1">
        <v>7.0</v>
      </c>
      <c r="AL153" s="1">
        <v>127.0</v>
      </c>
      <c r="AM153" s="1">
        <v>9.0</v>
      </c>
      <c r="AN153" s="1">
        <v>14.0</v>
      </c>
      <c r="AO153" s="1">
        <v>14.0</v>
      </c>
      <c r="AP153" s="1" t="s">
        <v>926</v>
      </c>
      <c r="AQ153" s="3" t="str">
        <f>HYPERLINK("https://icf.clappia.com/app/GMB253374/submission/IRA94497592/ICF247370-GMB253374-4f9ckcooe7oc00000000/SIG-20250703_1200klij1.jpeg", "SIG-20250703_1200klij1.jpeg")</f>
        <v>SIG-20250703_1200klij1.jpeg</v>
      </c>
      <c r="AR153" s="1" t="s">
        <v>927</v>
      </c>
      <c r="AS153" s="3" t="str">
        <f>HYPERLINK("https://icf.clappia.com/app/GMB253374/submission/IRA94497592/ICF247370-GMB253374-5feo5aec04o000000000/SIG-20250703_120214ip5.jpeg", "SIG-20250703_120214ip5.jpeg")</f>
        <v>SIG-20250703_120214ip5.jpeg</v>
      </c>
      <c r="AT153" s="1" t="s">
        <v>928</v>
      </c>
      <c r="AU153" s="3" t="str">
        <f>HYPERLINK("https://icf.clappia.com/app/GMB253374/submission/IRA94497592/ICF247370-GMB253374-59hgh9abpf6e00000000/SIG-20250703_120219jid2.jpeg", "SIG-20250703_120219jid2.jpeg")</f>
        <v>SIG-20250703_120219jid2.jpeg</v>
      </c>
      <c r="AV153" s="3" t="str">
        <f>HYPERLINK("https://www.google.com/maps/place/9.1765217%2C-12.0389267", "9.1765217,-12.0389267")</f>
        <v>9.1765217,-12.0389267</v>
      </c>
    </row>
    <row r="154" ht="15.75" customHeight="1">
      <c r="A154" s="1" t="s">
        <v>929</v>
      </c>
      <c r="B154" s="1" t="s">
        <v>60</v>
      </c>
      <c r="C154" s="1" t="s">
        <v>915</v>
      </c>
      <c r="D154" s="1" t="s">
        <v>915</v>
      </c>
      <c r="E154" s="1" t="s">
        <v>930</v>
      </c>
      <c r="F154" s="1" t="s">
        <v>64</v>
      </c>
      <c r="G154" s="1">
        <v>291.0</v>
      </c>
      <c r="H154" s="1" t="s">
        <v>50</v>
      </c>
      <c r="I154" s="1">
        <v>118.0</v>
      </c>
      <c r="J154" s="1">
        <v>61.0</v>
      </c>
      <c r="K154" s="1">
        <v>61.0</v>
      </c>
      <c r="L154" s="1">
        <v>57.0</v>
      </c>
      <c r="M154" s="1">
        <v>57.0</v>
      </c>
      <c r="N154" s="1" t="s">
        <v>51</v>
      </c>
      <c r="O154" s="1">
        <v>52.0</v>
      </c>
      <c r="P154" s="1">
        <v>25.0</v>
      </c>
      <c r="Q154" s="1">
        <v>25.0</v>
      </c>
      <c r="R154" s="1">
        <v>27.0</v>
      </c>
      <c r="S154" s="1">
        <v>27.0</v>
      </c>
      <c r="T154" s="1" t="s">
        <v>52</v>
      </c>
      <c r="U154" s="1">
        <v>31.0</v>
      </c>
      <c r="V154" s="1">
        <v>18.0</v>
      </c>
      <c r="W154" s="1">
        <v>18.0</v>
      </c>
      <c r="X154" s="1">
        <v>13.0</v>
      </c>
      <c r="Y154" s="1">
        <v>13.0</v>
      </c>
      <c r="Z154" s="1" t="s">
        <v>53</v>
      </c>
      <c r="AA154" s="1">
        <v>40.0</v>
      </c>
      <c r="AB154" s="1">
        <v>18.0</v>
      </c>
      <c r="AC154" s="1">
        <v>18.0</v>
      </c>
      <c r="AD154" s="1">
        <v>22.0</v>
      </c>
      <c r="AE154" s="1">
        <v>22.0</v>
      </c>
      <c r="AF154" s="1" t="s">
        <v>54</v>
      </c>
      <c r="AG154" s="1">
        <v>50.0</v>
      </c>
      <c r="AH154" s="1">
        <v>24.0</v>
      </c>
      <c r="AI154" s="1">
        <v>24.0</v>
      </c>
      <c r="AJ154" s="1">
        <v>26.0</v>
      </c>
      <c r="AK154" s="1">
        <v>26.0</v>
      </c>
      <c r="AL154" s="1">
        <v>291.0</v>
      </c>
      <c r="AM154" s="1" t="s">
        <v>55</v>
      </c>
      <c r="AN154" s="1" t="s">
        <v>55</v>
      </c>
      <c r="AO154" s="1" t="s">
        <v>55</v>
      </c>
      <c r="AP154" s="1" t="s">
        <v>931</v>
      </c>
      <c r="AQ154" s="3" t="str">
        <f>HYPERLINK("https://icf.clappia.com/app/GMB253374/submission/KKO29960896/ICF247370-GMB253374-kl62bhcl6bb60000000/SIG-20250703_1157ba2ep.jpeg", "SIG-20250703_1157ba2ep.jpeg")</f>
        <v>SIG-20250703_1157ba2ep.jpeg</v>
      </c>
      <c r="AR154" s="1" t="s">
        <v>932</v>
      </c>
      <c r="AS154" s="3" t="str">
        <f>HYPERLINK("https://icf.clappia.com/app/GMB253374/submission/KKO29960896/ICF247370-GMB253374-2k1mnm9k8l5800000000/SIG-20250703_1158e87g4.jpeg", "SIG-20250703_1158e87g4.jpeg")</f>
        <v>SIG-20250703_1158e87g4.jpeg</v>
      </c>
      <c r="AT154" s="1" t="s">
        <v>933</v>
      </c>
      <c r="AU154" s="3" t="str">
        <f>HYPERLINK("https://icf.clappia.com/app/GMB253374/submission/KKO29960896/ICF247370-GMB253374-59n739d4njko00000000/SIG-20250703_1159p6m91.jpeg", "SIG-20250703_1159p6m91.jpeg")</f>
        <v>SIG-20250703_1159p6m91.jpeg</v>
      </c>
      <c r="AV154" s="3" t="str">
        <f>HYPERLINK("https://www.google.com/maps/place/8.7448867%2C-12.2659217", "8.7448867,-12.2659217")</f>
        <v>8.7448867,-12.2659217</v>
      </c>
    </row>
    <row r="155" ht="15.75" customHeight="1">
      <c r="A155" s="1" t="s">
        <v>934</v>
      </c>
      <c r="B155" s="1" t="s">
        <v>167</v>
      </c>
      <c r="C155" s="1" t="s">
        <v>935</v>
      </c>
      <c r="D155" s="1" t="s">
        <v>935</v>
      </c>
      <c r="E155" s="1" t="s">
        <v>936</v>
      </c>
      <c r="F155" s="1" t="s">
        <v>64</v>
      </c>
      <c r="G155" s="1">
        <v>250.0</v>
      </c>
      <c r="H155" s="1" t="s">
        <v>50</v>
      </c>
      <c r="I155" s="1">
        <v>77.0</v>
      </c>
      <c r="J155" s="1">
        <v>35.0</v>
      </c>
      <c r="K155" s="1">
        <v>32.0</v>
      </c>
      <c r="L155" s="1">
        <v>42.0</v>
      </c>
      <c r="M155" s="1">
        <v>39.0</v>
      </c>
      <c r="N155" s="1" t="s">
        <v>51</v>
      </c>
      <c r="O155" s="1">
        <v>48.0</v>
      </c>
      <c r="P155" s="1">
        <v>20.0</v>
      </c>
      <c r="Q155" s="1">
        <v>19.0</v>
      </c>
      <c r="R155" s="1">
        <v>28.0</v>
      </c>
      <c r="S155" s="1">
        <v>25.0</v>
      </c>
      <c r="T155" s="1" t="s">
        <v>52</v>
      </c>
      <c r="U155" s="1">
        <v>38.0</v>
      </c>
      <c r="V155" s="1">
        <v>17.0</v>
      </c>
      <c r="W155" s="1">
        <v>17.0</v>
      </c>
      <c r="X155" s="1">
        <v>21.0</v>
      </c>
      <c r="Y155" s="1">
        <v>19.0</v>
      </c>
      <c r="Z155" s="1" t="s">
        <v>53</v>
      </c>
      <c r="AA155" s="1">
        <v>44.0</v>
      </c>
      <c r="AB155" s="1">
        <v>19.0</v>
      </c>
      <c r="AC155" s="1">
        <v>19.0</v>
      </c>
      <c r="AD155" s="1">
        <v>25.0</v>
      </c>
      <c r="AE155" s="1">
        <v>25.0</v>
      </c>
      <c r="AF155" s="1" t="s">
        <v>54</v>
      </c>
      <c r="AG155" s="1">
        <v>40.0</v>
      </c>
      <c r="AH155" s="1">
        <v>21.0</v>
      </c>
      <c r="AI155" s="1">
        <v>21.0</v>
      </c>
      <c r="AJ155" s="1">
        <v>19.0</v>
      </c>
      <c r="AK155" s="1">
        <v>19.0</v>
      </c>
      <c r="AL155" s="1">
        <v>235.0</v>
      </c>
      <c r="AM155" s="1">
        <v>10.0</v>
      </c>
      <c r="AN155" s="1">
        <v>5.0</v>
      </c>
      <c r="AO155" s="1">
        <v>5.0</v>
      </c>
      <c r="AP155" s="1" t="s">
        <v>937</v>
      </c>
      <c r="AQ155" s="3" t="str">
        <f>HYPERLINK("https://icf.clappia.com/app/GMB253374/submission/JRF00241018/ICF247370-GMB253374-21k3afkkpm41m0000000/SIG-20250703_1159mlpk3.jpeg", "SIG-20250703_1159mlpk3.jpeg")</f>
        <v>SIG-20250703_1159mlpk3.jpeg</v>
      </c>
      <c r="AR155" s="1" t="s">
        <v>938</v>
      </c>
      <c r="AS155" s="3" t="str">
        <f>HYPERLINK("https://icf.clappia.com/app/GMB253374/submission/JRF00241018/ICF247370-GMB253374-43i747f2ak9400000000/SIG-20250703_1200982d2.jpeg", "SIG-20250703_1200982d2.jpeg")</f>
        <v>SIG-20250703_1200982d2.jpeg</v>
      </c>
      <c r="AT155" s="1" t="s">
        <v>939</v>
      </c>
      <c r="AU155" s="3" t="str">
        <f>HYPERLINK("https://icf.clappia.com/app/GMB253374/submission/JRF00241018/ICF247370-GMB253374-16fmb02nj69fm0000000/SIG-20250703_1202c6a4i.jpeg", "SIG-20250703_1202c6a4i.jpeg")</f>
        <v>SIG-20250703_1202c6a4i.jpeg</v>
      </c>
      <c r="AV155" s="3" t="str">
        <f>HYPERLINK("https://www.google.com/maps/place/7.8333314%2C-11.7273549", "7.8333314,-11.7273549")</f>
        <v>7.8333314,-11.7273549</v>
      </c>
    </row>
    <row r="156" ht="15.75" customHeight="1">
      <c r="A156" s="1" t="s">
        <v>940</v>
      </c>
      <c r="B156" s="1" t="s">
        <v>60</v>
      </c>
      <c r="C156" s="1" t="s">
        <v>941</v>
      </c>
      <c r="D156" s="1" t="s">
        <v>942</v>
      </c>
      <c r="E156" s="1" t="s">
        <v>943</v>
      </c>
      <c r="F156" s="1" t="s">
        <v>49</v>
      </c>
      <c r="G156" s="1">
        <v>397.0</v>
      </c>
      <c r="H156" s="1" t="s">
        <v>50</v>
      </c>
      <c r="I156" s="1">
        <v>99.0</v>
      </c>
      <c r="J156" s="1">
        <v>42.0</v>
      </c>
      <c r="K156" s="1">
        <v>42.0</v>
      </c>
      <c r="L156" s="1">
        <v>57.0</v>
      </c>
      <c r="M156" s="1">
        <v>57.0</v>
      </c>
      <c r="N156" s="1" t="s">
        <v>51</v>
      </c>
      <c r="O156" s="1">
        <v>87.0</v>
      </c>
      <c r="P156" s="1">
        <v>41.0</v>
      </c>
      <c r="Q156" s="1">
        <v>41.0</v>
      </c>
      <c r="R156" s="1">
        <v>46.0</v>
      </c>
      <c r="S156" s="1">
        <v>46.0</v>
      </c>
      <c r="T156" s="1" t="s">
        <v>52</v>
      </c>
      <c r="U156" s="1">
        <v>86.0</v>
      </c>
      <c r="V156" s="1">
        <v>41.0</v>
      </c>
      <c r="W156" s="1">
        <v>41.0</v>
      </c>
      <c r="X156" s="1">
        <v>45.0</v>
      </c>
      <c r="Y156" s="1">
        <v>45.0</v>
      </c>
      <c r="Z156" s="1" t="s">
        <v>53</v>
      </c>
      <c r="AA156" s="1">
        <v>89.0</v>
      </c>
      <c r="AB156" s="1">
        <v>43.0</v>
      </c>
      <c r="AC156" s="1">
        <v>43.0</v>
      </c>
      <c r="AD156" s="1">
        <v>46.0</v>
      </c>
      <c r="AE156" s="1">
        <v>46.0</v>
      </c>
      <c r="AF156" s="1" t="s">
        <v>54</v>
      </c>
      <c r="AG156" s="1">
        <v>36.0</v>
      </c>
      <c r="AH156" s="1">
        <v>13.0</v>
      </c>
      <c r="AI156" s="1">
        <v>13.0</v>
      </c>
      <c r="AJ156" s="1">
        <v>23.0</v>
      </c>
      <c r="AK156" s="1">
        <v>23.0</v>
      </c>
      <c r="AL156" s="1">
        <v>397.0</v>
      </c>
      <c r="AM156" s="1" t="s">
        <v>55</v>
      </c>
      <c r="AN156" s="1" t="s">
        <v>55</v>
      </c>
      <c r="AO156" s="1" t="s">
        <v>55</v>
      </c>
      <c r="AP156" s="1" t="s">
        <v>944</v>
      </c>
      <c r="AQ156" s="3" t="str">
        <f>HYPERLINK("https://icf.clappia.com/app/GMB253374/submission/JGB93655570/ICF247370-GMB253374-2i3cbl5damk000000000/SIG-20250703_11496ji0g.jpeg", "SIG-20250703_11496ji0g.jpeg")</f>
        <v>SIG-20250703_11496ji0g.jpeg</v>
      </c>
      <c r="AR156" s="1" t="s">
        <v>945</v>
      </c>
      <c r="AS156" s="3" t="str">
        <f>HYPERLINK("https://icf.clappia.com/app/GMB253374/submission/JGB93655570/ICF247370-GMB253374-1f0nkogjcfomi0000000/SIG-20250703_1150ke3kb.jpeg", "SIG-20250703_1150ke3kb.jpeg")</f>
        <v>SIG-20250703_1150ke3kb.jpeg</v>
      </c>
      <c r="AT156" s="1" t="s">
        <v>946</v>
      </c>
      <c r="AU156" s="3" t="str">
        <f>HYPERLINK("https://icf.clappia.com/app/GMB253374/submission/JGB93655570/ICF247370-GMB253374-931lagbd0c4g0000000/SIG-20250703_1150p8n41.jpeg", "SIG-20250703_1150p8n41.jpeg")</f>
        <v>SIG-20250703_1150p8n41.jpeg</v>
      </c>
      <c r="AV156" s="3" t="str">
        <f>HYPERLINK("https://www.google.com/maps/place/8.8869468%2C-12.0505855", "8.8869468,-12.0505855")</f>
        <v>8.8869468,-12.0505855</v>
      </c>
    </row>
    <row r="157" ht="15.75" customHeight="1">
      <c r="A157" s="1" t="s">
        <v>947</v>
      </c>
      <c r="B157" s="1" t="s">
        <v>81</v>
      </c>
      <c r="C157" s="1" t="s">
        <v>948</v>
      </c>
      <c r="D157" s="1" t="s">
        <v>948</v>
      </c>
      <c r="E157" s="1" t="s">
        <v>949</v>
      </c>
      <c r="F157" s="1" t="s">
        <v>49</v>
      </c>
      <c r="G157" s="1">
        <v>300.0</v>
      </c>
      <c r="H157" s="1" t="s">
        <v>50</v>
      </c>
      <c r="I157" s="1">
        <v>64.0</v>
      </c>
      <c r="J157" s="1">
        <v>36.0</v>
      </c>
      <c r="K157" s="1">
        <v>36.0</v>
      </c>
      <c r="L157" s="1">
        <v>27.0</v>
      </c>
      <c r="M157" s="1">
        <v>27.0</v>
      </c>
      <c r="N157" s="1" t="s">
        <v>51</v>
      </c>
      <c r="O157" s="1">
        <v>69.0</v>
      </c>
      <c r="P157" s="1">
        <v>35.0</v>
      </c>
      <c r="Q157" s="1">
        <v>35.0</v>
      </c>
      <c r="R157" s="1">
        <v>34.0</v>
      </c>
      <c r="S157" s="1">
        <v>34.0</v>
      </c>
      <c r="T157" s="1" t="s">
        <v>52</v>
      </c>
      <c r="U157" s="1">
        <v>69.0</v>
      </c>
      <c r="V157" s="1">
        <v>35.0</v>
      </c>
      <c r="W157" s="1">
        <v>25.0</v>
      </c>
      <c r="X157" s="1">
        <v>34.0</v>
      </c>
      <c r="Y157" s="1">
        <v>32.0</v>
      </c>
      <c r="Z157" s="1" t="s">
        <v>53</v>
      </c>
      <c r="AA157" s="1">
        <v>59.0</v>
      </c>
      <c r="AB157" s="1">
        <v>24.0</v>
      </c>
      <c r="AC157" s="1">
        <v>22.0</v>
      </c>
      <c r="AD157" s="1">
        <v>35.0</v>
      </c>
      <c r="AE157" s="1">
        <v>35.0</v>
      </c>
      <c r="AF157" s="1" t="s">
        <v>54</v>
      </c>
      <c r="AG157" s="1">
        <v>54.0</v>
      </c>
      <c r="AH157" s="1">
        <v>20.0</v>
      </c>
      <c r="AI157" s="1">
        <v>20.0</v>
      </c>
      <c r="AJ157" s="1">
        <v>34.0</v>
      </c>
      <c r="AK157" s="1">
        <v>34.0</v>
      </c>
      <c r="AL157" s="1">
        <v>300.0</v>
      </c>
      <c r="AM157" s="1" t="s">
        <v>55</v>
      </c>
      <c r="AN157" s="1" t="s">
        <v>55</v>
      </c>
      <c r="AO157" s="1" t="s">
        <v>55</v>
      </c>
      <c r="AP157" s="1" t="s">
        <v>950</v>
      </c>
      <c r="AQ157" s="3" t="str">
        <f>HYPERLINK("https://icf.clappia.com/app/GMB253374/submission/SAN35324048/ICF247370-GMB253374-11ijd5bcnfe8g0000000/SIG-20250703_11533cp08.jpeg", "SIG-20250703_11533cp08.jpeg")</f>
        <v>SIG-20250703_11533cp08.jpeg</v>
      </c>
      <c r="AR157" s="1" t="s">
        <v>951</v>
      </c>
      <c r="AS157" s="3" t="str">
        <f>HYPERLINK("https://icf.clappia.com/app/GMB253374/submission/SAN35324048/ICF247370-GMB253374-5nk86fkg2gmg00000000/SIG-20250703_11537pn06.jpeg", "SIG-20250703_11537pn06.jpeg")</f>
        <v>SIG-20250703_11537pn06.jpeg</v>
      </c>
      <c r="AT157" s="1" t="s">
        <v>952</v>
      </c>
      <c r="AU157" s="3" t="str">
        <f>HYPERLINK("https://icf.clappia.com/app/GMB253374/submission/SAN35324048/ICF247370-GMB253374-2jh32c0a59ia00000000/SIG-20250703_115416nege.jpeg", "SIG-20250703_115416nege.jpeg")</f>
        <v>SIG-20250703_115416nege.jpeg</v>
      </c>
      <c r="AV157" s="3" t="str">
        <f>HYPERLINK("https://www.google.com/maps/place/7.969385%2C-11.7223667", "7.969385,-11.7223667")</f>
        <v>7.969385,-11.7223667</v>
      </c>
    </row>
    <row r="158" ht="15.75" customHeight="1">
      <c r="A158" s="1" t="s">
        <v>953</v>
      </c>
      <c r="B158" s="1" t="s">
        <v>161</v>
      </c>
      <c r="C158" s="1" t="s">
        <v>954</v>
      </c>
      <c r="D158" s="1" t="s">
        <v>954</v>
      </c>
      <c r="E158" s="1" t="s">
        <v>955</v>
      </c>
      <c r="F158" s="1" t="s">
        <v>64</v>
      </c>
      <c r="G158" s="1">
        <v>99.0</v>
      </c>
      <c r="H158" s="1" t="s">
        <v>50</v>
      </c>
      <c r="I158" s="1" t="s">
        <v>55</v>
      </c>
      <c r="J158" s="1" t="s">
        <v>55</v>
      </c>
      <c r="K158" s="1" t="s">
        <v>55</v>
      </c>
      <c r="L158" s="1" t="s">
        <v>55</v>
      </c>
      <c r="M158" s="1" t="s">
        <v>55</v>
      </c>
      <c r="N158" s="1" t="s">
        <v>51</v>
      </c>
      <c r="O158" s="1" t="s">
        <v>55</v>
      </c>
      <c r="P158" s="1" t="s">
        <v>55</v>
      </c>
      <c r="Q158" s="1" t="s">
        <v>55</v>
      </c>
      <c r="R158" s="1" t="s">
        <v>55</v>
      </c>
      <c r="S158" s="1" t="s">
        <v>55</v>
      </c>
      <c r="T158" s="1" t="s">
        <v>52</v>
      </c>
      <c r="U158" s="1" t="s">
        <v>55</v>
      </c>
      <c r="V158" s="1" t="s">
        <v>55</v>
      </c>
      <c r="W158" s="1" t="s">
        <v>55</v>
      </c>
      <c r="X158" s="1" t="s">
        <v>55</v>
      </c>
      <c r="Y158" s="1" t="s">
        <v>55</v>
      </c>
      <c r="Z158" s="1" t="s">
        <v>53</v>
      </c>
      <c r="AA158" s="1">
        <v>50.0</v>
      </c>
      <c r="AB158" s="1">
        <v>24.0</v>
      </c>
      <c r="AC158" s="1">
        <v>24.0</v>
      </c>
      <c r="AD158" s="1">
        <v>26.0</v>
      </c>
      <c r="AE158" s="1">
        <v>26.0</v>
      </c>
      <c r="AF158" s="1" t="s">
        <v>54</v>
      </c>
      <c r="AG158" s="1">
        <v>49.0</v>
      </c>
      <c r="AH158" s="1">
        <v>20.0</v>
      </c>
      <c r="AI158" s="1">
        <v>20.0</v>
      </c>
      <c r="AJ158" s="1">
        <v>29.0</v>
      </c>
      <c r="AK158" s="1">
        <v>29.0</v>
      </c>
      <c r="AL158" s="1">
        <v>99.0</v>
      </c>
      <c r="AM158" s="1" t="s">
        <v>55</v>
      </c>
      <c r="AN158" s="1" t="s">
        <v>55</v>
      </c>
      <c r="AO158" s="1" t="s">
        <v>55</v>
      </c>
      <c r="AP158" s="1" t="s">
        <v>956</v>
      </c>
      <c r="AQ158" s="3" t="str">
        <f>HYPERLINK("https://icf.clappia.com/app/GMB253374/submission/DTQ29077835/ICF247370-GMB253374-6273c9fk8d6800000000/SIG-20250703_1153mipgb.jpeg", "SIG-20250703_1153mipgb.jpeg")</f>
        <v>SIG-20250703_1153mipgb.jpeg</v>
      </c>
      <c r="AR158" s="1" t="s">
        <v>957</v>
      </c>
      <c r="AS158" s="3" t="str">
        <f>HYPERLINK("https://icf.clappia.com/app/GMB253374/submission/DTQ29077835/ICF247370-GMB253374-3co019halko000000000/SIG-20250703_1154hamf9.jpeg", "SIG-20250703_1154hamf9.jpeg")</f>
        <v>SIG-20250703_1154hamf9.jpeg</v>
      </c>
      <c r="AT158" s="1" t="s">
        <v>958</v>
      </c>
      <c r="AU158" s="3" t="str">
        <f>HYPERLINK("https://icf.clappia.com/app/GMB253374/submission/DTQ29077835/ICF247370-GMB253374-49bpffigcjpa00000000/SIG-20250703_1154d9kd8.jpeg", "SIG-20250703_1154d9kd8.jpeg")</f>
        <v>SIG-20250703_1154d9kd8.jpeg</v>
      </c>
      <c r="AV158" s="3" t="str">
        <f>HYPERLINK("https://www.google.com/maps/place/7.976625%2C-11.595465", "7.976625,-11.595465")</f>
        <v>7.976625,-11.595465</v>
      </c>
    </row>
    <row r="159" ht="15.75" customHeight="1">
      <c r="A159" s="1" t="s">
        <v>959</v>
      </c>
      <c r="B159" s="1" t="s">
        <v>161</v>
      </c>
      <c r="C159" s="1" t="s">
        <v>960</v>
      </c>
      <c r="D159" s="1" t="s">
        <v>960</v>
      </c>
      <c r="E159" s="1" t="s">
        <v>961</v>
      </c>
      <c r="F159" s="1" t="s">
        <v>64</v>
      </c>
      <c r="G159" s="1">
        <v>200.0</v>
      </c>
      <c r="H159" s="1" t="s">
        <v>50</v>
      </c>
      <c r="I159" s="1">
        <v>25.0</v>
      </c>
      <c r="J159" s="1">
        <v>10.0</v>
      </c>
      <c r="K159" s="1">
        <v>10.0</v>
      </c>
      <c r="L159" s="1">
        <v>15.0</v>
      </c>
      <c r="M159" s="1">
        <v>15.0</v>
      </c>
      <c r="N159" s="1" t="s">
        <v>51</v>
      </c>
      <c r="O159" s="1">
        <v>35.0</v>
      </c>
      <c r="P159" s="1">
        <v>15.0</v>
      </c>
      <c r="Q159" s="1">
        <v>15.0</v>
      </c>
      <c r="R159" s="1">
        <v>20.0</v>
      </c>
      <c r="S159" s="1">
        <v>20.0</v>
      </c>
      <c r="T159" s="1" t="s">
        <v>52</v>
      </c>
      <c r="U159" s="1">
        <v>35.0</v>
      </c>
      <c r="V159" s="1">
        <v>18.0</v>
      </c>
      <c r="W159" s="1">
        <v>18.0</v>
      </c>
      <c r="X159" s="1">
        <v>17.0</v>
      </c>
      <c r="Y159" s="1">
        <v>17.0</v>
      </c>
      <c r="Z159" s="1" t="s">
        <v>53</v>
      </c>
      <c r="AA159" s="1">
        <v>26.0</v>
      </c>
      <c r="AB159" s="1">
        <v>10.0</v>
      </c>
      <c r="AC159" s="1">
        <v>10.0</v>
      </c>
      <c r="AD159" s="1">
        <v>16.0</v>
      </c>
      <c r="AE159" s="1">
        <v>16.0</v>
      </c>
      <c r="AF159" s="1" t="s">
        <v>54</v>
      </c>
      <c r="AG159" s="1">
        <v>29.0</v>
      </c>
      <c r="AH159" s="1">
        <v>15.0</v>
      </c>
      <c r="AI159" s="1">
        <v>15.0</v>
      </c>
      <c r="AJ159" s="1">
        <v>14.0</v>
      </c>
      <c r="AK159" s="1">
        <v>14.0</v>
      </c>
      <c r="AL159" s="1">
        <v>150.0</v>
      </c>
      <c r="AM159" s="1" t="s">
        <v>55</v>
      </c>
      <c r="AN159" s="1">
        <v>50.0</v>
      </c>
      <c r="AO159" s="1">
        <v>50.0</v>
      </c>
      <c r="AP159" s="1" t="s">
        <v>962</v>
      </c>
      <c r="AQ159" s="3" t="str">
        <f>HYPERLINK("https://icf.clappia.com/app/GMB253374/submission/TWN28613379/ICF247370-GMB253374-1a8ajb43326oo0000000/SIG-20250703_115037bnp.jpeg", "SIG-20250703_115037bnp.jpeg")</f>
        <v>SIG-20250703_115037bnp.jpeg</v>
      </c>
      <c r="AR159" s="1" t="s">
        <v>963</v>
      </c>
      <c r="AS159" s="3" t="str">
        <f>HYPERLINK("https://icf.clappia.com/app/GMB253374/submission/TWN28613379/ICF247370-GMB253374-ojhh02kf3hlo0000000/SIG-20250703_1151bmbkl.jpeg", "SIG-20250703_1151bmbkl.jpeg")</f>
        <v>SIG-20250703_1151bmbkl.jpeg</v>
      </c>
      <c r="AT159" s="1" t="s">
        <v>964</v>
      </c>
      <c r="AU159" s="3" t="str">
        <f>HYPERLINK("https://icf.clappia.com/app/GMB253374/submission/TWN28613379/ICF247370-GMB253374-1335ac997294k0000000/SIG-20250703_1152h95fk.jpeg", "SIG-20250703_1152h95fk.jpeg")</f>
        <v>SIG-20250703_1152h95fk.jpeg</v>
      </c>
      <c r="AV159" s="3" t="str">
        <f>HYPERLINK("https://www.google.com/maps/place/7.987375%2C-11.7336283", "7.987375,-11.7336283")</f>
        <v>7.987375,-11.7336283</v>
      </c>
    </row>
    <row r="160" ht="15.75" customHeight="1">
      <c r="A160" s="1" t="s">
        <v>965</v>
      </c>
      <c r="B160" s="1" t="s">
        <v>155</v>
      </c>
      <c r="C160" s="1" t="s">
        <v>966</v>
      </c>
      <c r="D160" s="1" t="s">
        <v>966</v>
      </c>
      <c r="E160" s="1" t="s">
        <v>967</v>
      </c>
      <c r="F160" s="1" t="s">
        <v>64</v>
      </c>
      <c r="G160" s="1">
        <v>300.0</v>
      </c>
      <c r="H160" s="1" t="s">
        <v>50</v>
      </c>
      <c r="I160" s="1">
        <v>107.0</v>
      </c>
      <c r="J160" s="1">
        <v>68.0</v>
      </c>
      <c r="K160" s="1">
        <v>68.0</v>
      </c>
      <c r="L160" s="1">
        <v>39.0</v>
      </c>
      <c r="M160" s="1">
        <v>39.0</v>
      </c>
      <c r="N160" s="1" t="s">
        <v>51</v>
      </c>
      <c r="O160" s="1">
        <v>82.0</v>
      </c>
      <c r="P160" s="1">
        <v>36.0</v>
      </c>
      <c r="Q160" s="1">
        <v>36.0</v>
      </c>
      <c r="R160" s="1">
        <v>46.0</v>
      </c>
      <c r="S160" s="1">
        <v>46.0</v>
      </c>
      <c r="T160" s="1" t="s">
        <v>52</v>
      </c>
      <c r="U160" s="1">
        <v>43.0</v>
      </c>
      <c r="V160" s="1">
        <v>24.0</v>
      </c>
      <c r="W160" s="1">
        <v>24.0</v>
      </c>
      <c r="X160" s="1">
        <v>19.0</v>
      </c>
      <c r="Y160" s="1">
        <v>19.0</v>
      </c>
      <c r="Z160" s="1" t="s">
        <v>53</v>
      </c>
      <c r="AA160" s="1">
        <v>30.0</v>
      </c>
      <c r="AB160" s="1">
        <v>18.0</v>
      </c>
      <c r="AC160" s="1">
        <v>18.0</v>
      </c>
      <c r="AD160" s="1">
        <v>12.0</v>
      </c>
      <c r="AE160" s="1">
        <v>12.0</v>
      </c>
      <c r="AF160" s="1" t="s">
        <v>54</v>
      </c>
      <c r="AG160" s="1">
        <v>34.0</v>
      </c>
      <c r="AH160" s="1">
        <v>20.0</v>
      </c>
      <c r="AI160" s="1">
        <v>20.0</v>
      </c>
      <c r="AJ160" s="1">
        <v>14.0</v>
      </c>
      <c r="AK160" s="1">
        <v>14.0</v>
      </c>
      <c r="AL160" s="1">
        <v>296.0</v>
      </c>
      <c r="AM160" s="1" t="s">
        <v>55</v>
      </c>
      <c r="AN160" s="1">
        <v>4.0</v>
      </c>
      <c r="AO160" s="1" t="s">
        <v>55</v>
      </c>
      <c r="AP160" s="1" t="s">
        <v>968</v>
      </c>
      <c r="AQ160" s="3" t="str">
        <f>HYPERLINK("https://icf.clappia.com/app/GMB253374/submission/GXR72735746/ICF247370-GMB253374-56kif19dhhao00000000/SIG-20250703_0942g3cdi.jpeg", "SIG-20250703_0942g3cdi.jpeg")</f>
        <v>SIG-20250703_0942g3cdi.jpeg</v>
      </c>
      <c r="AR160" s="1" t="s">
        <v>159</v>
      </c>
      <c r="AS160" s="3" t="str">
        <f>HYPERLINK("https://icf.clappia.com/app/GMB253374/submission/GXR72735746/ICF247370-GMB253374-13ikhk1cm637e0000000/SIG-20250703_09439g9mp.jpeg", "SIG-20250703_09439g9mp.jpeg")</f>
        <v>SIG-20250703_09439g9mp.jpeg</v>
      </c>
      <c r="AT160" s="1" t="s">
        <v>159</v>
      </c>
      <c r="AU160" s="3" t="str">
        <f>HYPERLINK("https://icf.clappia.com/app/GMB253374/submission/GXR72735746/ICF247370-GMB253374-9ge436dg6c4o0000000/SIG-20250703_0943123mp5.jpeg", "SIG-20250703_0943123mp5.jpeg")</f>
        <v>SIG-20250703_0943123mp5.jpeg</v>
      </c>
      <c r="AV160" s="3" t="str">
        <f>HYPERLINK("https://www.google.com/maps/place/8.7407867%2C-11.9971067", "8.7407867,-11.9971067")</f>
        <v>8.7407867,-11.9971067</v>
      </c>
    </row>
    <row r="161" ht="15.75" customHeight="1">
      <c r="A161" s="1" t="s">
        <v>969</v>
      </c>
      <c r="B161" s="1" t="s">
        <v>335</v>
      </c>
      <c r="C161" s="1" t="s">
        <v>966</v>
      </c>
      <c r="D161" s="1" t="s">
        <v>966</v>
      </c>
      <c r="E161" s="1" t="s">
        <v>970</v>
      </c>
      <c r="F161" s="1" t="s">
        <v>64</v>
      </c>
      <c r="G161" s="1">
        <v>214.0</v>
      </c>
      <c r="H161" s="1" t="s">
        <v>50</v>
      </c>
      <c r="I161" s="1">
        <v>120.0</v>
      </c>
      <c r="J161" s="1">
        <v>65.0</v>
      </c>
      <c r="K161" s="1">
        <v>65.0</v>
      </c>
      <c r="L161" s="1">
        <v>55.0</v>
      </c>
      <c r="M161" s="1">
        <v>55.0</v>
      </c>
      <c r="N161" s="1" t="s">
        <v>51</v>
      </c>
      <c r="O161" s="1">
        <v>45.0</v>
      </c>
      <c r="P161" s="1">
        <v>20.0</v>
      </c>
      <c r="Q161" s="1">
        <v>20.0</v>
      </c>
      <c r="R161" s="1">
        <v>25.0</v>
      </c>
      <c r="S161" s="1">
        <v>25.0</v>
      </c>
      <c r="T161" s="1" t="s">
        <v>52</v>
      </c>
      <c r="U161" s="1">
        <v>22.0</v>
      </c>
      <c r="V161" s="1">
        <v>10.0</v>
      </c>
      <c r="W161" s="1">
        <v>10.0</v>
      </c>
      <c r="X161" s="1">
        <v>12.0</v>
      </c>
      <c r="Y161" s="1">
        <v>12.0</v>
      </c>
      <c r="Z161" s="1" t="s">
        <v>53</v>
      </c>
      <c r="AA161" s="1">
        <v>16.0</v>
      </c>
      <c r="AB161" s="1">
        <v>9.0</v>
      </c>
      <c r="AC161" s="1">
        <v>9.0</v>
      </c>
      <c r="AD161" s="1">
        <v>7.0</v>
      </c>
      <c r="AE161" s="1">
        <v>7.0</v>
      </c>
      <c r="AF161" s="1" t="s">
        <v>54</v>
      </c>
      <c r="AG161" s="1">
        <v>11.0</v>
      </c>
      <c r="AH161" s="1">
        <v>5.0</v>
      </c>
      <c r="AI161" s="1">
        <v>5.0</v>
      </c>
      <c r="AJ161" s="1">
        <v>6.0</v>
      </c>
      <c r="AK161" s="1">
        <v>6.0</v>
      </c>
      <c r="AL161" s="1">
        <v>214.0</v>
      </c>
      <c r="AM161" s="1" t="s">
        <v>55</v>
      </c>
      <c r="AN161" s="1" t="s">
        <v>55</v>
      </c>
      <c r="AO161" s="1" t="s">
        <v>55</v>
      </c>
      <c r="AP161" s="1" t="s">
        <v>971</v>
      </c>
      <c r="AQ161" s="3" t="str">
        <f>HYPERLINK("https://icf.clappia.com/app/GMB253374/submission/ZML62427325/ICF247370-GMB253374-6421n22ee10400000000/SIG-20250703_115199pgg.jpeg", "SIG-20250703_115199pgg.jpeg")</f>
        <v>SIG-20250703_115199pgg.jpeg</v>
      </c>
      <c r="AR161" s="1" t="s">
        <v>972</v>
      </c>
      <c r="AS161" s="3" t="str">
        <f>HYPERLINK("https://icf.clappia.com/app/GMB253374/submission/ZML62427325/ICF247370-GMB253374-pmf27dmbf4ec0000000/SIG-20250703_115112h7cn.jpeg", "SIG-20250703_115112h7cn.jpeg")</f>
        <v>SIG-20250703_115112h7cn.jpeg</v>
      </c>
      <c r="AT161" s="1" t="s">
        <v>973</v>
      </c>
      <c r="AU161" s="3" t="str">
        <f>HYPERLINK("https://icf.clappia.com/app/GMB253374/submission/ZML62427325/ICF247370-GMB253374-494kdojj2ane00000000/SIG-20250703_1152m932n.jpeg", "SIG-20250703_1152m932n.jpeg")</f>
        <v>SIG-20250703_1152m932n.jpeg</v>
      </c>
      <c r="AV161" s="3" t="str">
        <f>HYPERLINK("https://www.google.com/maps/place/8.1666361%2C-11.6856597", "8.1666361,-11.6856597")</f>
        <v>8.1666361,-11.6856597</v>
      </c>
    </row>
    <row r="162" ht="15.75" customHeight="1">
      <c r="A162" s="1" t="s">
        <v>974</v>
      </c>
      <c r="B162" s="1" t="s">
        <v>142</v>
      </c>
      <c r="C162" s="1" t="s">
        <v>975</v>
      </c>
      <c r="D162" s="1" t="s">
        <v>975</v>
      </c>
      <c r="E162" s="1" t="s">
        <v>976</v>
      </c>
      <c r="F162" s="1" t="s">
        <v>64</v>
      </c>
      <c r="G162" s="1">
        <v>198.0</v>
      </c>
      <c r="H162" s="1" t="s">
        <v>50</v>
      </c>
      <c r="I162" s="1">
        <v>19.0</v>
      </c>
      <c r="J162" s="1">
        <v>9.0</v>
      </c>
      <c r="K162" s="1">
        <v>6.0</v>
      </c>
      <c r="L162" s="1">
        <v>10.0</v>
      </c>
      <c r="M162" s="1">
        <v>8.0</v>
      </c>
      <c r="N162" s="1" t="s">
        <v>51</v>
      </c>
      <c r="O162" s="1">
        <v>12.0</v>
      </c>
      <c r="P162" s="1">
        <v>8.0</v>
      </c>
      <c r="Q162" s="1">
        <v>7.0</v>
      </c>
      <c r="R162" s="1">
        <v>4.0</v>
      </c>
      <c r="S162" s="1">
        <v>3.0</v>
      </c>
      <c r="T162" s="1" t="s">
        <v>52</v>
      </c>
      <c r="U162" s="1">
        <v>10.0</v>
      </c>
      <c r="V162" s="1">
        <v>7.0</v>
      </c>
      <c r="W162" s="1">
        <v>6.0</v>
      </c>
      <c r="X162" s="1">
        <v>3.0</v>
      </c>
      <c r="Y162" s="1">
        <v>3.0</v>
      </c>
      <c r="Z162" s="1" t="s">
        <v>53</v>
      </c>
      <c r="AA162" s="1">
        <v>9.0</v>
      </c>
      <c r="AB162" s="1">
        <v>6.0</v>
      </c>
      <c r="AC162" s="1">
        <v>6.0</v>
      </c>
      <c r="AD162" s="1">
        <v>3.0</v>
      </c>
      <c r="AE162" s="1">
        <v>3.0</v>
      </c>
      <c r="AF162" s="1" t="s">
        <v>54</v>
      </c>
      <c r="AG162" s="1" t="s">
        <v>55</v>
      </c>
      <c r="AH162" s="1" t="s">
        <v>55</v>
      </c>
      <c r="AI162" s="1" t="s">
        <v>55</v>
      </c>
      <c r="AJ162" s="1" t="s">
        <v>55</v>
      </c>
      <c r="AK162" s="1" t="s">
        <v>55</v>
      </c>
      <c r="AL162" s="1">
        <v>42.0</v>
      </c>
      <c r="AM162" s="1">
        <v>8.0</v>
      </c>
      <c r="AN162" s="1">
        <v>148.0</v>
      </c>
      <c r="AO162" s="1">
        <v>148.0</v>
      </c>
      <c r="AP162" s="1" t="s">
        <v>977</v>
      </c>
      <c r="AQ162" s="3" t="str">
        <f>HYPERLINK("https://icf.clappia.com/app/GMB253374/submission/PUX54238475/ICF247370-GMB253374-epdn6e5gk33e0000000/SIG-20250703_1146fol2m.jpeg", "SIG-20250703_1146fol2m.jpeg")</f>
        <v>SIG-20250703_1146fol2m.jpeg</v>
      </c>
      <c r="AR162" s="1" t="s">
        <v>978</v>
      </c>
      <c r="AS162" s="3" t="str">
        <f>HYPERLINK("https://icf.clappia.com/app/GMB253374/submission/PUX54238475/ICF247370-GMB253374-3f0ehgdnci0m00000000/SIG-20250703_1144nc2b3.jpeg", "SIG-20250703_1144nc2b3.jpeg")</f>
        <v>SIG-20250703_1144nc2b3.jpeg</v>
      </c>
      <c r="AT162" s="1" t="s">
        <v>979</v>
      </c>
      <c r="AU162" s="3" t="str">
        <f>HYPERLINK("https://icf.clappia.com/app/GMB253374/submission/PUX54238475/ICF247370-GMB253374-6a7p5pngmpi600000000/SIG-20250703_11451a6fee.jpeg", "SIG-20250703_11451a6fee.jpeg")</f>
        <v>SIG-20250703_11451a6fee.jpeg</v>
      </c>
      <c r="AV162" s="3" t="str">
        <f>HYPERLINK("https://www.google.com/maps/place/7.9118017%2C-11.9823083", "7.9118017,-11.9823083")</f>
        <v>7.9118017,-11.9823083</v>
      </c>
    </row>
    <row r="163" ht="15.75" customHeight="1">
      <c r="A163" s="1" t="s">
        <v>980</v>
      </c>
      <c r="B163" s="1" t="s">
        <v>102</v>
      </c>
      <c r="C163" s="1" t="s">
        <v>981</v>
      </c>
      <c r="D163" s="1" t="s">
        <v>981</v>
      </c>
      <c r="E163" s="1" t="s">
        <v>982</v>
      </c>
      <c r="F163" s="1" t="s">
        <v>64</v>
      </c>
      <c r="G163" s="1">
        <v>245.0</v>
      </c>
      <c r="H163" s="1" t="s">
        <v>50</v>
      </c>
      <c r="I163" s="1">
        <v>120.0</v>
      </c>
      <c r="J163" s="1">
        <v>50.0</v>
      </c>
      <c r="K163" s="1">
        <v>49.0</v>
      </c>
      <c r="L163" s="1">
        <v>70.0</v>
      </c>
      <c r="M163" s="1">
        <v>68.0</v>
      </c>
      <c r="N163" s="1" t="s">
        <v>51</v>
      </c>
      <c r="O163" s="1">
        <v>70.0</v>
      </c>
      <c r="P163" s="1">
        <v>30.0</v>
      </c>
      <c r="Q163" s="1">
        <v>30.0</v>
      </c>
      <c r="R163" s="1">
        <v>40.0</v>
      </c>
      <c r="S163" s="1">
        <v>39.0</v>
      </c>
      <c r="T163" s="1" t="s">
        <v>52</v>
      </c>
      <c r="U163" s="1">
        <v>60.0</v>
      </c>
      <c r="V163" s="1">
        <v>30.0</v>
      </c>
      <c r="W163" s="1">
        <v>26.0</v>
      </c>
      <c r="X163" s="1">
        <v>30.0</v>
      </c>
      <c r="Y163" s="1">
        <v>25.0</v>
      </c>
      <c r="Z163" s="1" t="s">
        <v>53</v>
      </c>
      <c r="AA163" s="1">
        <v>50.0</v>
      </c>
      <c r="AB163" s="1">
        <v>20.0</v>
      </c>
      <c r="AC163" s="1">
        <v>4.0</v>
      </c>
      <c r="AD163" s="1">
        <v>30.0</v>
      </c>
      <c r="AE163" s="1">
        <v>4.0</v>
      </c>
      <c r="AF163" s="1" t="s">
        <v>54</v>
      </c>
      <c r="AG163" s="1">
        <v>45.0</v>
      </c>
      <c r="AH163" s="1">
        <v>20.0</v>
      </c>
      <c r="AI163" s="1" t="s">
        <v>55</v>
      </c>
      <c r="AJ163" s="1">
        <v>25.0</v>
      </c>
      <c r="AK163" s="1" t="s">
        <v>55</v>
      </c>
      <c r="AL163" s="1">
        <v>245.0</v>
      </c>
      <c r="AM163" s="1" t="s">
        <v>55</v>
      </c>
      <c r="AN163" s="1" t="s">
        <v>55</v>
      </c>
      <c r="AO163" s="1" t="s">
        <v>55</v>
      </c>
      <c r="AP163" s="1" t="s">
        <v>983</v>
      </c>
      <c r="AQ163" s="3" t="str">
        <f>HYPERLINK("https://icf.clappia.com/app/GMB253374/submission/KPT23370445/ICF247370-GMB253374-2f592no47l8000000000/SIG-20250703_0943o058.jpeg", "SIG-20250703_0943o058.jpeg")</f>
        <v>SIG-20250703_0943o058.jpeg</v>
      </c>
      <c r="AR163" s="1" t="s">
        <v>984</v>
      </c>
      <c r="AS163" s="3" t="str">
        <f>HYPERLINK("https://icf.clappia.com/app/GMB253374/submission/KPT23370445/ICF247370-GMB253374-417fg6898mmg00000000/SIG-20250703_0943ma1f2.jpeg", "SIG-20250703_0943ma1f2.jpeg")</f>
        <v>SIG-20250703_0943ma1f2.jpeg</v>
      </c>
      <c r="AT163" s="1" t="s">
        <v>985</v>
      </c>
      <c r="AU163" s="3" t="str">
        <f>HYPERLINK("https://icf.clappia.com/app/GMB253374/submission/KPT23370445/ICF247370-GMB253374-4410kj6g1nki00000000/SIG-20250703_0943o2l62.jpeg", "SIG-20250703_0943o2l62.jpeg")</f>
        <v>SIG-20250703_0943o2l62.jpeg</v>
      </c>
      <c r="AV163" s="3" t="str">
        <f>HYPERLINK("https://www.google.com/maps/place/9.0675367%2C-11.9541433", "9.0675367,-11.9541433")</f>
        <v>9.0675367,-11.9541433</v>
      </c>
    </row>
    <row r="164" ht="15.75" customHeight="1">
      <c r="A164" s="1" t="s">
        <v>986</v>
      </c>
      <c r="B164" s="1" t="s">
        <v>81</v>
      </c>
      <c r="C164" s="1" t="s">
        <v>987</v>
      </c>
      <c r="D164" s="1" t="s">
        <v>987</v>
      </c>
      <c r="E164" s="1" t="s">
        <v>988</v>
      </c>
      <c r="F164" s="1" t="s">
        <v>49</v>
      </c>
      <c r="G164" s="1">
        <v>300.0</v>
      </c>
      <c r="H164" s="1" t="s">
        <v>50</v>
      </c>
      <c r="I164" s="1">
        <v>60.0</v>
      </c>
      <c r="J164" s="1">
        <v>25.0</v>
      </c>
      <c r="K164" s="1">
        <v>25.0</v>
      </c>
      <c r="L164" s="1">
        <v>35.0</v>
      </c>
      <c r="M164" s="1">
        <v>35.0</v>
      </c>
      <c r="N164" s="1" t="s">
        <v>51</v>
      </c>
      <c r="O164" s="1">
        <v>75.0</v>
      </c>
      <c r="P164" s="1">
        <v>45.0</v>
      </c>
      <c r="Q164" s="1">
        <v>35.0</v>
      </c>
      <c r="R164" s="1">
        <v>30.0</v>
      </c>
      <c r="S164" s="1">
        <v>25.0</v>
      </c>
      <c r="T164" s="1" t="s">
        <v>52</v>
      </c>
      <c r="U164" s="1">
        <v>70.0</v>
      </c>
      <c r="V164" s="1">
        <v>30.0</v>
      </c>
      <c r="W164" s="1">
        <v>27.0</v>
      </c>
      <c r="X164" s="1">
        <v>40.0</v>
      </c>
      <c r="Y164" s="1">
        <v>35.0</v>
      </c>
      <c r="Z164" s="1" t="s">
        <v>53</v>
      </c>
      <c r="AA164" s="1">
        <v>50.0</v>
      </c>
      <c r="AB164" s="1">
        <v>30.0</v>
      </c>
      <c r="AC164" s="1">
        <v>25.0</v>
      </c>
      <c r="AD164" s="1">
        <v>20.0</v>
      </c>
      <c r="AE164" s="1">
        <v>17.0</v>
      </c>
      <c r="AF164" s="1" t="s">
        <v>54</v>
      </c>
      <c r="AG164" s="1">
        <v>45.0</v>
      </c>
      <c r="AH164" s="1">
        <v>15.0</v>
      </c>
      <c r="AI164" s="1">
        <v>15.0</v>
      </c>
      <c r="AJ164" s="1">
        <v>30.0</v>
      </c>
      <c r="AK164" s="1">
        <v>30.0</v>
      </c>
      <c r="AL164" s="1">
        <v>269.0</v>
      </c>
      <c r="AM164" s="1" t="s">
        <v>55</v>
      </c>
      <c r="AN164" s="1">
        <v>31.0</v>
      </c>
      <c r="AO164" s="1">
        <v>31.0</v>
      </c>
      <c r="AP164" s="1" t="s">
        <v>989</v>
      </c>
      <c r="AQ164" s="3" t="str">
        <f>HYPERLINK("https://icf.clappia.com/app/GMB253374/submission/NDJ37805216/ICF247370-GMB253374-5o1cmo01chhe00000000/SIG-20250703_1135k9j7e.jpeg", "SIG-20250703_1135k9j7e.jpeg")</f>
        <v>SIG-20250703_1135k9j7e.jpeg</v>
      </c>
      <c r="AR164" s="1" t="s">
        <v>990</v>
      </c>
      <c r="AS164" s="3" t="str">
        <f>HYPERLINK("https://icf.clappia.com/app/GMB253374/submission/NDJ37805216/ICF247370-GMB253374-5b7gh429c9e800000000/SIG-20250703_113613iog3.jpeg", "SIG-20250703_113613iog3.jpeg")</f>
        <v>SIG-20250703_113613iog3.jpeg</v>
      </c>
      <c r="AT164" s="1" t="s">
        <v>991</v>
      </c>
      <c r="AU164" s="3" t="str">
        <f>HYPERLINK("https://icf.clappia.com/app/GMB253374/submission/NDJ37805216/ICF247370-GMB253374-4l2ikkg6kai800000000/SIG-20250703_1142di47b.jpeg", "SIG-20250703_1142di47b.jpeg")</f>
        <v>SIG-20250703_1142di47b.jpeg</v>
      </c>
      <c r="AV164" s="3" t="str">
        <f>HYPERLINK("https://www.google.com/maps/place/7.963%2C-11.7587267", "7.963,-11.7587267")</f>
        <v>7.963,-11.7587267</v>
      </c>
    </row>
    <row r="165" ht="15.75" customHeight="1">
      <c r="A165" s="1" t="s">
        <v>992</v>
      </c>
      <c r="B165" s="1" t="s">
        <v>142</v>
      </c>
      <c r="C165" s="1" t="s">
        <v>987</v>
      </c>
      <c r="D165" s="1" t="s">
        <v>987</v>
      </c>
      <c r="E165" s="1" t="s">
        <v>993</v>
      </c>
      <c r="F165" s="1" t="s">
        <v>64</v>
      </c>
      <c r="G165" s="1">
        <v>100.0</v>
      </c>
      <c r="H165" s="1" t="s">
        <v>50</v>
      </c>
      <c r="I165" s="1">
        <v>45.0</v>
      </c>
      <c r="J165" s="1">
        <v>20.0</v>
      </c>
      <c r="K165" s="1">
        <v>20.0</v>
      </c>
      <c r="L165" s="1">
        <v>25.0</v>
      </c>
      <c r="M165" s="1">
        <v>25.0</v>
      </c>
      <c r="N165" s="1" t="s">
        <v>51</v>
      </c>
      <c r="O165" s="1">
        <v>40.0</v>
      </c>
      <c r="P165" s="1">
        <v>18.0</v>
      </c>
      <c r="Q165" s="1">
        <v>10.0</v>
      </c>
      <c r="R165" s="1">
        <v>22.0</v>
      </c>
      <c r="S165" s="1">
        <v>18.0</v>
      </c>
      <c r="T165" s="1" t="s">
        <v>52</v>
      </c>
      <c r="U165" s="1">
        <v>34.0</v>
      </c>
      <c r="V165" s="1">
        <v>15.0</v>
      </c>
      <c r="W165" s="1">
        <v>7.0</v>
      </c>
      <c r="X165" s="1">
        <v>19.0</v>
      </c>
      <c r="Y165" s="1">
        <v>8.0</v>
      </c>
      <c r="Z165" s="1" t="s">
        <v>53</v>
      </c>
      <c r="AA165" s="1">
        <v>20.0</v>
      </c>
      <c r="AB165" s="1">
        <v>12.0</v>
      </c>
      <c r="AC165" s="1">
        <v>4.0</v>
      </c>
      <c r="AD165" s="1">
        <v>7.0</v>
      </c>
      <c r="AE165" s="1">
        <v>2.0</v>
      </c>
      <c r="AF165" s="1" t="s">
        <v>54</v>
      </c>
      <c r="AG165" s="1">
        <v>13.0</v>
      </c>
      <c r="AH165" s="1">
        <v>7.0</v>
      </c>
      <c r="AI165" s="1">
        <v>3.0</v>
      </c>
      <c r="AJ165" s="1">
        <v>6.0</v>
      </c>
      <c r="AK165" s="1">
        <v>2.0</v>
      </c>
      <c r="AL165" s="1">
        <v>99.0</v>
      </c>
      <c r="AM165" s="1">
        <v>1.0</v>
      </c>
      <c r="AN165" s="1" t="s">
        <v>55</v>
      </c>
      <c r="AO165" s="1" t="s">
        <v>55</v>
      </c>
      <c r="AP165" s="1" t="s">
        <v>994</v>
      </c>
      <c r="AQ165" s="3" t="str">
        <f>HYPERLINK("https://icf.clappia.com/app/GMB253374/submission/QOR36752694/ICF247370-GMB253374-4bogjidolpao00000000/SIG-20250703_11371915af.jpeg", "SIG-20250703_11371915af.jpeg")</f>
        <v>SIG-20250703_11371915af.jpeg</v>
      </c>
      <c r="AR165" s="1" t="s">
        <v>995</v>
      </c>
      <c r="AS165" s="3" t="str">
        <f>HYPERLINK("https://icf.clappia.com/app/GMB253374/submission/QOR36752694/ICF247370-GMB253374-6b6g9pobigkk00000000/SIG-20250703_1137102cb.jpeg", "SIG-20250703_1137102cb.jpeg")</f>
        <v>SIG-20250703_1137102cb.jpeg</v>
      </c>
      <c r="AT165" s="1" t="s">
        <v>996</v>
      </c>
      <c r="AU165" s="3" t="str">
        <f>HYPERLINK("https://icf.clappia.com/app/GMB253374/submission/QOR36752694/ICF247370-GMB253374-35g4pmabhh1c00000000/SIG-20250703_113817c6f2.jpeg", "SIG-20250703_113817c6f2.jpeg")</f>
        <v>SIG-20250703_113817c6f2.jpeg</v>
      </c>
      <c r="AV165" s="3" t="str">
        <f>HYPERLINK("https://www.google.com/maps/place/7.9076633%2C-11.9844433", "7.9076633,-11.9844433")</f>
        <v>7.9076633,-11.9844433</v>
      </c>
    </row>
    <row r="166" ht="15.75" customHeight="1">
      <c r="A166" s="1" t="s">
        <v>997</v>
      </c>
      <c r="B166" s="1" t="s">
        <v>438</v>
      </c>
      <c r="C166" s="1" t="s">
        <v>998</v>
      </c>
      <c r="D166" s="1" t="s">
        <v>998</v>
      </c>
      <c r="E166" s="1" t="s">
        <v>999</v>
      </c>
      <c r="F166" s="1" t="s">
        <v>64</v>
      </c>
      <c r="G166" s="1">
        <v>200.0</v>
      </c>
      <c r="H166" s="1" t="s">
        <v>50</v>
      </c>
      <c r="I166" s="1">
        <v>61.0</v>
      </c>
      <c r="J166" s="1">
        <v>34.0</v>
      </c>
      <c r="K166" s="1">
        <v>30.0</v>
      </c>
      <c r="L166" s="1">
        <v>27.0</v>
      </c>
      <c r="M166" s="1">
        <v>25.0</v>
      </c>
      <c r="N166" s="1" t="s">
        <v>51</v>
      </c>
      <c r="O166" s="1">
        <v>46.0</v>
      </c>
      <c r="P166" s="1">
        <v>24.0</v>
      </c>
      <c r="Q166" s="1">
        <v>23.0</v>
      </c>
      <c r="R166" s="1">
        <v>22.0</v>
      </c>
      <c r="S166" s="1">
        <v>20.0</v>
      </c>
      <c r="T166" s="1" t="s">
        <v>52</v>
      </c>
      <c r="U166" s="1">
        <v>52.0</v>
      </c>
      <c r="V166" s="1">
        <v>28.0</v>
      </c>
      <c r="W166" s="1">
        <v>27.0</v>
      </c>
      <c r="X166" s="1">
        <v>24.0</v>
      </c>
      <c r="Y166" s="1">
        <v>23.0</v>
      </c>
      <c r="Z166" s="1" t="s">
        <v>53</v>
      </c>
      <c r="AA166" s="1">
        <v>22.0</v>
      </c>
      <c r="AB166" s="1">
        <v>10.0</v>
      </c>
      <c r="AC166" s="1">
        <v>10.0</v>
      </c>
      <c r="AD166" s="1">
        <v>12.0</v>
      </c>
      <c r="AE166" s="1">
        <v>10.0</v>
      </c>
      <c r="AF166" s="1" t="s">
        <v>54</v>
      </c>
      <c r="AG166" s="1">
        <v>7.0</v>
      </c>
      <c r="AH166" s="1">
        <v>3.0</v>
      </c>
      <c r="AI166" s="1">
        <v>3.0</v>
      </c>
      <c r="AJ166" s="1">
        <v>4.0</v>
      </c>
      <c r="AK166" s="1">
        <v>4.0</v>
      </c>
      <c r="AL166" s="1">
        <v>175.0</v>
      </c>
      <c r="AM166" s="1" t="s">
        <v>55</v>
      </c>
      <c r="AN166" s="1">
        <v>25.0</v>
      </c>
      <c r="AO166" s="1">
        <v>25.0</v>
      </c>
      <c r="AP166" s="1" t="s">
        <v>1000</v>
      </c>
      <c r="AQ166" s="3" t="str">
        <f>HYPERLINK("https://icf.clappia.com/app/GMB253374/submission/JRB66802557/ICF247370-GMB253374-32kbf3k2e35m00000000/SIG-20250703_1136k501j.jpeg", "SIG-20250703_1136k501j.jpeg")</f>
        <v>SIG-20250703_1136k501j.jpeg</v>
      </c>
      <c r="AR166" s="1" t="s">
        <v>1001</v>
      </c>
      <c r="AS166" s="3" t="str">
        <f>HYPERLINK("https://icf.clappia.com/app/GMB253374/submission/JRB66802557/ICF247370-GMB253374-3e0c535l13ag00000000/SIG-20250703_1137pee1g.jpeg", "SIG-20250703_1137pee1g.jpeg")</f>
        <v>SIG-20250703_1137pee1g.jpeg</v>
      </c>
      <c r="AT166" s="1" t="s">
        <v>1002</v>
      </c>
      <c r="AU166" s="3" t="str">
        <f>HYPERLINK("https://icf.clappia.com/app/GMB253374/submission/JRB66802557/ICF247370-GMB253374-2c1o0379biie00000000/SIG-20250703_1137bh8a9.jpeg", "SIG-20250703_1137bh8a9.jpeg")</f>
        <v>SIG-20250703_1137bh8a9.jpeg</v>
      </c>
      <c r="AV166" s="3" t="str">
        <f>HYPERLINK("https://www.google.com/maps/place/7.6400603%2C-11.8718858", "7.6400603,-11.8718858")</f>
        <v>7.6400603,-11.8718858</v>
      </c>
    </row>
    <row r="167" ht="15.75" customHeight="1">
      <c r="A167" s="1" t="s">
        <v>1003</v>
      </c>
      <c r="B167" s="1" t="s">
        <v>81</v>
      </c>
      <c r="C167" s="1" t="s">
        <v>1004</v>
      </c>
      <c r="D167" s="1" t="s">
        <v>1004</v>
      </c>
      <c r="E167" s="1" t="s">
        <v>1005</v>
      </c>
      <c r="F167" s="1" t="s">
        <v>64</v>
      </c>
      <c r="G167" s="1">
        <v>225.0</v>
      </c>
      <c r="H167" s="1" t="s">
        <v>50</v>
      </c>
      <c r="I167" s="1">
        <v>40.0</v>
      </c>
      <c r="J167" s="1">
        <v>15.0</v>
      </c>
      <c r="K167" s="1">
        <v>13.0</v>
      </c>
      <c r="L167" s="1">
        <v>25.0</v>
      </c>
      <c r="M167" s="1">
        <v>20.0</v>
      </c>
      <c r="N167" s="1" t="s">
        <v>51</v>
      </c>
      <c r="O167" s="1">
        <v>66.0</v>
      </c>
      <c r="P167" s="1">
        <v>36.0</v>
      </c>
      <c r="Q167" s="1">
        <v>29.0</v>
      </c>
      <c r="R167" s="1">
        <v>30.0</v>
      </c>
      <c r="S167" s="1">
        <v>29.0</v>
      </c>
      <c r="T167" s="1" t="s">
        <v>52</v>
      </c>
      <c r="U167" s="1">
        <v>49.0</v>
      </c>
      <c r="V167" s="1">
        <v>29.0</v>
      </c>
      <c r="W167" s="1">
        <v>26.0</v>
      </c>
      <c r="X167" s="1">
        <v>20.0</v>
      </c>
      <c r="Y167" s="1">
        <v>13.0</v>
      </c>
      <c r="Z167" s="1" t="s">
        <v>53</v>
      </c>
      <c r="AA167" s="1">
        <v>81.0</v>
      </c>
      <c r="AB167" s="1">
        <v>50.0</v>
      </c>
      <c r="AC167" s="1">
        <v>49.0</v>
      </c>
      <c r="AD167" s="1">
        <v>19.0</v>
      </c>
      <c r="AE167" s="1">
        <v>10.0</v>
      </c>
      <c r="AF167" s="1" t="s">
        <v>54</v>
      </c>
      <c r="AG167" s="1">
        <v>75.0</v>
      </c>
      <c r="AH167" s="1">
        <v>29.0</v>
      </c>
      <c r="AI167" s="1">
        <v>7.0</v>
      </c>
      <c r="AJ167" s="1">
        <v>25.0</v>
      </c>
      <c r="AK167" s="1">
        <v>21.0</v>
      </c>
      <c r="AL167" s="1">
        <v>217.0</v>
      </c>
      <c r="AM167" s="1">
        <v>8.0</v>
      </c>
      <c r="AN167" s="1" t="s">
        <v>55</v>
      </c>
      <c r="AO167" s="1" t="s">
        <v>55</v>
      </c>
      <c r="AP167" s="1" t="s">
        <v>1006</v>
      </c>
      <c r="AQ167" s="3" t="str">
        <f>HYPERLINK("https://icf.clappia.com/app/GMB253374/submission/COB25015984/ICF247370-GMB253374-67an7j79n00800000000/SIG-20250703_1124m1nhj.jpeg", "SIG-20250703_1124m1nhj.jpeg")</f>
        <v>SIG-20250703_1124m1nhj.jpeg</v>
      </c>
      <c r="AR167" s="1" t="s">
        <v>1007</v>
      </c>
      <c r="AS167" s="3" t="str">
        <f>HYPERLINK("https://icf.clappia.com/app/GMB253374/submission/COB25015984/ICF247370-GMB253374-41d5i25enne400000000/SIG-20250703_11251755fi.jpeg", "SIG-20250703_11251755fi.jpeg")</f>
        <v>SIG-20250703_11251755fi.jpeg</v>
      </c>
      <c r="AT167" s="1" t="s">
        <v>1008</v>
      </c>
      <c r="AU167" s="3" t="str">
        <f>HYPERLINK("https://icf.clappia.com/app/GMB253374/submission/COB25015984/ICF247370-GMB253374-69006ekp21ae00000000/SIG-20250703_1125cbi00.jpeg", "SIG-20250703_1125cbi00.jpeg")</f>
        <v>SIG-20250703_1125cbi00.jpeg</v>
      </c>
      <c r="AV167" s="3" t="str">
        <f>HYPERLINK("https://www.google.com/maps/place/7.9521272%2C-11.737206", "7.9521272,-11.737206")</f>
        <v>7.9521272,-11.737206</v>
      </c>
    </row>
    <row r="168" ht="15.75" customHeight="1">
      <c r="A168" s="1" t="s">
        <v>1009</v>
      </c>
      <c r="B168" s="1" t="s">
        <v>189</v>
      </c>
      <c r="C168" s="1" t="s">
        <v>1010</v>
      </c>
      <c r="D168" s="1" t="s">
        <v>1010</v>
      </c>
      <c r="E168" s="1" t="s">
        <v>1011</v>
      </c>
      <c r="F168" s="1" t="s">
        <v>64</v>
      </c>
      <c r="G168" s="1">
        <v>240.0</v>
      </c>
      <c r="H168" s="1" t="s">
        <v>50</v>
      </c>
      <c r="I168" s="1">
        <v>48.0</v>
      </c>
      <c r="J168" s="1">
        <v>21.0</v>
      </c>
      <c r="K168" s="1">
        <v>18.0</v>
      </c>
      <c r="L168" s="1">
        <v>27.0</v>
      </c>
      <c r="M168" s="1">
        <v>25.0</v>
      </c>
      <c r="N168" s="1" t="s">
        <v>51</v>
      </c>
      <c r="O168" s="1">
        <v>42.0</v>
      </c>
      <c r="P168" s="1">
        <v>25.0</v>
      </c>
      <c r="Q168" s="1">
        <v>18.0</v>
      </c>
      <c r="R168" s="1">
        <v>17.0</v>
      </c>
      <c r="S168" s="1">
        <v>15.0</v>
      </c>
      <c r="T168" s="1" t="s">
        <v>52</v>
      </c>
      <c r="U168" s="1">
        <v>47.0</v>
      </c>
      <c r="V168" s="1">
        <v>22.0</v>
      </c>
      <c r="W168" s="1">
        <v>22.0</v>
      </c>
      <c r="X168" s="1">
        <v>25.0</v>
      </c>
      <c r="Y168" s="1">
        <v>23.0</v>
      </c>
      <c r="Z168" s="1" t="s">
        <v>53</v>
      </c>
      <c r="AA168" s="1">
        <v>56.0</v>
      </c>
      <c r="AB168" s="1">
        <v>25.0</v>
      </c>
      <c r="AC168" s="1">
        <v>25.0</v>
      </c>
      <c r="AD168" s="1">
        <v>31.0</v>
      </c>
      <c r="AE168" s="1">
        <v>31.0</v>
      </c>
      <c r="AF168" s="1" t="s">
        <v>54</v>
      </c>
      <c r="AG168" s="1">
        <v>41.0</v>
      </c>
      <c r="AH168" s="1">
        <v>17.0</v>
      </c>
      <c r="AI168" s="1">
        <v>17.0</v>
      </c>
      <c r="AJ168" s="1">
        <v>24.0</v>
      </c>
      <c r="AK168" s="1">
        <v>24.0</v>
      </c>
      <c r="AL168" s="1">
        <v>218.0</v>
      </c>
      <c r="AM168" s="1">
        <v>10.0</v>
      </c>
      <c r="AN168" s="1">
        <v>12.0</v>
      </c>
      <c r="AO168" s="1">
        <v>12.0</v>
      </c>
      <c r="AP168" s="1" t="s">
        <v>1012</v>
      </c>
      <c r="AQ168" s="3" t="str">
        <f>HYPERLINK("https://icf.clappia.com/app/GMB253374/submission/TFF81791923/ICF247370-GMB253374-44apb130630e00000000/SIG-20250703_113213a0ao.jpeg", "SIG-20250703_113213a0ao.jpeg")</f>
        <v>SIG-20250703_113213a0ao.jpeg</v>
      </c>
      <c r="AR168" s="1" t="s">
        <v>1013</v>
      </c>
      <c r="AS168" s="3" t="str">
        <f>HYPERLINK("https://icf.clappia.com/app/GMB253374/submission/TFF81791923/ICF247370-GMB253374-4b8kg60hi7ao00000000/SIG-20250703_1132kj6gl.jpeg", "SIG-20250703_1132kj6gl.jpeg")</f>
        <v>SIG-20250703_1132kj6gl.jpeg</v>
      </c>
      <c r="AT168" s="1" t="s">
        <v>1014</v>
      </c>
      <c r="AU168" s="3" t="str">
        <f>HYPERLINK("https://icf.clappia.com/app/GMB253374/submission/TFF81791923/ICF247370-GMB253374-1fblf9n1fi4hm0000000/SIG-20250703_1133hcg64.jpeg", "SIG-20250703_1133hcg64.jpeg")</f>
        <v>SIG-20250703_1133hcg64.jpeg</v>
      </c>
      <c r="AV168" s="3" t="str">
        <f>HYPERLINK("https://www.google.com/maps/place/8.8963466%2C-12.047742", "8.8963466,-12.047742")</f>
        <v>8.8963466,-12.047742</v>
      </c>
    </row>
    <row r="169" ht="15.75" customHeight="1">
      <c r="A169" s="1" t="s">
        <v>1015</v>
      </c>
      <c r="B169" s="1" t="s">
        <v>142</v>
      </c>
      <c r="C169" s="1" t="s">
        <v>1016</v>
      </c>
      <c r="D169" s="1" t="s">
        <v>1017</v>
      </c>
      <c r="E169" s="1" t="s">
        <v>1018</v>
      </c>
      <c r="F169" s="1" t="s">
        <v>64</v>
      </c>
      <c r="G169" s="1">
        <v>60.0</v>
      </c>
      <c r="H169" s="1" t="s">
        <v>50</v>
      </c>
      <c r="I169" s="1">
        <v>39.0</v>
      </c>
      <c r="J169" s="1">
        <v>24.0</v>
      </c>
      <c r="K169" s="1">
        <v>24.0</v>
      </c>
      <c r="L169" s="1">
        <v>15.0</v>
      </c>
      <c r="M169" s="1">
        <v>15.0</v>
      </c>
      <c r="N169" s="1" t="s">
        <v>51</v>
      </c>
      <c r="O169" s="1">
        <v>11.0</v>
      </c>
      <c r="P169" s="1">
        <v>5.0</v>
      </c>
      <c r="Q169" s="1">
        <v>5.0</v>
      </c>
      <c r="R169" s="1">
        <v>6.0</v>
      </c>
      <c r="S169" s="1">
        <v>6.0</v>
      </c>
      <c r="T169" s="1" t="s">
        <v>52</v>
      </c>
      <c r="U169" s="1">
        <v>10.0</v>
      </c>
      <c r="V169" s="1">
        <v>5.0</v>
      </c>
      <c r="W169" s="1">
        <v>5.0</v>
      </c>
      <c r="X169" s="1">
        <v>5.0</v>
      </c>
      <c r="Y169" s="1">
        <v>5.0</v>
      </c>
      <c r="Z169" s="1" t="s">
        <v>53</v>
      </c>
      <c r="AA169" s="1" t="s">
        <v>55</v>
      </c>
      <c r="AB169" s="1" t="s">
        <v>55</v>
      </c>
      <c r="AC169" s="1" t="s">
        <v>55</v>
      </c>
      <c r="AD169" s="1" t="s">
        <v>55</v>
      </c>
      <c r="AE169" s="1" t="s">
        <v>55</v>
      </c>
      <c r="AF169" s="1" t="s">
        <v>54</v>
      </c>
      <c r="AG169" s="1" t="s">
        <v>55</v>
      </c>
      <c r="AH169" s="1" t="s">
        <v>55</v>
      </c>
      <c r="AI169" s="1" t="s">
        <v>55</v>
      </c>
      <c r="AJ169" s="1" t="s">
        <v>55</v>
      </c>
      <c r="AK169" s="1" t="s">
        <v>55</v>
      </c>
      <c r="AL169" s="1">
        <v>60.0</v>
      </c>
      <c r="AM169" s="1" t="s">
        <v>55</v>
      </c>
      <c r="AN169" s="1" t="s">
        <v>55</v>
      </c>
      <c r="AO169" s="1" t="s">
        <v>55</v>
      </c>
      <c r="AP169" s="1" t="s">
        <v>1019</v>
      </c>
      <c r="AQ169" s="3" t="str">
        <f>HYPERLINK("https://icf.clappia.com/app/GMB253374/submission/PAX31213955/ICF247370-GMB253374-28l2jnfm184ic000000/SIG-20250702_114114i98f.jpeg", "SIG-20250702_114114i98f.jpeg")</f>
        <v>SIG-20250702_114114i98f.jpeg</v>
      </c>
      <c r="AR169" s="1" t="s">
        <v>1020</v>
      </c>
      <c r="AS169" s="3" t="str">
        <f>HYPERLINK("https://icf.clappia.com/app/GMB253374/submission/PAX31213955/ICF247370-GMB253374-1i83h6dj267ki000000/SIG-20250702_114210j054.jpeg", "SIG-20250702_114210j054.jpeg")</f>
        <v>SIG-20250702_114210j054.jpeg</v>
      </c>
      <c r="AT169" s="1" t="s">
        <v>1021</v>
      </c>
      <c r="AU169" s="3" t="str">
        <f>HYPERLINK("https://icf.clappia.com/app/GMB253374/submission/PAX31213955/ICF247370-GMB253374-5o56b72iem3200000000/SIG-20250702_1142o5c0n.jpeg", "SIG-20250702_1142o5c0n.jpeg")</f>
        <v>SIG-20250702_1142o5c0n.jpeg</v>
      </c>
      <c r="AV169" s="3" t="str">
        <f>HYPERLINK("https://www.google.com/maps/place/7.7726483%2C-12.0602433", "7.7726483,-12.0602433")</f>
        <v>7.7726483,-12.0602433</v>
      </c>
    </row>
    <row r="170" ht="15.75" customHeight="1">
      <c r="A170" s="1" t="s">
        <v>1022</v>
      </c>
      <c r="B170" s="1" t="s">
        <v>248</v>
      </c>
      <c r="C170" s="1" t="s">
        <v>1023</v>
      </c>
      <c r="D170" s="1" t="s">
        <v>1023</v>
      </c>
      <c r="E170" s="1" t="s">
        <v>1024</v>
      </c>
      <c r="F170" s="1" t="s">
        <v>64</v>
      </c>
      <c r="G170" s="1">
        <v>42.0</v>
      </c>
      <c r="H170" s="1" t="s">
        <v>50</v>
      </c>
      <c r="I170" s="1">
        <v>13.0</v>
      </c>
      <c r="J170" s="1">
        <v>5.0</v>
      </c>
      <c r="K170" s="1">
        <v>5.0</v>
      </c>
      <c r="L170" s="1">
        <v>8.0</v>
      </c>
      <c r="M170" s="1">
        <v>8.0</v>
      </c>
      <c r="N170" s="1" t="s">
        <v>51</v>
      </c>
      <c r="O170" s="1">
        <v>8.0</v>
      </c>
      <c r="P170" s="1">
        <v>2.0</v>
      </c>
      <c r="Q170" s="1">
        <v>2.0</v>
      </c>
      <c r="R170" s="1">
        <v>6.0</v>
      </c>
      <c r="S170" s="1">
        <v>6.0</v>
      </c>
      <c r="T170" s="1" t="s">
        <v>52</v>
      </c>
      <c r="U170" s="1">
        <v>9.0</v>
      </c>
      <c r="V170" s="1">
        <v>5.0</v>
      </c>
      <c r="W170" s="1">
        <v>5.0</v>
      </c>
      <c r="X170" s="1">
        <v>4.0</v>
      </c>
      <c r="Y170" s="1">
        <v>4.0</v>
      </c>
      <c r="Z170" s="1" t="s">
        <v>53</v>
      </c>
      <c r="AA170" s="1">
        <v>8.0</v>
      </c>
      <c r="AB170" s="1">
        <v>4.0</v>
      </c>
      <c r="AC170" s="1">
        <v>4.0</v>
      </c>
      <c r="AD170" s="1">
        <v>4.0</v>
      </c>
      <c r="AE170" s="1">
        <v>4.0</v>
      </c>
      <c r="AF170" s="1" t="s">
        <v>54</v>
      </c>
      <c r="AG170" s="1">
        <v>4.0</v>
      </c>
      <c r="AH170" s="1">
        <v>2.0</v>
      </c>
      <c r="AI170" s="1">
        <v>2.0</v>
      </c>
      <c r="AJ170" s="1">
        <v>2.0</v>
      </c>
      <c r="AK170" s="1">
        <v>2.0</v>
      </c>
      <c r="AL170" s="1">
        <v>42.0</v>
      </c>
      <c r="AM170" s="1" t="s">
        <v>55</v>
      </c>
      <c r="AN170" s="1" t="s">
        <v>55</v>
      </c>
      <c r="AO170" s="1" t="s">
        <v>55</v>
      </c>
      <c r="AP170" s="1" t="s">
        <v>1025</v>
      </c>
      <c r="AQ170" s="3" t="str">
        <f>HYPERLINK("https://icf.clappia.com/app/GMB253374/submission/FIQ32583989/ICF247370-GMB253374-196d2bg60ad120000000/SIG-20250703_11246fnci.jpeg", "SIG-20250703_11246fnci.jpeg")</f>
        <v>SIG-20250703_11246fnci.jpeg</v>
      </c>
      <c r="AR170" s="1" t="s">
        <v>1026</v>
      </c>
      <c r="AS170" s="3" t="str">
        <f>HYPERLINK("https://icf.clappia.com/app/GMB253374/submission/FIQ32583989/ICF247370-GMB253374-588o8hj3ljh600000000/SIG-20250703_112516fihi.jpeg", "SIG-20250703_112516fihi.jpeg")</f>
        <v>SIG-20250703_112516fihi.jpeg</v>
      </c>
      <c r="AT170" s="1" t="s">
        <v>1027</v>
      </c>
      <c r="AU170" s="3" t="str">
        <f>HYPERLINK("https://icf.clappia.com/app/GMB253374/submission/FIQ32583989/ICF247370-GMB253374-4jl47hklnkk800000000/SIG-20250703_1126dm1e0.jpeg", "SIG-20250703_1126dm1e0.jpeg")</f>
        <v>SIG-20250703_1126dm1e0.jpeg</v>
      </c>
      <c r="AV170" s="3" t="str">
        <f>HYPERLINK("https://www.google.com/maps/place/7.9090067%2C-11.5471633", "7.9090067,-11.5471633")</f>
        <v>7.9090067,-11.5471633</v>
      </c>
    </row>
    <row r="171" ht="15.75" customHeight="1">
      <c r="A171" s="1" t="s">
        <v>1028</v>
      </c>
      <c r="B171" s="1" t="s">
        <v>778</v>
      </c>
      <c r="C171" s="1" t="s">
        <v>1029</v>
      </c>
      <c r="D171" s="1" t="s">
        <v>1029</v>
      </c>
      <c r="E171" s="1" t="s">
        <v>1030</v>
      </c>
      <c r="F171" s="1" t="s">
        <v>64</v>
      </c>
      <c r="G171" s="1">
        <v>255.0</v>
      </c>
      <c r="H171" s="1" t="s">
        <v>50</v>
      </c>
      <c r="I171" s="1">
        <v>68.0</v>
      </c>
      <c r="J171" s="1">
        <v>36.0</v>
      </c>
      <c r="K171" s="1">
        <v>36.0</v>
      </c>
      <c r="L171" s="1">
        <v>32.0</v>
      </c>
      <c r="M171" s="1">
        <v>32.0</v>
      </c>
      <c r="N171" s="1" t="s">
        <v>51</v>
      </c>
      <c r="O171" s="1">
        <v>20.0</v>
      </c>
      <c r="P171" s="1">
        <v>6.0</v>
      </c>
      <c r="Q171" s="1">
        <v>6.0</v>
      </c>
      <c r="R171" s="1">
        <v>14.0</v>
      </c>
      <c r="S171" s="1">
        <v>14.0</v>
      </c>
      <c r="T171" s="1" t="s">
        <v>52</v>
      </c>
      <c r="U171" s="1">
        <v>25.0</v>
      </c>
      <c r="V171" s="1">
        <v>15.0</v>
      </c>
      <c r="W171" s="1">
        <v>15.0</v>
      </c>
      <c r="X171" s="1">
        <v>10.0</v>
      </c>
      <c r="Y171" s="1">
        <v>10.0</v>
      </c>
      <c r="Z171" s="1" t="s">
        <v>53</v>
      </c>
      <c r="AA171" s="1">
        <v>19.0</v>
      </c>
      <c r="AB171" s="1">
        <v>13.0</v>
      </c>
      <c r="AC171" s="1">
        <v>13.0</v>
      </c>
      <c r="AD171" s="1">
        <v>6.0</v>
      </c>
      <c r="AE171" s="1">
        <v>6.0</v>
      </c>
      <c r="AF171" s="1" t="s">
        <v>54</v>
      </c>
      <c r="AG171" s="1">
        <v>18.0</v>
      </c>
      <c r="AH171" s="1">
        <v>6.0</v>
      </c>
      <c r="AI171" s="1">
        <v>6.0</v>
      </c>
      <c r="AJ171" s="1">
        <v>12.0</v>
      </c>
      <c r="AK171" s="1">
        <v>12.0</v>
      </c>
      <c r="AL171" s="1">
        <v>150.0</v>
      </c>
      <c r="AM171" s="1" t="s">
        <v>55</v>
      </c>
      <c r="AN171" s="1">
        <v>105.0</v>
      </c>
      <c r="AO171" s="1">
        <v>105.0</v>
      </c>
      <c r="AP171" s="1" t="s">
        <v>1031</v>
      </c>
      <c r="AQ171" s="3" t="str">
        <f>HYPERLINK("https://icf.clappia.com/app/GMB253374/submission/XCS84447354/ICF247370-GMB253374-2ddn9g8a5ihc00000000/SIG-20250702_1309akaj2.jpeg", "SIG-20250702_1309akaj2.jpeg")</f>
        <v>SIG-20250702_1309akaj2.jpeg</v>
      </c>
      <c r="AR171" s="1" t="s">
        <v>1032</v>
      </c>
      <c r="AS171" s="3" t="str">
        <f>HYPERLINK("https://icf.clappia.com/app/GMB253374/submission/XCS84447354/ICF247370-GMB253374-3dnk86724bpe00000000/SIG-20250702_1309coji.jpeg", "SIG-20250702_1309coji.jpeg")</f>
        <v>SIG-20250702_1309coji.jpeg</v>
      </c>
      <c r="AT171" s="1" t="s">
        <v>1033</v>
      </c>
      <c r="AU171" s="3" t="str">
        <f>HYPERLINK("https://icf.clappia.com/app/GMB253374/submission/XCS84447354/ICF247370-GMB253374-465lj3l0o2ko00000000/SIG-20250702_1309pphjb.jpeg", "SIG-20250702_1309pphjb.jpeg")</f>
        <v>SIG-20250702_1309pphjb.jpeg</v>
      </c>
      <c r="AV171" s="3" t="str">
        <f>HYPERLINK("https://www.google.com/maps/place/7.78502%2C-11.6631867", "7.78502,-11.6631867")</f>
        <v>7.78502,-11.6631867</v>
      </c>
    </row>
    <row r="172" ht="15.75" customHeight="1">
      <c r="A172" s="1" t="s">
        <v>1034</v>
      </c>
      <c r="B172" s="1" t="s">
        <v>189</v>
      </c>
      <c r="C172" s="1" t="s">
        <v>1035</v>
      </c>
      <c r="D172" s="1" t="s">
        <v>1035</v>
      </c>
      <c r="E172" s="1" t="s">
        <v>1036</v>
      </c>
      <c r="F172" s="1" t="s">
        <v>64</v>
      </c>
      <c r="G172" s="1">
        <v>400.0</v>
      </c>
      <c r="H172" s="1" t="s">
        <v>50</v>
      </c>
      <c r="I172" s="1">
        <v>75.0</v>
      </c>
      <c r="J172" s="1">
        <v>40.0</v>
      </c>
      <c r="K172" s="1">
        <v>40.0</v>
      </c>
      <c r="L172" s="1">
        <v>35.0</v>
      </c>
      <c r="M172" s="1">
        <v>35.0</v>
      </c>
      <c r="N172" s="1" t="s">
        <v>51</v>
      </c>
      <c r="O172" s="1">
        <v>73.0</v>
      </c>
      <c r="P172" s="1">
        <v>35.0</v>
      </c>
      <c r="Q172" s="1">
        <v>35.0</v>
      </c>
      <c r="R172" s="1">
        <v>38.0</v>
      </c>
      <c r="S172" s="1">
        <v>38.0</v>
      </c>
      <c r="T172" s="1" t="s">
        <v>52</v>
      </c>
      <c r="U172" s="1">
        <v>83.0</v>
      </c>
      <c r="V172" s="1">
        <v>40.0</v>
      </c>
      <c r="W172" s="1">
        <v>40.0</v>
      </c>
      <c r="X172" s="1">
        <v>43.0</v>
      </c>
      <c r="Y172" s="1">
        <v>43.0</v>
      </c>
      <c r="Z172" s="1" t="s">
        <v>53</v>
      </c>
      <c r="AA172" s="1">
        <v>86.0</v>
      </c>
      <c r="AB172" s="1">
        <v>45.0</v>
      </c>
      <c r="AC172" s="1">
        <v>45.0</v>
      </c>
      <c r="AD172" s="1">
        <v>41.0</v>
      </c>
      <c r="AE172" s="1">
        <v>41.0</v>
      </c>
      <c r="AF172" s="1" t="s">
        <v>54</v>
      </c>
      <c r="AG172" s="1">
        <v>83.0</v>
      </c>
      <c r="AH172" s="1">
        <v>38.0</v>
      </c>
      <c r="AI172" s="1">
        <v>38.0</v>
      </c>
      <c r="AJ172" s="1">
        <v>45.0</v>
      </c>
      <c r="AK172" s="1">
        <v>45.0</v>
      </c>
      <c r="AL172" s="1">
        <v>400.0</v>
      </c>
      <c r="AM172" s="1" t="s">
        <v>55</v>
      </c>
      <c r="AN172" s="1" t="s">
        <v>55</v>
      </c>
      <c r="AO172" s="1" t="s">
        <v>55</v>
      </c>
      <c r="AP172" s="1" t="s">
        <v>1037</v>
      </c>
      <c r="AQ172" s="3" t="str">
        <f>HYPERLINK("https://icf.clappia.com/app/GMB253374/submission/SIJ79835663/ICF247370-GMB253374-57652obakec80000000/SIG-20250703_10186a1mc.jpeg", "SIG-20250703_10186a1mc.jpeg")</f>
        <v>SIG-20250703_10186a1mc.jpeg</v>
      </c>
      <c r="AR172" s="1" t="s">
        <v>1038</v>
      </c>
      <c r="AS172" s="3" t="str">
        <f>HYPERLINK("https://icf.clappia.com/app/GMB253374/submission/SIJ79835663/ICF247370-GMB253374-1h6469p2bn9ge0000000/SIG-20250703_1007egf29.jpeg", "SIG-20250703_1007egf29.jpeg")</f>
        <v>SIG-20250703_1007egf29.jpeg</v>
      </c>
      <c r="AT172" s="1" t="s">
        <v>403</v>
      </c>
      <c r="AU172" s="3" t="str">
        <f>HYPERLINK("https://icf.clappia.com/app/GMB253374/submission/SIJ79835663/ICF247370-GMB253374-3mioeg5e2o1800000000/SIG-20250703_101847a12.jpeg", "SIG-20250703_101847a12.jpeg")</f>
        <v>SIG-20250703_101847a12.jpeg</v>
      </c>
      <c r="AV172" s="3" t="str">
        <f>HYPERLINK("https://www.google.com/maps/place/8.8963133%2C-12.0418218", "8.8963133,-12.0418218")</f>
        <v>8.8963133,-12.0418218</v>
      </c>
    </row>
    <row r="173" ht="15.75" customHeight="1">
      <c r="A173" s="1" t="s">
        <v>1039</v>
      </c>
      <c r="B173" s="1" t="s">
        <v>536</v>
      </c>
      <c r="C173" s="1" t="s">
        <v>1040</v>
      </c>
      <c r="D173" s="1" t="s">
        <v>1040</v>
      </c>
      <c r="E173" s="1" t="s">
        <v>1041</v>
      </c>
      <c r="F173" s="1" t="s">
        <v>64</v>
      </c>
      <c r="G173" s="1">
        <v>350.0</v>
      </c>
      <c r="H173" s="1" t="s">
        <v>50</v>
      </c>
      <c r="I173" s="1">
        <v>77.0</v>
      </c>
      <c r="J173" s="1">
        <v>37.0</v>
      </c>
      <c r="K173" s="1">
        <v>37.0</v>
      </c>
      <c r="L173" s="1">
        <v>40.0</v>
      </c>
      <c r="M173" s="1">
        <v>38.0</v>
      </c>
      <c r="N173" s="1" t="s">
        <v>51</v>
      </c>
      <c r="O173" s="1">
        <v>59.0</v>
      </c>
      <c r="P173" s="1">
        <v>28.0</v>
      </c>
      <c r="Q173" s="1">
        <v>28.0</v>
      </c>
      <c r="R173" s="1">
        <v>31.0</v>
      </c>
      <c r="S173" s="1">
        <v>31.0</v>
      </c>
      <c r="T173" s="1" t="s">
        <v>52</v>
      </c>
      <c r="U173" s="1">
        <v>75.0</v>
      </c>
      <c r="V173" s="1">
        <v>40.0</v>
      </c>
      <c r="W173" s="1">
        <v>38.0</v>
      </c>
      <c r="X173" s="1">
        <v>35.0</v>
      </c>
      <c r="Y173" s="1">
        <v>32.0</v>
      </c>
      <c r="Z173" s="1" t="s">
        <v>53</v>
      </c>
      <c r="AA173" s="1">
        <v>58.0</v>
      </c>
      <c r="AB173" s="1">
        <v>32.0</v>
      </c>
      <c r="AC173" s="1">
        <v>31.0</v>
      </c>
      <c r="AD173" s="1">
        <v>26.0</v>
      </c>
      <c r="AE173" s="1">
        <v>26.0</v>
      </c>
      <c r="AF173" s="1" t="s">
        <v>54</v>
      </c>
      <c r="AG173" s="1">
        <v>72.0</v>
      </c>
      <c r="AH173" s="1">
        <v>38.0</v>
      </c>
      <c r="AI173" s="1">
        <v>36.0</v>
      </c>
      <c r="AJ173" s="1">
        <v>34.0</v>
      </c>
      <c r="AK173" s="1">
        <v>34.0</v>
      </c>
      <c r="AL173" s="1">
        <v>331.0</v>
      </c>
      <c r="AM173" s="1">
        <v>10.0</v>
      </c>
      <c r="AN173" s="1">
        <v>9.0</v>
      </c>
      <c r="AO173" s="1">
        <v>9.0</v>
      </c>
      <c r="AP173" s="1" t="s">
        <v>546</v>
      </c>
      <c r="AQ173" s="3" t="str">
        <f>HYPERLINK("https://icf.clappia.com/app/GMB253374/submission/XXR63815919/ICF247370-GMB253374-napi5lbb32fa0000000/SIG-20250703_105717cap5.jpeg", "SIG-20250703_105717cap5.jpeg")</f>
        <v>SIG-20250703_105717cap5.jpeg</v>
      </c>
      <c r="AR173" s="1" t="s">
        <v>547</v>
      </c>
      <c r="AS173" s="3" t="str">
        <f>HYPERLINK("https://icf.clappia.com/app/GMB253374/submission/XXR63815919/ICF247370-GMB253374-50kb76fpbn2400000000/SIG-20250703_1058ig3m2.jpeg", "SIG-20250703_1058ig3m2.jpeg")</f>
        <v>SIG-20250703_1058ig3m2.jpeg</v>
      </c>
      <c r="AT173" s="1" t="s">
        <v>548</v>
      </c>
      <c r="AU173" s="3" t="str">
        <f>HYPERLINK("https://icf.clappia.com/app/GMB253374/submission/XXR63815919/ICF247370-GMB253374-5ao3infd3ao200000000/SIG-20250703_111959deh.jpeg", "SIG-20250703_111959deh.jpeg")</f>
        <v>SIG-20250703_111959deh.jpeg</v>
      </c>
      <c r="AV173" s="3" t="str">
        <f>HYPERLINK("https://www.google.com/maps/place/9.2194917%2C-12.1410117", "9.2194917,-12.1410117")</f>
        <v>9.2194917,-12.1410117</v>
      </c>
    </row>
    <row r="174" ht="15.75" customHeight="1">
      <c r="A174" s="1" t="s">
        <v>1042</v>
      </c>
      <c r="B174" s="1" t="s">
        <v>46</v>
      </c>
      <c r="C174" s="1" t="s">
        <v>1043</v>
      </c>
      <c r="D174" s="1" t="s">
        <v>1043</v>
      </c>
      <c r="E174" s="1" t="s">
        <v>1044</v>
      </c>
      <c r="F174" s="1" t="s">
        <v>49</v>
      </c>
      <c r="G174" s="1">
        <v>150.0</v>
      </c>
      <c r="H174" s="1" t="s">
        <v>50</v>
      </c>
      <c r="I174" s="1">
        <v>38.0</v>
      </c>
      <c r="J174" s="1">
        <v>19.0</v>
      </c>
      <c r="K174" s="1">
        <v>12.0</v>
      </c>
      <c r="L174" s="1">
        <v>19.0</v>
      </c>
      <c r="M174" s="1">
        <v>8.0</v>
      </c>
      <c r="N174" s="1" t="s">
        <v>51</v>
      </c>
      <c r="O174" s="1">
        <v>42.0</v>
      </c>
      <c r="P174" s="1">
        <v>20.0</v>
      </c>
      <c r="Q174" s="1">
        <v>7.0</v>
      </c>
      <c r="R174" s="1">
        <v>22.0</v>
      </c>
      <c r="S174" s="1">
        <v>8.0</v>
      </c>
      <c r="T174" s="1" t="s">
        <v>52</v>
      </c>
      <c r="U174" s="1">
        <v>32.0</v>
      </c>
      <c r="V174" s="1">
        <v>15.0</v>
      </c>
      <c r="W174" s="1">
        <v>9.0</v>
      </c>
      <c r="X174" s="1">
        <v>17.0</v>
      </c>
      <c r="Y174" s="1">
        <v>3.0</v>
      </c>
      <c r="Z174" s="1" t="s">
        <v>53</v>
      </c>
      <c r="AA174" s="1">
        <v>40.0</v>
      </c>
      <c r="AB174" s="1">
        <v>19.0</v>
      </c>
      <c r="AC174" s="1">
        <v>7.0</v>
      </c>
      <c r="AD174" s="1">
        <v>21.0</v>
      </c>
      <c r="AE174" s="1">
        <v>10.0</v>
      </c>
      <c r="AF174" s="1" t="s">
        <v>54</v>
      </c>
      <c r="AG174" s="1">
        <v>14.0</v>
      </c>
      <c r="AH174" s="1">
        <v>8.0</v>
      </c>
      <c r="AI174" s="1">
        <v>4.0</v>
      </c>
      <c r="AJ174" s="1">
        <v>6.0</v>
      </c>
      <c r="AK174" s="1">
        <v>4.0</v>
      </c>
      <c r="AL174" s="1">
        <v>72.0</v>
      </c>
      <c r="AM174" s="1">
        <v>10.0</v>
      </c>
      <c r="AN174" s="1">
        <v>68.0</v>
      </c>
      <c r="AO174" s="1">
        <v>68.0</v>
      </c>
      <c r="AP174" s="1" t="s">
        <v>331</v>
      </c>
      <c r="AQ174" s="3" t="str">
        <f>HYPERLINK("https://icf.clappia.com/app/GMB253374/submission/EIL56508386/ICF247370-GMB253374-2lhkj57o6efo00000000/SIG-20250703_1114o4324.jpeg", "SIG-20250703_1114o4324.jpeg")</f>
        <v>SIG-20250703_1114o4324.jpeg</v>
      </c>
      <c r="AR174" s="1" t="s">
        <v>332</v>
      </c>
      <c r="AS174" s="3" t="str">
        <f>HYPERLINK("https://icf.clappia.com/app/GMB253374/submission/EIL56508386/ICF247370-GMB253374-1hlone8e1pha00000000/SIG-20250703_1115oobdf.jpeg", "SIG-20250703_1115oobdf.jpeg")</f>
        <v>SIG-20250703_1115oobdf.jpeg</v>
      </c>
      <c r="AT174" s="1" t="s">
        <v>333</v>
      </c>
      <c r="AU174" s="3" t="str">
        <f>HYPERLINK("https://icf.clappia.com/app/GMB253374/submission/EIL56508386/ICF247370-GMB253374-2j92jc9hagao00000000/SIG-20250703_1115155236.jpeg", "SIG-20250703_1115155236.jpeg")</f>
        <v>SIG-20250703_1115155236.jpeg</v>
      </c>
      <c r="AV174" s="3" t="str">
        <f>HYPERLINK("https://www.google.com/maps/place/8.8920587%2C-12.0598674", "8.8920587,-12.0598674")</f>
        <v>8.8920587,-12.0598674</v>
      </c>
    </row>
    <row r="175" ht="15.75" customHeight="1">
      <c r="A175" s="1" t="s">
        <v>1045</v>
      </c>
      <c r="B175" s="1" t="s">
        <v>60</v>
      </c>
      <c r="C175" s="1" t="s">
        <v>1046</v>
      </c>
      <c r="D175" s="1" t="s">
        <v>1046</v>
      </c>
      <c r="E175" s="1" t="s">
        <v>1047</v>
      </c>
      <c r="F175" s="1" t="s">
        <v>64</v>
      </c>
      <c r="G175" s="1">
        <v>100.0</v>
      </c>
      <c r="H175" s="1" t="s">
        <v>50</v>
      </c>
      <c r="I175" s="1">
        <v>18.0</v>
      </c>
      <c r="J175" s="1">
        <v>8.0</v>
      </c>
      <c r="K175" s="1">
        <v>8.0</v>
      </c>
      <c r="L175" s="1">
        <v>10.0</v>
      </c>
      <c r="M175" s="1">
        <v>10.0</v>
      </c>
      <c r="N175" s="1" t="s">
        <v>51</v>
      </c>
      <c r="O175" s="1">
        <v>23.0</v>
      </c>
      <c r="P175" s="1">
        <v>11.0</v>
      </c>
      <c r="Q175" s="1">
        <v>11.0</v>
      </c>
      <c r="R175" s="1">
        <v>12.0</v>
      </c>
      <c r="S175" s="1">
        <v>12.0</v>
      </c>
      <c r="T175" s="1" t="s">
        <v>52</v>
      </c>
      <c r="U175" s="1">
        <v>17.0</v>
      </c>
      <c r="V175" s="1">
        <v>9.0</v>
      </c>
      <c r="W175" s="1">
        <v>9.0</v>
      </c>
      <c r="X175" s="1">
        <v>8.0</v>
      </c>
      <c r="Y175" s="1">
        <v>8.0</v>
      </c>
      <c r="Z175" s="1" t="s">
        <v>53</v>
      </c>
      <c r="AA175" s="1">
        <v>20.0</v>
      </c>
      <c r="AB175" s="1">
        <v>9.0</v>
      </c>
      <c r="AC175" s="1">
        <v>9.0</v>
      </c>
      <c r="AD175" s="1">
        <v>11.0</v>
      </c>
      <c r="AE175" s="1">
        <v>10.0</v>
      </c>
      <c r="AF175" s="1" t="s">
        <v>54</v>
      </c>
      <c r="AG175" s="1">
        <v>22.0</v>
      </c>
      <c r="AH175" s="1">
        <v>13.0</v>
      </c>
      <c r="AI175" s="1">
        <v>12.0</v>
      </c>
      <c r="AJ175" s="1">
        <v>9.0</v>
      </c>
      <c r="AK175" s="1">
        <v>9.0</v>
      </c>
      <c r="AL175" s="1">
        <v>98.0</v>
      </c>
      <c r="AM175" s="1">
        <v>2.0</v>
      </c>
      <c r="AN175" s="1" t="s">
        <v>55</v>
      </c>
      <c r="AO175" s="1" t="s">
        <v>55</v>
      </c>
      <c r="AP175" s="1" t="s">
        <v>1048</v>
      </c>
      <c r="AQ175" s="3" t="str">
        <f>HYPERLINK("https://icf.clappia.com/app/GMB253374/submission/SGK02376057/ICF247370-GMB253374-4ejc95jpb9d200000000/SIG-20250703_110914apmp.jpeg", "SIG-20250703_110914apmp.jpeg")</f>
        <v>SIG-20250703_110914apmp.jpeg</v>
      </c>
      <c r="AR175" s="1" t="s">
        <v>1049</v>
      </c>
      <c r="AS175" s="3" t="str">
        <f>HYPERLINK("https://icf.clappia.com/app/GMB253374/submission/SGK02376057/ICF247370-GMB253374-48dg9dn9dlce00000000/SIG-20250703_11103l2mp.jpeg", "SIG-20250703_11103l2mp.jpeg")</f>
        <v>SIG-20250703_11103l2mp.jpeg</v>
      </c>
      <c r="AT175" s="1" t="s">
        <v>1050</v>
      </c>
      <c r="AU175" s="3" t="str">
        <f>HYPERLINK("https://icf.clappia.com/app/GMB253374/submission/SGK02376057/ICF247370-GMB253374-57n72b01hdgc00000000/SIG-20250703_1112a8ffa.jpeg", "SIG-20250703_1112a8ffa.jpeg")</f>
        <v>SIG-20250703_1112a8ffa.jpeg</v>
      </c>
      <c r="AV175" s="3" t="str">
        <f>HYPERLINK("https://www.google.com/maps/place/8.9019083%2C-12.05606", "8.9019083,-12.05606")</f>
        <v>8.9019083,-12.05606</v>
      </c>
    </row>
    <row r="176" ht="15.75" customHeight="1">
      <c r="A176" s="1" t="s">
        <v>1051</v>
      </c>
      <c r="B176" s="1" t="s">
        <v>438</v>
      </c>
      <c r="C176" s="1" t="s">
        <v>1052</v>
      </c>
      <c r="D176" s="1" t="s">
        <v>1053</v>
      </c>
      <c r="E176" s="1" t="s">
        <v>1054</v>
      </c>
      <c r="F176" s="1" t="s">
        <v>64</v>
      </c>
      <c r="G176" s="1">
        <v>215.0</v>
      </c>
      <c r="H176" s="1" t="s">
        <v>50</v>
      </c>
      <c r="I176" s="1">
        <v>136.0</v>
      </c>
      <c r="J176" s="1">
        <v>62.0</v>
      </c>
      <c r="K176" s="1">
        <v>62.0</v>
      </c>
      <c r="L176" s="1">
        <v>74.0</v>
      </c>
      <c r="M176" s="1">
        <v>74.0</v>
      </c>
      <c r="N176" s="1" t="s">
        <v>51</v>
      </c>
      <c r="O176" s="1">
        <v>64.0</v>
      </c>
      <c r="P176" s="1">
        <v>29.0</v>
      </c>
      <c r="Q176" s="1">
        <v>29.0</v>
      </c>
      <c r="R176" s="1">
        <v>35.0</v>
      </c>
      <c r="S176" s="1">
        <v>35.0</v>
      </c>
      <c r="T176" s="1" t="s">
        <v>52</v>
      </c>
      <c r="U176" s="1">
        <v>47.0</v>
      </c>
      <c r="V176" s="1" t="s">
        <v>55</v>
      </c>
      <c r="W176" s="1" t="s">
        <v>55</v>
      </c>
      <c r="X176" s="1">
        <v>29.0</v>
      </c>
      <c r="Y176" s="1" t="s">
        <v>55</v>
      </c>
      <c r="Z176" s="1" t="s">
        <v>53</v>
      </c>
      <c r="AA176" s="1">
        <v>49.0</v>
      </c>
      <c r="AB176" s="1">
        <v>20.0</v>
      </c>
      <c r="AC176" s="1" t="s">
        <v>55</v>
      </c>
      <c r="AD176" s="1">
        <v>29.0</v>
      </c>
      <c r="AE176" s="1" t="s">
        <v>55</v>
      </c>
      <c r="AF176" s="1" t="s">
        <v>54</v>
      </c>
      <c r="AG176" s="1">
        <v>53.0</v>
      </c>
      <c r="AH176" s="1">
        <v>24.0</v>
      </c>
      <c r="AI176" s="1" t="s">
        <v>55</v>
      </c>
      <c r="AJ176" s="1">
        <v>29.0</v>
      </c>
      <c r="AK176" s="1" t="s">
        <v>55</v>
      </c>
      <c r="AL176" s="1">
        <v>200.0</v>
      </c>
      <c r="AM176" s="1" t="s">
        <v>55</v>
      </c>
      <c r="AN176" s="1">
        <v>15.0</v>
      </c>
      <c r="AO176" s="1">
        <v>15.0</v>
      </c>
      <c r="AP176" s="1" t="s">
        <v>1055</v>
      </c>
      <c r="AQ176" s="3" t="str">
        <f>HYPERLINK("https://icf.clappia.com/app/GMB253374/submission/MIH17952320/ICF247370-GMB253374-ncegfpdedjoc0000000/SIG-20250702_115415pco2.jpeg", "SIG-20250702_115415pco2.jpeg")</f>
        <v>SIG-20250702_115415pco2.jpeg</v>
      </c>
      <c r="AR176" s="1" t="s">
        <v>1056</v>
      </c>
      <c r="AS176" s="3" t="str">
        <f>HYPERLINK("https://icf.clappia.com/app/GMB253374/submission/MIH17952320/ICF247370-GMB253374-670n4hkh3g460000000/SIG-20250702_115595853.jpeg", "SIG-20250702_115595853.jpeg")</f>
        <v>SIG-20250702_115595853.jpeg</v>
      </c>
      <c r="AT176" s="1" t="s">
        <v>1057</v>
      </c>
      <c r="AU176" s="3" t="str">
        <f>HYPERLINK("https://icf.clappia.com/app/GMB253374/submission/MIH17952320/ICF247370-GMB253374-12o1k9586dcmc0000000/SIG-20250702_1156fa4i9.jpeg", "SIG-20250702_1156fa4i9.jpeg")</f>
        <v>SIG-20250702_1156fa4i9.jpeg</v>
      </c>
      <c r="AV176" s="3" t="str">
        <f>HYPERLINK("https://www.google.com/maps/place/7.5368317%2C-11.9197983", "7.5368317,-11.9197983")</f>
        <v>7.5368317,-11.9197983</v>
      </c>
    </row>
    <row r="177" ht="15.75" customHeight="1">
      <c r="A177" s="1" t="s">
        <v>1058</v>
      </c>
      <c r="B177" s="1" t="s">
        <v>142</v>
      </c>
      <c r="C177" s="1" t="s">
        <v>1053</v>
      </c>
      <c r="D177" s="1" t="s">
        <v>1053</v>
      </c>
      <c r="E177" s="1" t="s">
        <v>1059</v>
      </c>
      <c r="F177" s="1" t="s">
        <v>64</v>
      </c>
      <c r="G177" s="1">
        <v>220.0</v>
      </c>
      <c r="H177" s="1" t="s">
        <v>50</v>
      </c>
      <c r="I177" s="1">
        <v>60.0</v>
      </c>
      <c r="J177" s="1">
        <v>40.0</v>
      </c>
      <c r="K177" s="1">
        <v>38.0</v>
      </c>
      <c r="L177" s="1">
        <v>20.0</v>
      </c>
      <c r="M177" s="1">
        <v>18.0</v>
      </c>
      <c r="N177" s="1" t="s">
        <v>51</v>
      </c>
      <c r="O177" s="1">
        <v>67.0</v>
      </c>
      <c r="P177" s="1">
        <v>30.0</v>
      </c>
      <c r="Q177" s="1">
        <v>27.0</v>
      </c>
      <c r="R177" s="1">
        <v>37.0</v>
      </c>
      <c r="S177" s="1">
        <v>35.0</v>
      </c>
      <c r="T177" s="1" t="s">
        <v>52</v>
      </c>
      <c r="U177" s="1">
        <v>73.0</v>
      </c>
      <c r="V177" s="1">
        <v>35.0</v>
      </c>
      <c r="W177" s="1">
        <v>34.0</v>
      </c>
      <c r="X177" s="1">
        <v>38.0</v>
      </c>
      <c r="Y177" s="1">
        <v>38.0</v>
      </c>
      <c r="Z177" s="1" t="s">
        <v>53</v>
      </c>
      <c r="AA177" s="1">
        <v>13.0</v>
      </c>
      <c r="AB177" s="1">
        <v>10.0</v>
      </c>
      <c r="AC177" s="1">
        <v>10.0</v>
      </c>
      <c r="AD177" s="1">
        <v>3.0</v>
      </c>
      <c r="AE177" s="1">
        <v>3.0</v>
      </c>
      <c r="AF177" s="1" t="s">
        <v>54</v>
      </c>
      <c r="AG177" s="1">
        <v>7.0</v>
      </c>
      <c r="AH177" s="1">
        <v>3.0</v>
      </c>
      <c r="AI177" s="1">
        <v>3.0</v>
      </c>
      <c r="AJ177" s="1">
        <v>4.0</v>
      </c>
      <c r="AK177" s="1">
        <v>4.0</v>
      </c>
      <c r="AL177" s="1">
        <v>210.0</v>
      </c>
      <c r="AM177" s="1">
        <v>10.0</v>
      </c>
      <c r="AN177" s="1" t="s">
        <v>55</v>
      </c>
      <c r="AO177" s="1" t="s">
        <v>55</v>
      </c>
      <c r="AP177" s="1" t="s">
        <v>1060</v>
      </c>
      <c r="AQ177" s="3" t="str">
        <f>HYPERLINK("https://icf.clappia.com/app/GMB253374/submission/FQO51746216/ICF247370-GMB253374-6ln1laf5ie720000000/SIG-20250702_130215a3o9.jpeg", "SIG-20250702_130215a3o9.jpeg")</f>
        <v>SIG-20250702_130215a3o9.jpeg</v>
      </c>
      <c r="AR177" s="1" t="s">
        <v>978</v>
      </c>
      <c r="AS177" s="3" t="str">
        <f>HYPERLINK("https://icf.clappia.com/app/GMB253374/submission/FQO51746216/ICF247370-GMB253374-505bpf2i8oga00000000/SIG-20250702_1302p8b4n.jpeg", "SIG-20250702_1302p8b4n.jpeg")</f>
        <v>SIG-20250702_1302p8b4n.jpeg</v>
      </c>
      <c r="AT177" s="1" t="s">
        <v>979</v>
      </c>
      <c r="AU177" s="3" t="str">
        <f>HYPERLINK("https://icf.clappia.com/app/GMB253374/submission/FQO51746216/ICF247370-GMB253374-279imghmg3k240000000/SIG-20250702_1308ec6hj.jpeg", "SIG-20250702_1308ec6hj.jpeg")</f>
        <v>SIG-20250702_1308ec6hj.jpeg</v>
      </c>
      <c r="AV177" s="3" t="str">
        <f>HYPERLINK("https://www.google.com/maps/place/7.9146967%2C-11.980445", "7.9146967,-11.980445")</f>
        <v>7.9146967,-11.980445</v>
      </c>
    </row>
    <row r="178" ht="15.75" customHeight="1">
      <c r="A178" s="1" t="s">
        <v>1061</v>
      </c>
      <c r="B178" s="1" t="s">
        <v>161</v>
      </c>
      <c r="C178" s="1" t="s">
        <v>1053</v>
      </c>
      <c r="D178" s="1" t="s">
        <v>1053</v>
      </c>
      <c r="E178" s="1" t="s">
        <v>1062</v>
      </c>
      <c r="F178" s="1" t="s">
        <v>64</v>
      </c>
      <c r="G178" s="1">
        <v>146.0</v>
      </c>
      <c r="H178" s="1" t="s">
        <v>50</v>
      </c>
      <c r="I178" s="1">
        <v>52.0</v>
      </c>
      <c r="J178" s="1">
        <v>22.0</v>
      </c>
      <c r="K178" s="1">
        <v>22.0</v>
      </c>
      <c r="L178" s="1">
        <v>30.0</v>
      </c>
      <c r="M178" s="1">
        <v>30.0</v>
      </c>
      <c r="N178" s="1" t="s">
        <v>51</v>
      </c>
      <c r="O178" s="1">
        <v>29.0</v>
      </c>
      <c r="P178" s="1">
        <v>15.0</v>
      </c>
      <c r="Q178" s="1">
        <v>15.0</v>
      </c>
      <c r="R178" s="1">
        <v>14.0</v>
      </c>
      <c r="S178" s="1">
        <v>14.0</v>
      </c>
      <c r="T178" s="1" t="s">
        <v>52</v>
      </c>
      <c r="U178" s="1">
        <v>16.0</v>
      </c>
      <c r="V178" s="1">
        <v>10.0</v>
      </c>
      <c r="W178" s="1">
        <v>10.0</v>
      </c>
      <c r="X178" s="1">
        <v>6.0</v>
      </c>
      <c r="Y178" s="1">
        <v>6.0</v>
      </c>
      <c r="Z178" s="1" t="s">
        <v>53</v>
      </c>
      <c r="AA178" s="1">
        <v>18.0</v>
      </c>
      <c r="AB178" s="1">
        <v>9.0</v>
      </c>
      <c r="AC178" s="1">
        <v>9.0</v>
      </c>
      <c r="AD178" s="1">
        <v>9.0</v>
      </c>
      <c r="AE178" s="1">
        <v>9.0</v>
      </c>
      <c r="AF178" s="1" t="s">
        <v>54</v>
      </c>
      <c r="AG178" s="1">
        <v>21.0</v>
      </c>
      <c r="AH178" s="1">
        <v>10.0</v>
      </c>
      <c r="AI178" s="1">
        <v>10.0</v>
      </c>
      <c r="AJ178" s="1">
        <v>11.0</v>
      </c>
      <c r="AK178" s="1">
        <v>11.0</v>
      </c>
      <c r="AL178" s="1">
        <v>136.0</v>
      </c>
      <c r="AM178" s="1">
        <v>10.0</v>
      </c>
      <c r="AN178" s="1" t="s">
        <v>55</v>
      </c>
      <c r="AO178" s="1" t="s">
        <v>55</v>
      </c>
      <c r="AP178" s="1" t="s">
        <v>1063</v>
      </c>
      <c r="AQ178" s="3" t="str">
        <f>HYPERLINK("https://icf.clappia.com/app/GMB253374/submission/KEF95294078/ICF247370-GMB253374-5foeh26l1pe800000000/SIG-20250703_11116m76f.jpeg", "SIG-20250703_11116m76f.jpeg")</f>
        <v>SIG-20250703_11116m76f.jpeg</v>
      </c>
      <c r="AR178" s="1" t="s">
        <v>1064</v>
      </c>
      <c r="AS178" s="3" t="str">
        <f>HYPERLINK("https://icf.clappia.com/app/GMB253374/submission/KEF95294078/ICF247370-GMB253374-387d6i9i8eia00000000/SIG-20250703_111215ij2a.jpeg", "SIG-20250703_111215ij2a.jpeg")</f>
        <v>SIG-20250703_111215ij2a.jpeg</v>
      </c>
      <c r="AT178" s="1" t="s">
        <v>1065</v>
      </c>
      <c r="AU178" s="3" t="str">
        <f>HYPERLINK("https://icf.clappia.com/app/GMB253374/submission/KEF95294078/ICF247370-GMB253374-4ecp746b27e000000000/SIG-20250703_11122o9a1.jpeg", "SIG-20250703_11122o9a1.jpeg")</f>
        <v>SIG-20250703_11122o9a1.jpeg</v>
      </c>
      <c r="AV178" s="3" t="str">
        <f>HYPERLINK("https://www.google.com/maps/place/7.9429332%2C-11.6952656", "7.9429332,-11.6952656")</f>
        <v>7.9429332,-11.6952656</v>
      </c>
    </row>
    <row r="179" ht="15.75" customHeight="1">
      <c r="A179" s="1" t="s">
        <v>1066</v>
      </c>
      <c r="B179" s="1" t="s">
        <v>438</v>
      </c>
      <c r="C179" s="1" t="s">
        <v>1067</v>
      </c>
      <c r="D179" s="1" t="s">
        <v>1067</v>
      </c>
      <c r="E179" s="1" t="s">
        <v>1068</v>
      </c>
      <c r="F179" s="1" t="s">
        <v>64</v>
      </c>
      <c r="G179" s="1">
        <v>300.0</v>
      </c>
      <c r="H179" s="1" t="s">
        <v>50</v>
      </c>
      <c r="I179" s="1">
        <v>99.0</v>
      </c>
      <c r="J179" s="1">
        <v>47.0</v>
      </c>
      <c r="K179" s="1">
        <v>46.0</v>
      </c>
      <c r="L179" s="1">
        <v>52.0</v>
      </c>
      <c r="M179" s="1">
        <v>50.0</v>
      </c>
      <c r="N179" s="1" t="s">
        <v>51</v>
      </c>
      <c r="O179" s="1">
        <v>90.0</v>
      </c>
      <c r="P179" s="1">
        <v>50.0</v>
      </c>
      <c r="Q179" s="1">
        <v>49.0</v>
      </c>
      <c r="R179" s="1">
        <v>40.0</v>
      </c>
      <c r="S179" s="1">
        <v>40.0</v>
      </c>
      <c r="T179" s="1" t="s">
        <v>52</v>
      </c>
      <c r="U179" s="1">
        <v>66.0</v>
      </c>
      <c r="V179" s="1">
        <v>36.0</v>
      </c>
      <c r="W179" s="1">
        <v>35.0</v>
      </c>
      <c r="X179" s="1">
        <v>30.0</v>
      </c>
      <c r="Y179" s="1">
        <v>30.0</v>
      </c>
      <c r="Z179" s="1" t="s">
        <v>53</v>
      </c>
      <c r="AA179" s="1">
        <v>24.0</v>
      </c>
      <c r="AB179" s="1">
        <v>10.0</v>
      </c>
      <c r="AC179" s="1">
        <v>10.0</v>
      </c>
      <c r="AD179" s="1">
        <v>14.0</v>
      </c>
      <c r="AE179" s="1">
        <v>13.0</v>
      </c>
      <c r="AF179" s="1" t="s">
        <v>54</v>
      </c>
      <c r="AG179" s="1">
        <v>9.0</v>
      </c>
      <c r="AH179" s="1">
        <v>6.0</v>
      </c>
      <c r="AI179" s="1">
        <v>6.0</v>
      </c>
      <c r="AJ179" s="1">
        <v>3.0</v>
      </c>
      <c r="AK179" s="1">
        <v>3.0</v>
      </c>
      <c r="AL179" s="1">
        <v>282.0</v>
      </c>
      <c r="AM179" s="1">
        <v>6.0</v>
      </c>
      <c r="AN179" s="1">
        <v>12.0</v>
      </c>
      <c r="AO179" s="1">
        <v>12.0</v>
      </c>
      <c r="AP179" s="1" t="s">
        <v>1069</v>
      </c>
      <c r="AQ179" s="3" t="str">
        <f>HYPERLINK("https://icf.clappia.com/app/GMB253374/submission/IMV16307731/ICF247370-GMB253374-3g2c7a78dag800000000/SIG-20250702_1105a3b18.jpeg", "SIG-20250702_1105a3b18.jpeg")</f>
        <v>SIG-20250702_1105a3b18.jpeg</v>
      </c>
      <c r="AR179" s="1" t="s">
        <v>1070</v>
      </c>
      <c r="AS179" s="3" t="str">
        <f>HYPERLINK("https://icf.clappia.com/app/GMB253374/submission/IMV16307731/ICF247370-GMB253374-1me1kd7kkgh4e0000000/SIG-20250702_11047jam9.jpeg", "SIG-20250702_11047jam9.jpeg")</f>
        <v>SIG-20250702_11047jam9.jpeg</v>
      </c>
      <c r="AT179" s="1" t="s">
        <v>1071</v>
      </c>
      <c r="AU179" s="3" t="str">
        <f>HYPERLINK("https://icf.clappia.com/app/GMB253374/submission/IMV16307731/ICF247370-GMB253374-1eonimg112jd20000000/SIG-20250702_11049502d.jpeg", "SIG-20250702_11049502d.jpeg")</f>
        <v>SIG-20250702_11049502d.jpeg</v>
      </c>
      <c r="AV179" s="3" t="str">
        <f>HYPERLINK("https://www.google.com/maps/place/7.5727333%2C-11.9371248", "7.5727333,-11.9371248")</f>
        <v>7.5727333,-11.9371248</v>
      </c>
    </row>
    <row r="180" ht="15.75" customHeight="1">
      <c r="A180" s="1" t="s">
        <v>1072</v>
      </c>
      <c r="B180" s="1" t="s">
        <v>81</v>
      </c>
      <c r="C180" s="1" t="s">
        <v>1073</v>
      </c>
      <c r="D180" s="1" t="s">
        <v>1073</v>
      </c>
      <c r="E180" s="1" t="s">
        <v>1074</v>
      </c>
      <c r="F180" s="1" t="s">
        <v>64</v>
      </c>
      <c r="G180" s="1">
        <v>151.0</v>
      </c>
      <c r="H180" s="1" t="s">
        <v>50</v>
      </c>
      <c r="I180" s="1">
        <v>28.0</v>
      </c>
      <c r="J180" s="1">
        <v>10.0</v>
      </c>
      <c r="K180" s="1">
        <v>10.0</v>
      </c>
      <c r="L180" s="1">
        <v>18.0</v>
      </c>
      <c r="M180" s="1">
        <v>18.0</v>
      </c>
      <c r="N180" s="1" t="s">
        <v>51</v>
      </c>
      <c r="O180" s="1">
        <v>26.0</v>
      </c>
      <c r="P180" s="1">
        <v>14.0</v>
      </c>
      <c r="Q180" s="1">
        <v>14.0</v>
      </c>
      <c r="R180" s="1">
        <v>12.0</v>
      </c>
      <c r="S180" s="1">
        <v>12.0</v>
      </c>
      <c r="T180" s="1" t="s">
        <v>52</v>
      </c>
      <c r="U180" s="1">
        <v>30.0</v>
      </c>
      <c r="V180" s="1">
        <v>11.0</v>
      </c>
      <c r="W180" s="1">
        <v>11.0</v>
      </c>
      <c r="X180" s="1">
        <v>19.0</v>
      </c>
      <c r="Y180" s="1">
        <v>19.0</v>
      </c>
      <c r="Z180" s="1" t="s">
        <v>53</v>
      </c>
      <c r="AA180" s="1">
        <v>31.0</v>
      </c>
      <c r="AB180" s="1">
        <v>11.0</v>
      </c>
      <c r="AC180" s="1">
        <v>11.0</v>
      </c>
      <c r="AD180" s="1">
        <v>20.0</v>
      </c>
      <c r="AE180" s="1">
        <v>20.0</v>
      </c>
      <c r="AF180" s="1" t="s">
        <v>54</v>
      </c>
      <c r="AG180" s="1">
        <v>30.0</v>
      </c>
      <c r="AH180" s="1">
        <v>11.0</v>
      </c>
      <c r="AI180" s="1">
        <v>11.0</v>
      </c>
      <c r="AJ180" s="1">
        <v>19.0</v>
      </c>
      <c r="AK180" s="1">
        <v>19.0</v>
      </c>
      <c r="AL180" s="1">
        <v>145.0</v>
      </c>
      <c r="AM180" s="1" t="s">
        <v>55</v>
      </c>
      <c r="AN180" s="1">
        <v>6.0</v>
      </c>
      <c r="AO180" s="1">
        <v>6.0</v>
      </c>
      <c r="AP180" s="1" t="s">
        <v>613</v>
      </c>
      <c r="AQ180" s="3" t="str">
        <f>HYPERLINK("https://icf.clappia.com/app/GMB253374/submission/ACO04883838/ICF247370-GMB253374-439cfd9e3cge00000000/SIG-20250702_1621dbaca.jpeg", "SIG-20250702_1621dbaca.jpeg")</f>
        <v>SIG-20250702_1621dbaca.jpeg</v>
      </c>
      <c r="AR180" s="1" t="s">
        <v>614</v>
      </c>
      <c r="AS180" s="3" t="str">
        <f>HYPERLINK("https://icf.clappia.com/app/GMB253374/submission/ACO04883838/ICF247370-GMB253374-2cad4fm0ij9600000000/SIG-20250702_1622g2bln.jpeg", "SIG-20250702_1622g2bln.jpeg")</f>
        <v>SIG-20250702_1622g2bln.jpeg</v>
      </c>
      <c r="AT180" s="1" t="s">
        <v>1075</v>
      </c>
      <c r="AU180" s="3" t="str">
        <f>HYPERLINK("https://icf.clappia.com/app/GMB253374/submission/ACO04883838/ICF247370-GMB253374-5k1hlb7pe6mg00000000/SIG-20250702_162219ci52.jpeg", "SIG-20250702_162219ci52.jpeg")</f>
        <v>SIG-20250702_162219ci52.jpeg</v>
      </c>
      <c r="AV180" s="3" t="str">
        <f>HYPERLINK("https://www.google.com/maps/place/7.9609416%2C-11.756454", "7.9609416,-11.756454")</f>
        <v>7.9609416,-11.756454</v>
      </c>
    </row>
    <row r="181" ht="15.75" customHeight="1">
      <c r="A181" s="1" t="s">
        <v>1076</v>
      </c>
      <c r="B181" s="1" t="s">
        <v>778</v>
      </c>
      <c r="C181" s="1" t="s">
        <v>1077</v>
      </c>
      <c r="D181" s="1" t="s">
        <v>1078</v>
      </c>
      <c r="E181" s="1" t="s">
        <v>1079</v>
      </c>
      <c r="F181" s="1" t="s">
        <v>64</v>
      </c>
      <c r="G181" s="1">
        <v>222.0</v>
      </c>
      <c r="H181" s="1" t="s">
        <v>50</v>
      </c>
      <c r="I181" s="1">
        <v>70.0</v>
      </c>
      <c r="J181" s="1">
        <v>30.0</v>
      </c>
      <c r="K181" s="1">
        <v>29.0</v>
      </c>
      <c r="L181" s="1">
        <v>40.0</v>
      </c>
      <c r="M181" s="1">
        <v>38.0</v>
      </c>
      <c r="N181" s="1" t="s">
        <v>51</v>
      </c>
      <c r="O181" s="1">
        <v>50.0</v>
      </c>
      <c r="P181" s="1">
        <v>20.0</v>
      </c>
      <c r="Q181" s="1">
        <v>18.0</v>
      </c>
      <c r="R181" s="1">
        <v>30.0</v>
      </c>
      <c r="S181" s="1">
        <v>30.0</v>
      </c>
      <c r="T181" s="1" t="s">
        <v>52</v>
      </c>
      <c r="U181" s="1">
        <v>30.0</v>
      </c>
      <c r="V181" s="1">
        <v>20.0</v>
      </c>
      <c r="W181" s="1">
        <v>19.0</v>
      </c>
      <c r="X181" s="1">
        <v>10.0</v>
      </c>
      <c r="Y181" s="1">
        <v>10.0</v>
      </c>
      <c r="Z181" s="1" t="s">
        <v>53</v>
      </c>
      <c r="AA181" s="1">
        <v>40.0</v>
      </c>
      <c r="AB181" s="1">
        <v>16.0</v>
      </c>
      <c r="AC181" s="1">
        <v>16.0</v>
      </c>
      <c r="AD181" s="1">
        <v>24.0</v>
      </c>
      <c r="AE181" s="1">
        <v>23.0</v>
      </c>
      <c r="AF181" s="1" t="s">
        <v>54</v>
      </c>
      <c r="AG181" s="1">
        <v>32.0</v>
      </c>
      <c r="AH181" s="1">
        <v>12.0</v>
      </c>
      <c r="AI181" s="1">
        <v>12.0</v>
      </c>
      <c r="AJ181" s="1">
        <v>20.0</v>
      </c>
      <c r="AK181" s="1">
        <v>18.0</v>
      </c>
      <c r="AL181" s="1">
        <v>213.0</v>
      </c>
      <c r="AM181" s="1">
        <v>9.0</v>
      </c>
      <c r="AN181" s="1" t="s">
        <v>55</v>
      </c>
      <c r="AO181" s="1" t="s">
        <v>55</v>
      </c>
      <c r="AP181" s="1" t="s">
        <v>1080</v>
      </c>
      <c r="AQ181" s="3" t="str">
        <f>HYPERLINK("https://icf.clappia.com/app/GMB253374/submission/ASZ76605230/ICF247370-GMB253374-5l67nhilifc400000000/SIG-20250703_105310470h.jpeg", "SIG-20250703_105310470h.jpeg")</f>
        <v>SIG-20250703_105310470h.jpeg</v>
      </c>
      <c r="AR181" s="1" t="s">
        <v>1081</v>
      </c>
      <c r="AS181" s="3" t="str">
        <f>HYPERLINK("https://icf.clappia.com/app/GMB253374/submission/ASZ76605230/ICF247370-GMB253374-5ip2pmgc3k8m00000000/SIG-20250703_1054j153i.jpeg", "SIG-20250703_1054j153i.jpeg")</f>
        <v>SIG-20250703_1054j153i.jpeg</v>
      </c>
      <c r="AT181" s="1" t="s">
        <v>1082</v>
      </c>
      <c r="AU181" s="3" t="str">
        <f>HYPERLINK("https://icf.clappia.com/app/GMB253374/submission/ASZ76605230/ICF247370-GMB253374-587ka94l8c8800000000/SIG-20250703_1054pe539.jpeg", "SIG-20250703_1054pe539.jpeg")</f>
        <v>SIG-20250703_1054pe539.jpeg</v>
      </c>
      <c r="AV181" s="3" t="str">
        <f>HYPERLINK("https://www.google.com/maps/place/7.8713638%2C-11.7084306", "7.8713638,-11.7084306")</f>
        <v>7.8713638,-11.7084306</v>
      </c>
    </row>
    <row r="182" ht="15.75" customHeight="1">
      <c r="A182" s="1" t="s">
        <v>1083</v>
      </c>
      <c r="B182" s="1" t="s">
        <v>142</v>
      </c>
      <c r="C182" s="1" t="s">
        <v>1084</v>
      </c>
      <c r="D182" s="1" t="s">
        <v>1084</v>
      </c>
      <c r="E182" s="1" t="s">
        <v>1085</v>
      </c>
      <c r="F182" s="1" t="s">
        <v>64</v>
      </c>
      <c r="G182" s="1">
        <v>138.0</v>
      </c>
      <c r="H182" s="1" t="s">
        <v>50</v>
      </c>
      <c r="I182" s="1">
        <v>54.0</v>
      </c>
      <c r="J182" s="1">
        <v>26.0</v>
      </c>
      <c r="K182" s="1">
        <v>16.0</v>
      </c>
      <c r="L182" s="1">
        <v>28.0</v>
      </c>
      <c r="M182" s="1">
        <v>20.0</v>
      </c>
      <c r="N182" s="1" t="s">
        <v>51</v>
      </c>
      <c r="O182" s="1">
        <v>23.0</v>
      </c>
      <c r="P182" s="1">
        <v>11.0</v>
      </c>
      <c r="Q182" s="1">
        <v>9.0</v>
      </c>
      <c r="R182" s="1">
        <v>12.0</v>
      </c>
      <c r="S182" s="1">
        <v>11.0</v>
      </c>
      <c r="T182" s="1" t="s">
        <v>52</v>
      </c>
      <c r="U182" s="1">
        <v>23.0</v>
      </c>
      <c r="V182" s="1">
        <v>9.0</v>
      </c>
      <c r="W182" s="1">
        <v>9.0</v>
      </c>
      <c r="X182" s="1">
        <v>14.0</v>
      </c>
      <c r="Y182" s="1">
        <v>7.0</v>
      </c>
      <c r="Z182" s="1" t="s">
        <v>53</v>
      </c>
      <c r="AA182" s="1">
        <v>26.0</v>
      </c>
      <c r="AB182" s="1">
        <v>10.0</v>
      </c>
      <c r="AC182" s="1">
        <v>7.0</v>
      </c>
      <c r="AD182" s="1">
        <v>16.0</v>
      </c>
      <c r="AE182" s="1">
        <v>9.0</v>
      </c>
      <c r="AF182" s="1" t="s">
        <v>54</v>
      </c>
      <c r="AG182" s="1">
        <v>12.0</v>
      </c>
      <c r="AH182" s="1">
        <v>4.0</v>
      </c>
      <c r="AI182" s="1">
        <v>4.0</v>
      </c>
      <c r="AJ182" s="1">
        <v>8.0</v>
      </c>
      <c r="AK182" s="1">
        <v>8.0</v>
      </c>
      <c r="AL182" s="1">
        <v>100.0</v>
      </c>
      <c r="AM182" s="1" t="s">
        <v>55</v>
      </c>
      <c r="AN182" s="1">
        <v>38.0</v>
      </c>
      <c r="AO182" s="1">
        <v>38.0</v>
      </c>
      <c r="AP182" s="1" t="s">
        <v>145</v>
      </c>
      <c r="AQ182" s="3" t="str">
        <f>HYPERLINK("https://icf.clappia.com/app/GMB253374/submission/EKE91636111/ICF247370-GMB253374-fl96gclcp0c00000000/SIG-20250703_105112bck0.jpeg", "SIG-20250703_105112bck0.jpeg")</f>
        <v>SIG-20250703_105112bck0.jpeg</v>
      </c>
      <c r="AR182" s="1" t="s">
        <v>146</v>
      </c>
      <c r="AS182" s="3" t="str">
        <f>HYPERLINK("https://icf.clappia.com/app/GMB253374/submission/EKE91636111/ICF247370-GMB253374-63eji1p0ph1i00000000/SIG-20250703_1100lfcjc.jpeg", "SIG-20250703_1100lfcjc.jpeg")</f>
        <v>SIG-20250703_1100lfcjc.jpeg</v>
      </c>
      <c r="AT182" s="1" t="s">
        <v>147</v>
      </c>
      <c r="AU182" s="3" t="str">
        <f>HYPERLINK("https://icf.clappia.com/app/GMB253374/submission/EKE91636111/ICF247370-GMB253374-27oe66iooo0ii0000000/SIG-20250703_1052c2dhc.jpeg", "SIG-20250703_1052c2dhc.jpeg")</f>
        <v>SIG-20250703_1052c2dhc.jpeg</v>
      </c>
      <c r="AV182" s="3" t="str">
        <f>HYPERLINK("https://www.google.com/maps/place/8.014273%2C-12.0955746", "8.014273,-12.0955746")</f>
        <v>8.014273,-12.0955746</v>
      </c>
    </row>
    <row r="183" ht="15.75" customHeight="1">
      <c r="A183" s="1" t="s">
        <v>1086</v>
      </c>
      <c r="B183" s="1" t="s">
        <v>75</v>
      </c>
      <c r="C183" s="1" t="s">
        <v>1087</v>
      </c>
      <c r="D183" s="1" t="s">
        <v>1087</v>
      </c>
      <c r="E183" s="1" t="s">
        <v>1088</v>
      </c>
      <c r="F183" s="1" t="s">
        <v>64</v>
      </c>
      <c r="G183" s="1">
        <v>270.0</v>
      </c>
      <c r="H183" s="1" t="s">
        <v>50</v>
      </c>
      <c r="I183" s="1">
        <v>97.0</v>
      </c>
      <c r="J183" s="1">
        <v>52.0</v>
      </c>
      <c r="K183" s="1">
        <v>52.0</v>
      </c>
      <c r="L183" s="1">
        <v>45.0</v>
      </c>
      <c r="M183" s="1">
        <v>45.0</v>
      </c>
      <c r="N183" s="1" t="s">
        <v>51</v>
      </c>
      <c r="O183" s="1">
        <v>53.0</v>
      </c>
      <c r="P183" s="1">
        <v>30.0</v>
      </c>
      <c r="Q183" s="1">
        <v>30.0</v>
      </c>
      <c r="R183" s="1">
        <v>23.0</v>
      </c>
      <c r="S183" s="1">
        <v>23.0</v>
      </c>
      <c r="T183" s="1" t="s">
        <v>52</v>
      </c>
      <c r="U183" s="1">
        <v>40.0</v>
      </c>
      <c r="V183" s="1">
        <v>20.0</v>
      </c>
      <c r="W183" s="1">
        <v>20.0</v>
      </c>
      <c r="X183" s="1">
        <v>20.0</v>
      </c>
      <c r="Y183" s="1">
        <v>20.0</v>
      </c>
      <c r="Z183" s="1" t="s">
        <v>53</v>
      </c>
      <c r="AA183" s="1">
        <v>41.0</v>
      </c>
      <c r="AB183" s="1">
        <v>19.0</v>
      </c>
      <c r="AC183" s="1">
        <v>19.0</v>
      </c>
      <c r="AD183" s="1">
        <v>22.0</v>
      </c>
      <c r="AE183" s="1">
        <v>22.0</v>
      </c>
      <c r="AF183" s="1" t="s">
        <v>54</v>
      </c>
      <c r="AG183" s="1">
        <v>37.0</v>
      </c>
      <c r="AH183" s="1">
        <v>22.0</v>
      </c>
      <c r="AI183" s="1">
        <v>22.0</v>
      </c>
      <c r="AJ183" s="1">
        <v>15.0</v>
      </c>
      <c r="AK183" s="1">
        <v>15.0</v>
      </c>
      <c r="AL183" s="1">
        <v>268.0</v>
      </c>
      <c r="AM183" s="1" t="s">
        <v>55</v>
      </c>
      <c r="AN183" s="1">
        <v>2.0</v>
      </c>
      <c r="AO183" s="1">
        <v>2.0</v>
      </c>
      <c r="AP183" s="1" t="s">
        <v>77</v>
      </c>
      <c r="AQ183" s="3" t="str">
        <f>HYPERLINK("https://icf.clappia.com/app/GMB253374/submission/OLI28168425/ICF247370-GMB253374-6622g5k1n11200000000/SIG-20250702_1215k747f.jpeg", "SIG-20250702_1215k747f.jpeg")</f>
        <v>SIG-20250702_1215k747f.jpeg</v>
      </c>
      <c r="AR183" s="1" t="s">
        <v>78</v>
      </c>
      <c r="AS183" s="3" t="str">
        <f>HYPERLINK("https://icf.clappia.com/app/GMB253374/submission/OLI28168425/ICF247370-GMB253374-4nfgo5apfmf400000000/SIG-20250702_1215f8jgn.jpeg", "SIG-20250702_1215f8jgn.jpeg")</f>
        <v>SIG-20250702_1215f8jgn.jpeg</v>
      </c>
      <c r="AT183" s="1" t="s">
        <v>79</v>
      </c>
      <c r="AU183" s="3" t="str">
        <f>HYPERLINK("https://icf.clappia.com/app/GMB253374/submission/OLI28168425/ICF247370-GMB253374-595baemig67e00000000/SIG-20250703_110010ild6.jpeg", "SIG-20250703_110010ild6.jpeg")</f>
        <v>SIG-20250703_110010ild6.jpeg</v>
      </c>
      <c r="AV183" s="3" t="str">
        <f>HYPERLINK("https://www.google.com/maps/place/9.1845296%2C-12.2142062", "9.1845296,-12.2142062")</f>
        <v>9.1845296,-12.2142062</v>
      </c>
    </row>
    <row r="184" ht="15.75" customHeight="1">
      <c r="A184" s="1" t="s">
        <v>1089</v>
      </c>
      <c r="B184" s="1" t="s">
        <v>81</v>
      </c>
      <c r="C184" s="1" t="s">
        <v>1087</v>
      </c>
      <c r="D184" s="1" t="s">
        <v>1087</v>
      </c>
      <c r="E184" s="1" t="s">
        <v>1090</v>
      </c>
      <c r="F184" s="1" t="s">
        <v>49</v>
      </c>
      <c r="G184" s="1">
        <v>125.0</v>
      </c>
      <c r="H184" s="1" t="s">
        <v>50</v>
      </c>
      <c r="I184" s="1">
        <v>28.0</v>
      </c>
      <c r="J184" s="1">
        <v>10.0</v>
      </c>
      <c r="K184" s="1">
        <v>9.0</v>
      </c>
      <c r="L184" s="1">
        <v>18.0</v>
      </c>
      <c r="M184" s="1">
        <v>15.0</v>
      </c>
      <c r="N184" s="1" t="s">
        <v>51</v>
      </c>
      <c r="O184" s="1">
        <v>28.0</v>
      </c>
      <c r="P184" s="1">
        <v>13.0</v>
      </c>
      <c r="Q184" s="1">
        <v>10.0</v>
      </c>
      <c r="R184" s="1">
        <v>15.0</v>
      </c>
      <c r="S184" s="1">
        <v>13.0</v>
      </c>
      <c r="T184" s="1" t="s">
        <v>52</v>
      </c>
      <c r="U184" s="1">
        <v>19.0</v>
      </c>
      <c r="V184" s="1">
        <v>8.0</v>
      </c>
      <c r="W184" s="1">
        <v>7.0</v>
      </c>
      <c r="X184" s="1">
        <v>11.0</v>
      </c>
      <c r="Y184" s="1">
        <v>9.0</v>
      </c>
      <c r="Z184" s="1" t="s">
        <v>53</v>
      </c>
      <c r="AA184" s="1">
        <v>22.0</v>
      </c>
      <c r="AB184" s="1">
        <v>11.0</v>
      </c>
      <c r="AC184" s="1">
        <v>10.0</v>
      </c>
      <c r="AD184" s="1">
        <v>11.0</v>
      </c>
      <c r="AE184" s="1">
        <v>9.0</v>
      </c>
      <c r="AF184" s="1" t="s">
        <v>54</v>
      </c>
      <c r="AG184" s="1">
        <v>29.0</v>
      </c>
      <c r="AH184" s="1">
        <v>13.0</v>
      </c>
      <c r="AI184" s="1">
        <v>10.0</v>
      </c>
      <c r="AJ184" s="1">
        <v>16.0</v>
      </c>
      <c r="AK184" s="1">
        <v>15.0</v>
      </c>
      <c r="AL184" s="1">
        <v>107.0</v>
      </c>
      <c r="AM184" s="1" t="s">
        <v>55</v>
      </c>
      <c r="AN184" s="1">
        <v>18.0</v>
      </c>
      <c r="AO184" s="1">
        <v>18.0</v>
      </c>
      <c r="AP184" s="1" t="s">
        <v>1091</v>
      </c>
      <c r="AQ184" s="3" t="str">
        <f>HYPERLINK("https://icf.clappia.com/app/GMB253374/submission/HQK05545275/ICF247370-GMB253374-5ckaca2f1ofi00000000/SIG-20250701_1757c4k03.jpeg", "SIG-20250701_1757c4k03.jpeg")</f>
        <v>SIG-20250701_1757c4k03.jpeg</v>
      </c>
      <c r="AR184" s="1" t="s">
        <v>1092</v>
      </c>
      <c r="AS184" s="3" t="str">
        <f>HYPERLINK("https://icf.clappia.com/app/GMB253374/submission/HQK05545275/ICF247370-GMB253374-51hmca0lgf1e00000000/SIG-20250701_17457j6nc.jpeg", "SIG-20250701_17457j6nc.jpeg")</f>
        <v>SIG-20250701_17457j6nc.jpeg</v>
      </c>
      <c r="AT184" s="1" t="s">
        <v>1093</v>
      </c>
      <c r="AU184" s="3" t="str">
        <f>HYPERLINK("https://icf.clappia.com/app/GMB253374/submission/HQK05545275/ICF247370-GMB253374-38o3peecpo1800000000/SIG-20250701_174910hg6a.jpeg", "SIG-20250701_174910hg6a.jpeg")</f>
        <v>SIG-20250701_174910hg6a.jpeg</v>
      </c>
      <c r="AV184" s="3" t="str">
        <f>HYPERLINK("https://www.google.com/maps/place/7.9765635%2C-11.7373946", "7.9765635,-11.7373946")</f>
        <v>7.9765635,-11.7373946</v>
      </c>
    </row>
    <row r="185" ht="15.75" customHeight="1">
      <c r="A185" s="1" t="s">
        <v>1094</v>
      </c>
      <c r="B185" s="1" t="s">
        <v>349</v>
      </c>
      <c r="C185" s="1" t="s">
        <v>1095</v>
      </c>
      <c r="D185" s="1" t="s">
        <v>1095</v>
      </c>
      <c r="E185" s="1" t="s">
        <v>1096</v>
      </c>
      <c r="F185" s="1" t="s">
        <v>64</v>
      </c>
      <c r="G185" s="1">
        <v>179.0</v>
      </c>
      <c r="H185" s="1" t="s">
        <v>50</v>
      </c>
      <c r="I185" s="1">
        <v>48.0</v>
      </c>
      <c r="J185" s="1">
        <v>18.0</v>
      </c>
      <c r="K185" s="1">
        <v>18.0</v>
      </c>
      <c r="L185" s="1">
        <v>30.0</v>
      </c>
      <c r="M185" s="1">
        <v>30.0</v>
      </c>
      <c r="N185" s="1" t="s">
        <v>51</v>
      </c>
      <c r="O185" s="1">
        <v>29.0</v>
      </c>
      <c r="P185" s="1">
        <v>14.0</v>
      </c>
      <c r="Q185" s="1">
        <v>14.0</v>
      </c>
      <c r="R185" s="1">
        <v>15.0</v>
      </c>
      <c r="S185" s="1">
        <v>15.0</v>
      </c>
      <c r="T185" s="1" t="s">
        <v>52</v>
      </c>
      <c r="U185" s="1">
        <v>26.0</v>
      </c>
      <c r="V185" s="1">
        <v>10.0</v>
      </c>
      <c r="W185" s="1">
        <v>10.0</v>
      </c>
      <c r="X185" s="1">
        <v>16.0</v>
      </c>
      <c r="Y185" s="1">
        <v>16.0</v>
      </c>
      <c r="Z185" s="1" t="s">
        <v>53</v>
      </c>
      <c r="AA185" s="1">
        <v>32.0</v>
      </c>
      <c r="AB185" s="1">
        <v>14.0</v>
      </c>
      <c r="AC185" s="1">
        <v>14.0</v>
      </c>
      <c r="AD185" s="1">
        <v>18.0</v>
      </c>
      <c r="AE185" s="1">
        <v>18.0</v>
      </c>
      <c r="AF185" s="1" t="s">
        <v>54</v>
      </c>
      <c r="AG185" s="1">
        <v>32.0</v>
      </c>
      <c r="AH185" s="1">
        <v>12.0</v>
      </c>
      <c r="AI185" s="1">
        <v>12.0</v>
      </c>
      <c r="AJ185" s="1">
        <v>20.0</v>
      </c>
      <c r="AK185" s="1">
        <v>20.0</v>
      </c>
      <c r="AL185" s="1">
        <v>167.0</v>
      </c>
      <c r="AM185" s="1">
        <v>10.0</v>
      </c>
      <c r="AN185" s="1">
        <v>2.0</v>
      </c>
      <c r="AO185" s="1">
        <v>2.0</v>
      </c>
      <c r="AP185" s="1" t="s">
        <v>1097</v>
      </c>
      <c r="AQ185" s="3" t="str">
        <f>HYPERLINK("https://icf.clappia.com/app/GMB253374/submission/TAX00625892/ICF247370-GMB253374-3jba396hf4o200000000/SIG-20250703_1057192ggb.jpeg", "SIG-20250703_1057192ggb.jpeg")</f>
        <v>SIG-20250703_1057192ggb.jpeg</v>
      </c>
      <c r="AR185" s="1" t="s">
        <v>1098</v>
      </c>
      <c r="AS185" s="3" t="str">
        <f>HYPERLINK("https://icf.clappia.com/app/GMB253374/submission/TAX00625892/ICF247370-GMB253374-2617mh1bkmadg0000000/SIG-20250703_105716dnii.jpeg", "SIG-20250703_105716dnii.jpeg")</f>
        <v>SIG-20250703_105716dnii.jpeg</v>
      </c>
      <c r="AT185" s="1" t="s">
        <v>1099</v>
      </c>
      <c r="AU185" s="3" t="str">
        <f>HYPERLINK("https://icf.clappia.com/app/GMB253374/submission/TAX00625892/ICF247370-GMB253374-3jpld23287lc00000000/SIG-20250703_1058cfagn.jpeg", "SIG-20250703_1058cfagn.jpeg")</f>
        <v>SIG-20250703_1058cfagn.jpeg</v>
      </c>
      <c r="AV185" s="3" t="str">
        <f>HYPERLINK("https://www.google.com/maps/place/9.046625%2C-11.7981583", "9.046625,-11.7981583")</f>
        <v>9.046625,-11.7981583</v>
      </c>
    </row>
    <row r="186" ht="15.75" customHeight="1">
      <c r="A186" s="1" t="s">
        <v>1100</v>
      </c>
      <c r="B186" s="1" t="s">
        <v>161</v>
      </c>
      <c r="C186" s="1" t="s">
        <v>1095</v>
      </c>
      <c r="D186" s="1" t="s">
        <v>1095</v>
      </c>
      <c r="E186" s="1" t="s">
        <v>1101</v>
      </c>
      <c r="F186" s="1" t="s">
        <v>64</v>
      </c>
      <c r="G186" s="1">
        <v>110.0</v>
      </c>
      <c r="H186" s="1" t="s">
        <v>50</v>
      </c>
      <c r="I186" s="1">
        <v>30.0</v>
      </c>
      <c r="J186" s="1">
        <v>10.0</v>
      </c>
      <c r="K186" s="1">
        <v>10.0</v>
      </c>
      <c r="L186" s="1">
        <v>20.0</v>
      </c>
      <c r="M186" s="1">
        <v>20.0</v>
      </c>
      <c r="N186" s="1" t="s">
        <v>51</v>
      </c>
      <c r="O186" s="1">
        <v>30.0</v>
      </c>
      <c r="P186" s="1">
        <v>13.0</v>
      </c>
      <c r="Q186" s="1">
        <v>13.0</v>
      </c>
      <c r="R186" s="1">
        <v>17.0</v>
      </c>
      <c r="S186" s="1">
        <v>17.0</v>
      </c>
      <c r="T186" s="1" t="s">
        <v>52</v>
      </c>
      <c r="U186" s="1">
        <v>20.0</v>
      </c>
      <c r="V186" s="1">
        <v>7.0</v>
      </c>
      <c r="W186" s="1">
        <v>7.0</v>
      </c>
      <c r="X186" s="1">
        <v>13.0</v>
      </c>
      <c r="Y186" s="1">
        <v>13.0</v>
      </c>
      <c r="Z186" s="1" t="s">
        <v>53</v>
      </c>
      <c r="AA186" s="1">
        <v>17.0</v>
      </c>
      <c r="AB186" s="1">
        <v>6.0</v>
      </c>
      <c r="AC186" s="1">
        <v>6.0</v>
      </c>
      <c r="AD186" s="1">
        <v>11.0</v>
      </c>
      <c r="AE186" s="1">
        <v>11.0</v>
      </c>
      <c r="AF186" s="1" t="s">
        <v>54</v>
      </c>
      <c r="AG186" s="1">
        <v>13.0</v>
      </c>
      <c r="AH186" s="1">
        <v>5.0</v>
      </c>
      <c r="AI186" s="1">
        <v>5.0</v>
      </c>
      <c r="AJ186" s="1">
        <v>8.0</v>
      </c>
      <c r="AK186" s="1">
        <v>8.0</v>
      </c>
      <c r="AL186" s="1">
        <v>110.0</v>
      </c>
      <c r="AM186" s="1" t="s">
        <v>55</v>
      </c>
      <c r="AN186" s="1" t="s">
        <v>55</v>
      </c>
      <c r="AO186" s="1" t="s">
        <v>55</v>
      </c>
      <c r="AP186" s="1" t="s">
        <v>1102</v>
      </c>
      <c r="AQ186" s="3" t="str">
        <f>HYPERLINK("https://icf.clappia.com/app/GMB253374/submission/VDC76805960/ICF247370-GMB253374-2fhb2chj9fge00000000/SIG-20250703_0944ma9c6.jpeg", "SIG-20250703_0944ma9c6.jpeg")</f>
        <v>SIG-20250703_0944ma9c6.jpeg</v>
      </c>
      <c r="AR186" s="1" t="s">
        <v>1103</v>
      </c>
      <c r="AS186" s="3" t="str">
        <f>HYPERLINK("https://icf.clappia.com/app/GMB253374/submission/VDC76805960/ICF247370-GMB253374-2oala8eomiko00000000/SIG-20250703_0945141m2o.jpeg", "SIG-20250703_0945141m2o.jpeg")</f>
        <v>SIG-20250703_0945141m2o.jpeg</v>
      </c>
      <c r="AT186" s="1" t="s">
        <v>1104</v>
      </c>
      <c r="AU186" s="3" t="str">
        <f>HYPERLINK("https://icf.clappia.com/app/GMB253374/submission/VDC76805960/ICF247370-GMB253374-5684iep7fa7a00000000/SIG-20250703_0946nga6c.jpeg", "SIG-20250703_0946nga6c.jpeg")</f>
        <v>SIG-20250703_0946nga6c.jpeg</v>
      </c>
      <c r="AV186" s="3" t="str">
        <f>HYPERLINK("https://www.google.com/maps/place/7.95737%2C-11.60841", "7.95737,-11.60841")</f>
        <v>7.95737,-11.60841</v>
      </c>
    </row>
    <row r="187" ht="15.75" customHeight="1">
      <c r="A187" s="1" t="s">
        <v>1105</v>
      </c>
      <c r="B187" s="1" t="s">
        <v>342</v>
      </c>
      <c r="C187" s="1" t="s">
        <v>1106</v>
      </c>
      <c r="D187" s="1" t="s">
        <v>1106</v>
      </c>
      <c r="E187" s="1" t="s">
        <v>1107</v>
      </c>
      <c r="F187" s="1" t="s">
        <v>64</v>
      </c>
      <c r="G187" s="1">
        <v>60.0</v>
      </c>
      <c r="H187" s="1" t="s">
        <v>50</v>
      </c>
      <c r="I187" s="1">
        <v>22.0</v>
      </c>
      <c r="J187" s="1">
        <v>10.0</v>
      </c>
      <c r="K187" s="1">
        <v>10.0</v>
      </c>
      <c r="L187" s="1">
        <v>12.0</v>
      </c>
      <c r="M187" s="1">
        <v>12.0</v>
      </c>
      <c r="N187" s="1" t="s">
        <v>51</v>
      </c>
      <c r="O187" s="1">
        <v>19.0</v>
      </c>
      <c r="P187" s="1">
        <v>10.0</v>
      </c>
      <c r="Q187" s="1">
        <v>10.0</v>
      </c>
      <c r="R187" s="1">
        <v>9.0</v>
      </c>
      <c r="S187" s="1">
        <v>8.0</v>
      </c>
      <c r="T187" s="1" t="s">
        <v>52</v>
      </c>
      <c r="U187" s="1">
        <v>19.0</v>
      </c>
      <c r="V187" s="1">
        <v>11.0</v>
      </c>
      <c r="W187" s="1">
        <v>10.0</v>
      </c>
      <c r="X187" s="1">
        <v>8.0</v>
      </c>
      <c r="Y187" s="1">
        <v>7.0</v>
      </c>
      <c r="Z187" s="1" t="s">
        <v>53</v>
      </c>
      <c r="AA187" s="1" t="s">
        <v>55</v>
      </c>
      <c r="AB187" s="1" t="s">
        <v>55</v>
      </c>
      <c r="AC187" s="1" t="s">
        <v>55</v>
      </c>
      <c r="AD187" s="1" t="s">
        <v>55</v>
      </c>
      <c r="AE187" s="1" t="s">
        <v>55</v>
      </c>
      <c r="AF187" s="1" t="s">
        <v>54</v>
      </c>
      <c r="AG187" s="1" t="s">
        <v>55</v>
      </c>
      <c r="AH187" s="1" t="s">
        <v>55</v>
      </c>
      <c r="AI187" s="1" t="s">
        <v>55</v>
      </c>
      <c r="AJ187" s="1" t="s">
        <v>55</v>
      </c>
      <c r="AK187" s="1" t="s">
        <v>55</v>
      </c>
      <c r="AL187" s="1">
        <v>57.0</v>
      </c>
      <c r="AM187" s="1">
        <v>3.0</v>
      </c>
      <c r="AN187" s="1" t="s">
        <v>55</v>
      </c>
      <c r="AO187" s="1" t="s">
        <v>55</v>
      </c>
      <c r="AP187" s="1" t="s">
        <v>1108</v>
      </c>
      <c r="AQ187" s="3" t="str">
        <f>HYPERLINK("https://icf.clappia.com/app/GMB253374/submission/JER29697832/ICF247370-GMB253374-6397m9bieph200000000/SIG-20250703_105518akn2.jpeg", "SIG-20250703_105518akn2.jpeg")</f>
        <v>SIG-20250703_105518akn2.jpeg</v>
      </c>
      <c r="AR187" s="1" t="s">
        <v>1109</v>
      </c>
      <c r="AS187" s="3" t="str">
        <f>HYPERLINK("https://icf.clappia.com/app/GMB253374/submission/JER29697832/ICF247370-GMB253374-3done2fdbmjk00000000/SIG-20250703_10551c90.jpeg", "SIG-20250703_10551c90.jpeg")</f>
        <v>SIG-20250703_10551c90.jpeg</v>
      </c>
      <c r="AT187" s="1" t="s">
        <v>1110</v>
      </c>
      <c r="AU187" s="3" t="str">
        <f>HYPERLINK("https://icf.clappia.com/app/GMB253374/submission/JER29697832/ICF247370-GMB253374-31kom7mg9di600000000/SIG-20250703_1055p5eji.jpeg", "SIG-20250703_1055p5eji.jpeg")</f>
        <v>SIG-20250703_1055p5eji.jpeg</v>
      </c>
      <c r="AV187" s="3" t="str">
        <f>HYPERLINK("https://www.google.com/maps/place/9.0796667%2C-12.2207167", "9.0796667,-12.2207167")</f>
        <v>9.0796667,-12.2207167</v>
      </c>
    </row>
    <row r="188" ht="15.75" customHeight="1">
      <c r="A188" s="1" t="s">
        <v>1111</v>
      </c>
      <c r="B188" s="1" t="s">
        <v>81</v>
      </c>
      <c r="C188" s="1" t="s">
        <v>1106</v>
      </c>
      <c r="D188" s="1" t="s">
        <v>1106</v>
      </c>
      <c r="E188" s="1" t="s">
        <v>1112</v>
      </c>
      <c r="F188" s="1" t="s">
        <v>64</v>
      </c>
      <c r="G188" s="1">
        <v>203.0</v>
      </c>
      <c r="H188" s="1" t="s">
        <v>50</v>
      </c>
      <c r="I188" s="1">
        <v>53.0</v>
      </c>
      <c r="J188" s="1">
        <v>23.0</v>
      </c>
      <c r="K188" s="1">
        <v>23.0</v>
      </c>
      <c r="L188" s="1">
        <v>30.0</v>
      </c>
      <c r="M188" s="1">
        <v>30.0</v>
      </c>
      <c r="N188" s="1" t="s">
        <v>51</v>
      </c>
      <c r="O188" s="1">
        <v>41.0</v>
      </c>
      <c r="P188" s="1">
        <v>20.0</v>
      </c>
      <c r="Q188" s="1">
        <v>20.0</v>
      </c>
      <c r="R188" s="1">
        <v>21.0</v>
      </c>
      <c r="S188" s="1">
        <v>21.0</v>
      </c>
      <c r="T188" s="1" t="s">
        <v>52</v>
      </c>
      <c r="U188" s="1">
        <v>36.0</v>
      </c>
      <c r="V188" s="1">
        <v>16.0</v>
      </c>
      <c r="W188" s="1">
        <v>16.0</v>
      </c>
      <c r="X188" s="1">
        <v>20.0</v>
      </c>
      <c r="Y188" s="1">
        <v>20.0</v>
      </c>
      <c r="Z188" s="1" t="s">
        <v>53</v>
      </c>
      <c r="AA188" s="1">
        <v>39.0</v>
      </c>
      <c r="AB188" s="1">
        <v>18.0</v>
      </c>
      <c r="AC188" s="1">
        <v>18.0</v>
      </c>
      <c r="AD188" s="1">
        <v>21.0</v>
      </c>
      <c r="AE188" s="1">
        <v>21.0</v>
      </c>
      <c r="AF188" s="1" t="s">
        <v>54</v>
      </c>
      <c r="AG188" s="1">
        <v>34.0</v>
      </c>
      <c r="AH188" s="1">
        <v>16.0</v>
      </c>
      <c r="AI188" s="1">
        <v>16.0</v>
      </c>
      <c r="AJ188" s="1">
        <v>18.0</v>
      </c>
      <c r="AK188" s="1">
        <v>18.0</v>
      </c>
      <c r="AL188" s="1">
        <v>203.0</v>
      </c>
      <c r="AM188" s="1" t="s">
        <v>55</v>
      </c>
      <c r="AN188" s="1" t="s">
        <v>55</v>
      </c>
      <c r="AO188" s="1" t="s">
        <v>55</v>
      </c>
      <c r="AP188" s="1" t="s">
        <v>1113</v>
      </c>
      <c r="AQ188" s="3" t="str">
        <f>HYPERLINK("https://icf.clappia.com/app/GMB253374/submission/IEX64467590/ICF247370-GMB253374-cpm0n1feeo6c0000000/SIG-20250703_1054f34h0.jpeg", "SIG-20250703_1054f34h0.jpeg")</f>
        <v>SIG-20250703_1054f34h0.jpeg</v>
      </c>
      <c r="AR188" s="1" t="s">
        <v>1114</v>
      </c>
      <c r="AS188" s="3" t="str">
        <f>HYPERLINK("https://icf.clappia.com/app/GMB253374/submission/IEX64467590/ICF247370-GMB253374-gh3a4em46leg0000000/SIG-20250703_10562occi.jpeg", "SIG-20250703_10562occi.jpeg")</f>
        <v>SIG-20250703_10562occi.jpeg</v>
      </c>
      <c r="AT188" s="1" t="s">
        <v>1115</v>
      </c>
      <c r="AU188" s="3" t="str">
        <f>HYPERLINK("https://icf.clappia.com/app/GMB253374/submission/IEX64467590/ICF247370-GMB253374-5jbh6ph79b4g00000000/SIG-20250703_105611dede.jpeg", "SIG-20250703_105611dede.jpeg")</f>
        <v>SIG-20250703_105611dede.jpeg</v>
      </c>
      <c r="AV188" s="3" t="str">
        <f>HYPERLINK("https://www.google.com/maps/place/7.9461592%2C-11.7383054", "7.9461592,-11.7383054")</f>
        <v>7.9461592,-11.7383054</v>
      </c>
    </row>
    <row r="189" ht="15.75" customHeight="1">
      <c r="A189" s="1" t="s">
        <v>1116</v>
      </c>
      <c r="B189" s="1" t="s">
        <v>278</v>
      </c>
      <c r="C189" s="1" t="s">
        <v>1117</v>
      </c>
      <c r="D189" s="1" t="s">
        <v>1117</v>
      </c>
      <c r="E189" s="1" t="s">
        <v>1118</v>
      </c>
      <c r="F189" s="1" t="s">
        <v>64</v>
      </c>
      <c r="G189" s="1">
        <v>488.0</v>
      </c>
      <c r="H189" s="1" t="s">
        <v>50</v>
      </c>
      <c r="I189" s="1">
        <v>123.0</v>
      </c>
      <c r="J189" s="1">
        <v>60.0</v>
      </c>
      <c r="K189" s="1">
        <v>60.0</v>
      </c>
      <c r="L189" s="1">
        <v>63.0</v>
      </c>
      <c r="M189" s="1">
        <v>63.0</v>
      </c>
      <c r="N189" s="1" t="s">
        <v>51</v>
      </c>
      <c r="O189" s="1">
        <v>100.0</v>
      </c>
      <c r="P189" s="1">
        <v>52.0</v>
      </c>
      <c r="Q189" s="1">
        <v>52.0</v>
      </c>
      <c r="R189" s="1">
        <v>48.0</v>
      </c>
      <c r="S189" s="1">
        <v>48.0</v>
      </c>
      <c r="T189" s="1" t="s">
        <v>52</v>
      </c>
      <c r="U189" s="1">
        <v>86.0</v>
      </c>
      <c r="V189" s="1">
        <v>41.0</v>
      </c>
      <c r="W189" s="1">
        <v>41.0</v>
      </c>
      <c r="X189" s="1">
        <v>45.0</v>
      </c>
      <c r="Y189" s="1">
        <v>45.0</v>
      </c>
      <c r="Z189" s="1" t="s">
        <v>53</v>
      </c>
      <c r="AA189" s="1">
        <v>86.0</v>
      </c>
      <c r="AB189" s="1">
        <v>40.0</v>
      </c>
      <c r="AC189" s="1">
        <v>40.0</v>
      </c>
      <c r="AD189" s="1">
        <v>46.0</v>
      </c>
      <c r="AE189" s="1">
        <v>46.0</v>
      </c>
      <c r="AF189" s="1" t="s">
        <v>54</v>
      </c>
      <c r="AG189" s="1">
        <v>91.0</v>
      </c>
      <c r="AH189" s="1">
        <v>45.0</v>
      </c>
      <c r="AI189" s="1">
        <v>45.0</v>
      </c>
      <c r="AJ189" s="1">
        <v>46.0</v>
      </c>
      <c r="AK189" s="1">
        <v>46.0</v>
      </c>
      <c r="AL189" s="1">
        <v>486.0</v>
      </c>
      <c r="AM189" s="1" t="s">
        <v>55</v>
      </c>
      <c r="AN189" s="1">
        <v>2.0</v>
      </c>
      <c r="AO189" s="1" t="s">
        <v>55</v>
      </c>
      <c r="AP189" s="1" t="s">
        <v>1119</v>
      </c>
      <c r="AQ189" s="3" t="str">
        <f>HYPERLINK("https://icf.clappia.com/app/GMB253374/submission/HJO42049933/ICF247370-GMB253374-4ojdk006dkga00000000/SIG-20250703_105570pck.jpeg", "SIG-20250703_105570pck.jpeg")</f>
        <v>SIG-20250703_105570pck.jpeg</v>
      </c>
      <c r="AR189" s="1" t="s">
        <v>1120</v>
      </c>
      <c r="AS189" s="3" t="str">
        <f>HYPERLINK("https://icf.clappia.com/app/GMB253374/submission/HJO42049933/ICF247370-GMB253374-68f90nm2kf1200000000/SIG-20250703_10552jgce.jpeg", "SIG-20250703_10552jgce.jpeg")</f>
        <v>SIG-20250703_10552jgce.jpeg</v>
      </c>
      <c r="AT189" s="1" t="s">
        <v>1121</v>
      </c>
      <c r="AU189" s="3" t="str">
        <f>HYPERLINK("https://icf.clappia.com/app/GMB253374/submission/HJO42049933/ICF247370-GMB253374-3kcd3f2lkeag00000000/SIG-20250703_10568emg3.jpeg", "SIG-20250703_10568emg3.jpeg")</f>
        <v>SIG-20250703_10568emg3.jpeg</v>
      </c>
      <c r="AV189" s="3" t="str">
        <f>HYPERLINK("https://www.google.com/maps/place/9.25129%2C-12.1637733", "9.25129,-12.1637733")</f>
        <v>9.25129,-12.1637733</v>
      </c>
    </row>
    <row r="190" ht="15.75" customHeight="1">
      <c r="A190" s="1" t="s">
        <v>1122</v>
      </c>
      <c r="B190" s="1" t="s">
        <v>536</v>
      </c>
      <c r="C190" s="1" t="s">
        <v>1117</v>
      </c>
      <c r="D190" s="1" t="s">
        <v>1117</v>
      </c>
      <c r="E190" s="1" t="s">
        <v>1123</v>
      </c>
      <c r="F190" s="1" t="s">
        <v>64</v>
      </c>
      <c r="G190" s="1">
        <v>400.0</v>
      </c>
      <c r="H190" s="1" t="s">
        <v>50</v>
      </c>
      <c r="I190" s="1">
        <v>75.0</v>
      </c>
      <c r="J190" s="1">
        <v>35.0</v>
      </c>
      <c r="K190" s="1">
        <v>35.0</v>
      </c>
      <c r="L190" s="1">
        <v>40.0</v>
      </c>
      <c r="M190" s="1">
        <v>40.0</v>
      </c>
      <c r="N190" s="1" t="s">
        <v>51</v>
      </c>
      <c r="O190" s="1">
        <v>80.0</v>
      </c>
      <c r="P190" s="1">
        <v>42.0</v>
      </c>
      <c r="Q190" s="1">
        <v>42.0</v>
      </c>
      <c r="R190" s="1">
        <v>38.0</v>
      </c>
      <c r="S190" s="1">
        <v>38.0</v>
      </c>
      <c r="T190" s="1" t="s">
        <v>52</v>
      </c>
      <c r="U190" s="1">
        <v>68.0</v>
      </c>
      <c r="V190" s="1">
        <v>31.0</v>
      </c>
      <c r="W190" s="1">
        <v>31.0</v>
      </c>
      <c r="X190" s="1">
        <v>37.0</v>
      </c>
      <c r="Y190" s="1">
        <v>37.0</v>
      </c>
      <c r="Z190" s="1" t="s">
        <v>53</v>
      </c>
      <c r="AA190" s="1">
        <v>76.0</v>
      </c>
      <c r="AB190" s="1">
        <v>36.0</v>
      </c>
      <c r="AC190" s="1">
        <v>36.0</v>
      </c>
      <c r="AD190" s="1">
        <v>40.0</v>
      </c>
      <c r="AE190" s="1">
        <v>40.0</v>
      </c>
      <c r="AF190" s="1" t="s">
        <v>54</v>
      </c>
      <c r="AG190" s="1">
        <v>66.0</v>
      </c>
      <c r="AH190" s="1">
        <v>36.0</v>
      </c>
      <c r="AI190" s="1">
        <v>36.0</v>
      </c>
      <c r="AJ190" s="1">
        <v>30.0</v>
      </c>
      <c r="AK190" s="1">
        <v>30.0</v>
      </c>
      <c r="AL190" s="1">
        <v>365.0</v>
      </c>
      <c r="AM190" s="1" t="s">
        <v>55</v>
      </c>
      <c r="AN190" s="1">
        <v>35.0</v>
      </c>
      <c r="AO190" s="1">
        <v>35.0</v>
      </c>
      <c r="AP190" s="1" t="s">
        <v>539</v>
      </c>
      <c r="AQ190" s="3" t="str">
        <f>HYPERLINK("https://icf.clappia.com/app/GMB253374/submission/VVL56917713/ICF247370-GMB253374-3mi97bn2pi5c00000000/SIG-20250703_10556e7no.jpeg", "SIG-20250703_10556e7no.jpeg")</f>
        <v>SIG-20250703_10556e7no.jpeg</v>
      </c>
      <c r="AR190" s="1" t="s">
        <v>541</v>
      </c>
      <c r="AS190" s="3" t="str">
        <f>HYPERLINK("https://icf.clappia.com/app/GMB253374/submission/VVL56917713/ICF247370-GMB253374-5m6f5cap079e00000000/SIG-20250703_1055kn3io.jpeg", "SIG-20250703_1055kn3io.jpeg")</f>
        <v>SIG-20250703_1055kn3io.jpeg</v>
      </c>
      <c r="AT190" s="1" t="s">
        <v>1124</v>
      </c>
      <c r="AU190" s="3" t="str">
        <f>HYPERLINK("https://icf.clappia.com/app/GMB253374/submission/VVL56917713/ICF247370-GMB253374-4bj81nmh149i00000000/SIG-20250703_1054d5m3n.jpeg", "SIG-20250703_1054d5m3n.jpeg")</f>
        <v>SIG-20250703_1054d5m3n.jpeg</v>
      </c>
      <c r="AV190" s="3" t="str">
        <f>HYPERLINK("https://www.google.com/maps/place/9.2206183%2C-12.1405267", "9.2206183,-12.1405267")</f>
        <v>9.2206183,-12.1405267</v>
      </c>
    </row>
    <row r="191" ht="15.75" customHeight="1">
      <c r="A191" s="1" t="s">
        <v>1125</v>
      </c>
      <c r="B191" s="1" t="s">
        <v>60</v>
      </c>
      <c r="C191" s="1" t="s">
        <v>1126</v>
      </c>
      <c r="D191" s="1" t="s">
        <v>1126</v>
      </c>
      <c r="E191" s="1" t="s">
        <v>1127</v>
      </c>
      <c r="F191" s="1" t="s">
        <v>64</v>
      </c>
      <c r="G191" s="1">
        <v>300.0</v>
      </c>
      <c r="H191" s="1" t="s">
        <v>50</v>
      </c>
      <c r="I191" s="1">
        <v>102.0</v>
      </c>
      <c r="J191" s="1">
        <v>49.0</v>
      </c>
      <c r="K191" s="1">
        <v>49.0</v>
      </c>
      <c r="L191" s="1">
        <v>53.0</v>
      </c>
      <c r="M191" s="1">
        <v>53.0</v>
      </c>
      <c r="N191" s="1" t="s">
        <v>51</v>
      </c>
      <c r="O191" s="1">
        <v>50.0</v>
      </c>
      <c r="P191" s="1">
        <v>24.0</v>
      </c>
      <c r="Q191" s="1">
        <v>24.0</v>
      </c>
      <c r="R191" s="1">
        <v>26.0</v>
      </c>
      <c r="S191" s="1">
        <v>26.0</v>
      </c>
      <c r="T191" s="1" t="s">
        <v>52</v>
      </c>
      <c r="U191" s="1">
        <v>48.0</v>
      </c>
      <c r="V191" s="1">
        <v>22.0</v>
      </c>
      <c r="W191" s="1">
        <v>22.0</v>
      </c>
      <c r="X191" s="1">
        <v>26.0</v>
      </c>
      <c r="Y191" s="1">
        <v>26.0</v>
      </c>
      <c r="Z191" s="1" t="s">
        <v>53</v>
      </c>
      <c r="AA191" s="1">
        <v>42.0</v>
      </c>
      <c r="AB191" s="1">
        <v>18.0</v>
      </c>
      <c r="AC191" s="1">
        <v>18.0</v>
      </c>
      <c r="AD191" s="1">
        <v>24.0</v>
      </c>
      <c r="AE191" s="1">
        <v>24.0</v>
      </c>
      <c r="AF191" s="1" t="s">
        <v>54</v>
      </c>
      <c r="AG191" s="1">
        <v>44.0</v>
      </c>
      <c r="AH191" s="1">
        <v>20.0</v>
      </c>
      <c r="AI191" s="1">
        <v>20.0</v>
      </c>
      <c r="AJ191" s="1">
        <v>24.0</v>
      </c>
      <c r="AK191" s="1">
        <v>24.0</v>
      </c>
      <c r="AL191" s="1">
        <v>286.0</v>
      </c>
      <c r="AM191" s="1">
        <v>10.0</v>
      </c>
      <c r="AN191" s="1">
        <v>4.0</v>
      </c>
      <c r="AO191" s="1">
        <v>4.0</v>
      </c>
      <c r="AP191" s="1" t="s">
        <v>1128</v>
      </c>
      <c r="AQ191" s="3" t="str">
        <f>HYPERLINK("https://icf.clappia.com/app/GMB253374/submission/XOE35015011/ICF247370-GMB253374-40h9p3m903ik0000000/SIG-20250703_1053igh83.jpeg", "SIG-20250703_1053igh83.jpeg")</f>
        <v>SIG-20250703_1053igh83.jpeg</v>
      </c>
      <c r="AR191" s="1" t="s">
        <v>1129</v>
      </c>
      <c r="AS191" s="3" t="str">
        <f>HYPERLINK("https://icf.clappia.com/app/GMB253374/submission/XOE35015011/ICF247370-GMB253374-5d7b0col5oec00000000/SIG-20250703_10558b5c4.jpeg", "SIG-20250703_10558b5c4.jpeg")</f>
        <v>SIG-20250703_10558b5c4.jpeg</v>
      </c>
      <c r="AT191" s="1" t="s">
        <v>1130</v>
      </c>
      <c r="AU191" s="3" t="str">
        <f>HYPERLINK("https://icf.clappia.com/app/GMB253374/submission/XOE35015011/ICF247370-GMB253374-5obajf3dm36000000000/SIG-20250703_10551961p1.jpeg", "SIG-20250703_10551961p1.jpeg")</f>
        <v>SIG-20250703_10551961p1.jpeg</v>
      </c>
      <c r="AV191" s="3" t="str">
        <f>HYPERLINK("https://www.google.com/maps/place/8.8229871%2C-12.2174239", "8.8229871,-12.2174239")</f>
        <v>8.8229871,-12.2174239</v>
      </c>
    </row>
    <row r="192" ht="15.75" customHeight="1">
      <c r="A192" s="1" t="s">
        <v>1131</v>
      </c>
      <c r="B192" s="1" t="s">
        <v>81</v>
      </c>
      <c r="C192" s="1" t="s">
        <v>1126</v>
      </c>
      <c r="D192" s="1" t="s">
        <v>1126</v>
      </c>
      <c r="E192" s="1" t="s">
        <v>1132</v>
      </c>
      <c r="F192" s="1" t="s">
        <v>64</v>
      </c>
      <c r="G192" s="1">
        <v>335.0</v>
      </c>
      <c r="H192" s="1" t="s">
        <v>50</v>
      </c>
      <c r="I192" s="1">
        <v>70.0</v>
      </c>
      <c r="J192" s="1">
        <v>30.0</v>
      </c>
      <c r="K192" s="1">
        <v>30.0</v>
      </c>
      <c r="L192" s="1">
        <v>40.0</v>
      </c>
      <c r="M192" s="1">
        <v>40.0</v>
      </c>
      <c r="N192" s="1" t="s">
        <v>51</v>
      </c>
      <c r="O192" s="1">
        <v>55.0</v>
      </c>
      <c r="P192" s="1">
        <v>20.0</v>
      </c>
      <c r="Q192" s="1">
        <v>20.0</v>
      </c>
      <c r="R192" s="1">
        <v>35.0</v>
      </c>
      <c r="S192" s="1">
        <v>35.0</v>
      </c>
      <c r="T192" s="1" t="s">
        <v>52</v>
      </c>
      <c r="U192" s="1">
        <v>88.0</v>
      </c>
      <c r="V192" s="1">
        <v>38.0</v>
      </c>
      <c r="W192" s="1">
        <v>38.0</v>
      </c>
      <c r="X192" s="1">
        <v>50.0</v>
      </c>
      <c r="Y192" s="1">
        <v>50.0</v>
      </c>
      <c r="Z192" s="1" t="s">
        <v>53</v>
      </c>
      <c r="AA192" s="1">
        <v>72.0</v>
      </c>
      <c r="AB192" s="1">
        <v>27.0</v>
      </c>
      <c r="AC192" s="1">
        <v>27.0</v>
      </c>
      <c r="AD192" s="1">
        <v>45.0</v>
      </c>
      <c r="AE192" s="1">
        <v>45.0</v>
      </c>
      <c r="AF192" s="1" t="s">
        <v>54</v>
      </c>
      <c r="AG192" s="1">
        <v>50.0</v>
      </c>
      <c r="AH192" s="1">
        <v>25.0</v>
      </c>
      <c r="AI192" s="1">
        <v>25.0</v>
      </c>
      <c r="AJ192" s="1">
        <v>25.0</v>
      </c>
      <c r="AK192" s="1">
        <v>25.0</v>
      </c>
      <c r="AL192" s="1">
        <v>335.0</v>
      </c>
      <c r="AM192" s="1" t="s">
        <v>55</v>
      </c>
      <c r="AN192" s="1" t="s">
        <v>55</v>
      </c>
      <c r="AO192" s="1" t="s">
        <v>55</v>
      </c>
      <c r="AP192" s="1" t="s">
        <v>1133</v>
      </c>
      <c r="AQ192" s="3" t="str">
        <f>HYPERLINK("https://icf.clappia.com/app/GMB253374/submission/BAO01691589/ICF247370-GMB253374-6bb9ilgb38go00000000/SIG-20250703_1053146llg.jpeg", "SIG-20250703_1053146llg.jpeg")</f>
        <v>SIG-20250703_1053146llg.jpeg</v>
      </c>
      <c r="AR192" s="1" t="s">
        <v>1134</v>
      </c>
      <c r="AS192" s="3" t="str">
        <f>HYPERLINK("https://icf.clappia.com/app/GMB253374/submission/BAO01691589/ICF247370-GMB253374-3oi26946ehgk00000000/SIG-20250703_10544oaf3.jpeg", "SIG-20250703_10544oaf3.jpeg")</f>
        <v>SIG-20250703_10544oaf3.jpeg</v>
      </c>
      <c r="AT192" s="1" t="s">
        <v>85</v>
      </c>
      <c r="AU192" s="3" t="str">
        <f>HYPERLINK("https://icf.clappia.com/app/GMB253374/submission/BAO01691589/ICF247370-GMB253374-3ed9b43ama6800000000/SIG-20250703_105418nind.jpeg", "SIG-20250703_105418nind.jpeg")</f>
        <v>SIG-20250703_105418nind.jpeg</v>
      </c>
      <c r="AV192" s="3" t="str">
        <f>HYPERLINK("https://www.google.com/maps/place/7.958975%2C-11.7421133", "7.958975,-11.7421133")</f>
        <v>7.958975,-11.7421133</v>
      </c>
    </row>
    <row r="193" ht="15.75" customHeight="1">
      <c r="A193" s="1" t="s">
        <v>1135</v>
      </c>
      <c r="B193" s="1" t="s">
        <v>248</v>
      </c>
      <c r="C193" s="1" t="s">
        <v>1136</v>
      </c>
      <c r="D193" s="1" t="s">
        <v>1136</v>
      </c>
      <c r="E193" s="1" t="s">
        <v>1137</v>
      </c>
      <c r="F193" s="1" t="s">
        <v>64</v>
      </c>
      <c r="G193" s="1">
        <v>244.0</v>
      </c>
      <c r="H193" s="1" t="s">
        <v>50</v>
      </c>
      <c r="I193" s="1">
        <v>65.0</v>
      </c>
      <c r="J193" s="1">
        <v>30.0</v>
      </c>
      <c r="K193" s="1">
        <v>30.0</v>
      </c>
      <c r="L193" s="1">
        <v>35.0</v>
      </c>
      <c r="M193" s="1">
        <v>34.0</v>
      </c>
      <c r="N193" s="1" t="s">
        <v>51</v>
      </c>
      <c r="O193" s="1">
        <v>38.0</v>
      </c>
      <c r="P193" s="1">
        <v>18.0</v>
      </c>
      <c r="Q193" s="1">
        <v>16.0</v>
      </c>
      <c r="R193" s="1">
        <v>20.0</v>
      </c>
      <c r="S193" s="1">
        <v>19.0</v>
      </c>
      <c r="T193" s="1" t="s">
        <v>52</v>
      </c>
      <c r="U193" s="1">
        <v>32.0</v>
      </c>
      <c r="V193" s="1">
        <v>14.0</v>
      </c>
      <c r="W193" s="1">
        <v>13.0</v>
      </c>
      <c r="X193" s="1">
        <v>18.0</v>
      </c>
      <c r="Y193" s="1">
        <v>17.0</v>
      </c>
      <c r="Z193" s="1" t="s">
        <v>53</v>
      </c>
      <c r="AA193" s="1">
        <v>63.0</v>
      </c>
      <c r="AB193" s="1">
        <v>30.0</v>
      </c>
      <c r="AC193" s="1">
        <v>29.0</v>
      </c>
      <c r="AD193" s="1">
        <v>33.0</v>
      </c>
      <c r="AE193" s="1">
        <v>33.0</v>
      </c>
      <c r="AF193" s="1" t="s">
        <v>54</v>
      </c>
      <c r="AG193" s="1">
        <v>46.0</v>
      </c>
      <c r="AH193" s="1">
        <v>20.0</v>
      </c>
      <c r="AI193" s="1">
        <v>19.0</v>
      </c>
      <c r="AJ193" s="1">
        <v>26.0</v>
      </c>
      <c r="AK193" s="1">
        <v>26.0</v>
      </c>
      <c r="AL193" s="1">
        <v>236.0</v>
      </c>
      <c r="AM193" s="1">
        <v>8.0</v>
      </c>
      <c r="AN193" s="1" t="s">
        <v>55</v>
      </c>
      <c r="AO193" s="1" t="s">
        <v>55</v>
      </c>
      <c r="AP193" s="1" t="s">
        <v>1138</v>
      </c>
      <c r="AQ193" s="3" t="str">
        <f>HYPERLINK("https://icf.clappia.com/app/GMB253374/submission/ZRW74127801/ICF247370-GMB253374-1m05eko3h5li00000000/SIG-20250703_1050pjaaf.jpeg", "SIG-20250703_1050pjaaf.jpeg")</f>
        <v>SIG-20250703_1050pjaaf.jpeg</v>
      </c>
      <c r="AR193" s="1" t="s">
        <v>1139</v>
      </c>
      <c r="AS193" s="3" t="str">
        <f>HYPERLINK("https://icf.clappia.com/app/GMB253374/submission/ZRW74127801/ICF247370-GMB253374-434n298oh31g00000000/SIG-20250703_1051pikj7.jpeg", "SIG-20250703_1051pikj7.jpeg")</f>
        <v>SIG-20250703_1051pikj7.jpeg</v>
      </c>
      <c r="AT193" s="1" t="s">
        <v>1140</v>
      </c>
      <c r="AU193" s="3" t="str">
        <f>HYPERLINK("https://icf.clappia.com/app/GMB253374/submission/ZRW74127801/ICF247370-GMB253374-mobja4ka0k6k0000000/SIG-20250703_105212jh4f.jpeg", "SIG-20250703_105212jh4f.jpeg")</f>
        <v>SIG-20250703_105212jh4f.jpeg</v>
      </c>
      <c r="AV193" s="3" t="str">
        <f>HYPERLINK("https://www.google.com/maps/place/7.924727%2C-11.4372862", "7.924727,-11.4372862")</f>
        <v>7.924727,-11.4372862</v>
      </c>
    </row>
    <row r="194" ht="15.75" customHeight="1">
      <c r="A194" s="1" t="s">
        <v>1141</v>
      </c>
      <c r="B194" s="1" t="s">
        <v>81</v>
      </c>
      <c r="C194" s="1" t="s">
        <v>1136</v>
      </c>
      <c r="D194" s="1" t="s">
        <v>1136</v>
      </c>
      <c r="E194" s="1" t="s">
        <v>1142</v>
      </c>
      <c r="F194" s="1" t="s">
        <v>64</v>
      </c>
      <c r="G194" s="1">
        <v>750.0</v>
      </c>
      <c r="H194" s="1" t="s">
        <v>50</v>
      </c>
      <c r="I194" s="1">
        <v>140.0</v>
      </c>
      <c r="J194" s="1">
        <v>65.0</v>
      </c>
      <c r="K194" s="1">
        <v>62.0</v>
      </c>
      <c r="L194" s="1">
        <v>75.0</v>
      </c>
      <c r="M194" s="1">
        <v>73.0</v>
      </c>
      <c r="N194" s="1" t="s">
        <v>51</v>
      </c>
      <c r="O194" s="1">
        <v>170.0</v>
      </c>
      <c r="P194" s="1">
        <v>74.0</v>
      </c>
      <c r="Q194" s="1">
        <v>72.0</v>
      </c>
      <c r="R194" s="1">
        <v>96.0</v>
      </c>
      <c r="S194" s="1">
        <v>94.0</v>
      </c>
      <c r="T194" s="1" t="s">
        <v>52</v>
      </c>
      <c r="U194" s="1">
        <v>190.0</v>
      </c>
      <c r="V194" s="1">
        <v>93.0</v>
      </c>
      <c r="W194" s="1">
        <v>93.0</v>
      </c>
      <c r="X194" s="1">
        <v>97.0</v>
      </c>
      <c r="Y194" s="1">
        <v>97.0</v>
      </c>
      <c r="Z194" s="1" t="s">
        <v>53</v>
      </c>
      <c r="AA194" s="1">
        <v>145.0</v>
      </c>
      <c r="AB194" s="1">
        <v>65.0</v>
      </c>
      <c r="AC194" s="1">
        <v>65.0</v>
      </c>
      <c r="AD194" s="1">
        <v>80.0</v>
      </c>
      <c r="AE194" s="1">
        <v>79.0</v>
      </c>
      <c r="AF194" s="1" t="s">
        <v>54</v>
      </c>
      <c r="AG194" s="1">
        <v>105.0</v>
      </c>
      <c r="AH194" s="1">
        <v>43.0</v>
      </c>
      <c r="AI194" s="1">
        <v>43.0</v>
      </c>
      <c r="AJ194" s="1">
        <v>62.0</v>
      </c>
      <c r="AK194" s="1">
        <v>62.0</v>
      </c>
      <c r="AL194" s="1">
        <v>740.0</v>
      </c>
      <c r="AM194" s="1">
        <v>10.0</v>
      </c>
      <c r="AN194" s="1" t="s">
        <v>55</v>
      </c>
      <c r="AO194" s="1" t="s">
        <v>55</v>
      </c>
      <c r="AP194" s="1" t="s">
        <v>1143</v>
      </c>
      <c r="AQ194" s="3" t="str">
        <f>HYPERLINK("https://icf.clappia.com/app/GMB253374/submission/INW48200268/ICF247370-GMB253374-66oj4f0298ek00000000/SIG-20250702_1434lm0da.jpeg", "SIG-20250702_1434lm0da.jpeg")</f>
        <v>SIG-20250702_1434lm0da.jpeg</v>
      </c>
      <c r="AR194" s="1" t="s">
        <v>1144</v>
      </c>
      <c r="AS194" s="3" t="str">
        <f>HYPERLINK("https://icf.clappia.com/app/GMB253374/submission/INW48200268/ICF247370-GMB253374-49p6bfjnplja00000000/SIG-20250702_143316kg44.jpeg", "SIG-20250702_143316kg44.jpeg")</f>
        <v>SIG-20250702_143316kg44.jpeg</v>
      </c>
      <c r="AT194" s="1" t="s">
        <v>1145</v>
      </c>
      <c r="AU194" s="3" t="str">
        <f>HYPERLINK("https://icf.clappia.com/app/GMB253374/submission/INW48200268/ICF247370-GMB253374-4c40j5hgkopa0000000/SIG-20250702_14345hh80.jpeg", "SIG-20250702_14345hh80.jpeg")</f>
        <v>SIG-20250702_14345hh80.jpeg</v>
      </c>
      <c r="AV194" s="3" t="str">
        <f>HYPERLINK("https://www.google.com/maps/place/7.957825%2C-11.7223417", "7.957825,-11.7223417")</f>
        <v>7.957825,-11.7223417</v>
      </c>
    </row>
    <row r="195" ht="15.75" customHeight="1">
      <c r="A195" s="1" t="s">
        <v>1146</v>
      </c>
      <c r="B195" s="1" t="s">
        <v>81</v>
      </c>
      <c r="C195" s="1" t="s">
        <v>1147</v>
      </c>
      <c r="D195" s="1" t="s">
        <v>1147</v>
      </c>
      <c r="E195" s="1" t="s">
        <v>1148</v>
      </c>
      <c r="F195" s="1" t="s">
        <v>64</v>
      </c>
      <c r="G195" s="1">
        <v>160.0</v>
      </c>
      <c r="H195" s="1" t="s">
        <v>50</v>
      </c>
      <c r="I195" s="1">
        <v>17.0</v>
      </c>
      <c r="J195" s="1">
        <v>11.0</v>
      </c>
      <c r="K195" s="1">
        <v>11.0</v>
      </c>
      <c r="L195" s="1">
        <v>6.0</v>
      </c>
      <c r="M195" s="1">
        <v>6.0</v>
      </c>
      <c r="N195" s="1" t="s">
        <v>51</v>
      </c>
      <c r="O195" s="1">
        <v>12.0</v>
      </c>
      <c r="P195" s="1">
        <v>7.0</v>
      </c>
      <c r="Q195" s="1">
        <v>7.0</v>
      </c>
      <c r="R195" s="1">
        <v>5.0</v>
      </c>
      <c r="S195" s="1">
        <v>5.0</v>
      </c>
      <c r="T195" s="1" t="s">
        <v>52</v>
      </c>
      <c r="U195" s="1">
        <v>14.0</v>
      </c>
      <c r="V195" s="1">
        <v>11.0</v>
      </c>
      <c r="W195" s="1">
        <v>11.0</v>
      </c>
      <c r="X195" s="1">
        <v>3.0</v>
      </c>
      <c r="Y195" s="1">
        <v>3.0</v>
      </c>
      <c r="Z195" s="1" t="s">
        <v>53</v>
      </c>
      <c r="AA195" s="1">
        <v>20.0</v>
      </c>
      <c r="AB195" s="1">
        <v>13.0</v>
      </c>
      <c r="AC195" s="1">
        <v>13.0</v>
      </c>
      <c r="AD195" s="1">
        <v>7.0</v>
      </c>
      <c r="AE195" s="1">
        <v>7.0</v>
      </c>
      <c r="AF195" s="1" t="s">
        <v>54</v>
      </c>
      <c r="AG195" s="1">
        <v>17.0</v>
      </c>
      <c r="AH195" s="1">
        <v>10.0</v>
      </c>
      <c r="AI195" s="1">
        <v>10.0</v>
      </c>
      <c r="AJ195" s="1">
        <v>7.0</v>
      </c>
      <c r="AK195" s="1">
        <v>7.0</v>
      </c>
      <c r="AL195" s="1">
        <v>80.0</v>
      </c>
      <c r="AM195" s="1" t="s">
        <v>55</v>
      </c>
      <c r="AN195" s="1">
        <v>80.0</v>
      </c>
      <c r="AO195" s="1">
        <v>80.0</v>
      </c>
      <c r="AP195" s="1" t="s">
        <v>1149</v>
      </c>
      <c r="AQ195" s="3" t="str">
        <f>HYPERLINK("https://icf.clappia.com/app/GMB253374/submission/NWX21603557/ICF247370-GMB253374-4dl5o5k57c7000000000/SIG-20250703_1048gi51k.jpeg", "SIG-20250703_1048gi51k.jpeg")</f>
        <v>SIG-20250703_1048gi51k.jpeg</v>
      </c>
      <c r="AR195" s="1" t="s">
        <v>1150</v>
      </c>
      <c r="AS195" s="3" t="str">
        <f>HYPERLINK("https://icf.clappia.com/app/GMB253374/submission/NWX21603557/ICF247370-GMB253374-4o96jfhc4fme00000000/SIG-20250703_1049pf8l8.jpeg", "SIG-20250703_1049pf8l8.jpeg")</f>
        <v>SIG-20250703_1049pf8l8.jpeg</v>
      </c>
      <c r="AT195" s="1" t="s">
        <v>1151</v>
      </c>
      <c r="AU195" s="3" t="str">
        <f>HYPERLINK("https://icf.clappia.com/app/GMB253374/submission/NWX21603557/ICF247370-GMB253374-56jn0p9fg4km00000000/SIG-20250703_1050hk9lm.jpeg", "SIG-20250703_1050hk9lm.jpeg")</f>
        <v>SIG-20250703_1050hk9lm.jpeg</v>
      </c>
      <c r="AV195" s="3" t="str">
        <f>HYPERLINK("https://www.google.com/maps/place/7.9142325%2C-11.716971", "7.9142325,-11.716971")</f>
        <v>7.9142325,-11.716971</v>
      </c>
    </row>
    <row r="196" ht="15.75" customHeight="1">
      <c r="A196" s="1" t="s">
        <v>1152</v>
      </c>
      <c r="B196" s="1" t="s">
        <v>81</v>
      </c>
      <c r="C196" s="1" t="s">
        <v>1153</v>
      </c>
      <c r="D196" s="1" t="s">
        <v>1153</v>
      </c>
      <c r="E196" s="1" t="s">
        <v>1154</v>
      </c>
      <c r="F196" s="1" t="s">
        <v>64</v>
      </c>
      <c r="G196" s="1">
        <v>356.0</v>
      </c>
      <c r="H196" s="1" t="s">
        <v>50</v>
      </c>
      <c r="I196" s="1">
        <v>68.0</v>
      </c>
      <c r="J196" s="1">
        <v>34.0</v>
      </c>
      <c r="K196" s="1">
        <v>34.0</v>
      </c>
      <c r="L196" s="1">
        <v>34.0</v>
      </c>
      <c r="M196" s="1">
        <v>34.0</v>
      </c>
      <c r="N196" s="1" t="s">
        <v>51</v>
      </c>
      <c r="O196" s="1">
        <v>67.0</v>
      </c>
      <c r="P196" s="1">
        <v>32.0</v>
      </c>
      <c r="Q196" s="1">
        <v>32.0</v>
      </c>
      <c r="R196" s="1">
        <v>35.0</v>
      </c>
      <c r="S196" s="1">
        <v>35.0</v>
      </c>
      <c r="T196" s="1" t="s">
        <v>52</v>
      </c>
      <c r="U196" s="1">
        <v>76.0</v>
      </c>
      <c r="V196" s="1">
        <v>46.0</v>
      </c>
      <c r="W196" s="1">
        <v>46.0</v>
      </c>
      <c r="X196" s="1">
        <v>30.0</v>
      </c>
      <c r="Y196" s="1">
        <v>30.0</v>
      </c>
      <c r="Z196" s="1" t="s">
        <v>53</v>
      </c>
      <c r="AA196" s="1">
        <v>81.0</v>
      </c>
      <c r="AB196" s="1">
        <v>42.0</v>
      </c>
      <c r="AC196" s="1">
        <v>42.0</v>
      </c>
      <c r="AD196" s="1">
        <v>39.0</v>
      </c>
      <c r="AE196" s="1">
        <v>39.0</v>
      </c>
      <c r="AF196" s="1" t="s">
        <v>54</v>
      </c>
      <c r="AG196" s="1">
        <v>64.0</v>
      </c>
      <c r="AH196" s="1">
        <v>25.0</v>
      </c>
      <c r="AI196" s="1">
        <v>25.0</v>
      </c>
      <c r="AJ196" s="1">
        <v>39.0</v>
      </c>
      <c r="AK196" s="1">
        <v>39.0</v>
      </c>
      <c r="AL196" s="1">
        <v>356.0</v>
      </c>
      <c r="AM196" s="1" t="s">
        <v>55</v>
      </c>
      <c r="AN196" s="1" t="s">
        <v>55</v>
      </c>
      <c r="AO196" s="1" t="s">
        <v>55</v>
      </c>
      <c r="AP196" s="1" t="s">
        <v>1155</v>
      </c>
      <c r="AQ196" s="3" t="str">
        <f>HYPERLINK("https://icf.clappia.com/app/GMB253374/submission/NEB50890964/ICF247370-GMB253374-4nh8akb4hmmc00000000/SIG-20250703_1040ak783.jpeg", "SIG-20250703_1040ak783.jpeg")</f>
        <v>SIG-20250703_1040ak783.jpeg</v>
      </c>
      <c r="AR196" s="1" t="s">
        <v>1156</v>
      </c>
      <c r="AS196" s="3" t="str">
        <f>HYPERLINK("https://icf.clappia.com/app/GMB253374/submission/NEB50890964/ICF247370-GMB253374-5nka5b2jkcc800000000/SIG-20250703_10441ie6n.jpeg", "SIG-20250703_10441ie6n.jpeg")</f>
        <v>SIG-20250703_10441ie6n.jpeg</v>
      </c>
      <c r="AT196" s="1" t="s">
        <v>1157</v>
      </c>
      <c r="AU196" s="3" t="str">
        <f>HYPERLINK("https://icf.clappia.com/app/GMB253374/submission/NEB50890964/ICF247370-GMB253374-520dho775koo00000000/SIG-20250703_104716igc1.jpeg", "SIG-20250703_104716igc1.jpeg")</f>
        <v>SIG-20250703_104716igc1.jpeg</v>
      </c>
      <c r="AV196" s="3" t="str">
        <f>HYPERLINK("https://www.google.com/maps/place/7.9360983%2C-11.729955", "7.9360983,-11.729955")</f>
        <v>7.9360983,-11.729955</v>
      </c>
    </row>
    <row r="197" ht="15.75" customHeight="1">
      <c r="A197" s="1" t="s">
        <v>1158</v>
      </c>
      <c r="B197" s="1" t="s">
        <v>81</v>
      </c>
      <c r="C197" s="1" t="s">
        <v>1159</v>
      </c>
      <c r="D197" s="1" t="s">
        <v>1159</v>
      </c>
      <c r="E197" s="1" t="s">
        <v>1160</v>
      </c>
      <c r="F197" s="1" t="s">
        <v>64</v>
      </c>
      <c r="G197" s="1">
        <v>62.0</v>
      </c>
      <c r="H197" s="1" t="s">
        <v>50</v>
      </c>
      <c r="I197" s="1">
        <v>11.0</v>
      </c>
      <c r="J197" s="1">
        <v>4.0</v>
      </c>
      <c r="K197" s="1">
        <v>4.0</v>
      </c>
      <c r="L197" s="1">
        <v>6.0</v>
      </c>
      <c r="M197" s="1">
        <v>6.0</v>
      </c>
      <c r="N197" s="1" t="s">
        <v>51</v>
      </c>
      <c r="O197" s="1">
        <v>15.0</v>
      </c>
      <c r="P197" s="1">
        <v>7.0</v>
      </c>
      <c r="Q197" s="1">
        <v>7.0</v>
      </c>
      <c r="R197" s="1">
        <v>8.0</v>
      </c>
      <c r="S197" s="1">
        <v>8.0</v>
      </c>
      <c r="T197" s="1" t="s">
        <v>52</v>
      </c>
      <c r="U197" s="1">
        <v>12.0</v>
      </c>
      <c r="V197" s="1">
        <v>7.0</v>
      </c>
      <c r="W197" s="1">
        <v>7.0</v>
      </c>
      <c r="X197" s="1">
        <v>5.0</v>
      </c>
      <c r="Y197" s="1">
        <v>5.0</v>
      </c>
      <c r="Z197" s="1" t="s">
        <v>53</v>
      </c>
      <c r="AA197" s="1">
        <v>12.0</v>
      </c>
      <c r="AB197" s="1">
        <v>5.0</v>
      </c>
      <c r="AC197" s="1">
        <v>5.0</v>
      </c>
      <c r="AD197" s="1">
        <v>7.0</v>
      </c>
      <c r="AE197" s="1">
        <v>7.0</v>
      </c>
      <c r="AF197" s="1" t="s">
        <v>54</v>
      </c>
      <c r="AG197" s="1">
        <v>12.0</v>
      </c>
      <c r="AH197" s="1">
        <v>5.0</v>
      </c>
      <c r="AI197" s="1">
        <v>5.0</v>
      </c>
      <c r="AJ197" s="1">
        <v>7.0</v>
      </c>
      <c r="AK197" s="1">
        <v>7.0</v>
      </c>
      <c r="AL197" s="1">
        <v>61.0</v>
      </c>
      <c r="AM197" s="1" t="s">
        <v>55</v>
      </c>
      <c r="AN197" s="1">
        <v>1.0</v>
      </c>
      <c r="AO197" s="1" t="s">
        <v>55</v>
      </c>
      <c r="AP197" s="1" t="s">
        <v>1161</v>
      </c>
      <c r="AQ197" s="3" t="str">
        <f>HYPERLINK("https://icf.clappia.com/app/GMB253374/submission/SSI47154244/ICF247370-GMB253374-3m276jk358ki00000000/SIG-20250702_1533mc8e3.jpeg", "SIG-20250702_1533mc8e3.jpeg")</f>
        <v>SIG-20250702_1533mc8e3.jpeg</v>
      </c>
      <c r="AR197" s="1" t="s">
        <v>1162</v>
      </c>
      <c r="AS197" s="3" t="str">
        <f>HYPERLINK("https://icf.clappia.com/app/GMB253374/submission/SSI47154244/ICF247370-GMB253374-2lo82bfi42h800000000/SIG-20250701_11558mnp.jpeg", "SIG-20250701_11558mnp.jpeg")</f>
        <v>SIG-20250701_11558mnp.jpeg</v>
      </c>
      <c r="AT197" s="1" t="s">
        <v>1163</v>
      </c>
      <c r="AU197" s="3" t="str">
        <f>HYPERLINK("https://icf.clappia.com/app/GMB253374/submission/SSI47154244/ICF247370-GMB253374-egkmj1jko7da0000000/SIG-20250701_12002bgbb.jpeg", "SIG-20250701_12002bgbb.jpeg")</f>
        <v>SIG-20250701_12002bgbb.jpeg</v>
      </c>
      <c r="AV197" s="3" t="str">
        <f>HYPERLINK("https://www.google.com/maps/place/7.9593746%2C-11.7522074", "7.9593746,-11.7522074")</f>
        <v>7.9593746,-11.7522074</v>
      </c>
    </row>
    <row r="198" ht="15.75" customHeight="1">
      <c r="A198" s="1" t="s">
        <v>1164</v>
      </c>
      <c r="B198" s="1" t="s">
        <v>81</v>
      </c>
      <c r="C198" s="1" t="s">
        <v>1165</v>
      </c>
      <c r="D198" s="1" t="s">
        <v>1165</v>
      </c>
      <c r="E198" s="1" t="s">
        <v>1166</v>
      </c>
      <c r="F198" s="1" t="s">
        <v>49</v>
      </c>
      <c r="G198" s="1">
        <v>245.0</v>
      </c>
      <c r="H198" s="1" t="s">
        <v>50</v>
      </c>
      <c r="I198" s="1">
        <v>35.0</v>
      </c>
      <c r="J198" s="1">
        <v>19.0</v>
      </c>
      <c r="K198" s="1">
        <v>17.0</v>
      </c>
      <c r="L198" s="1">
        <v>16.0</v>
      </c>
      <c r="M198" s="1">
        <v>14.0</v>
      </c>
      <c r="N198" s="1" t="s">
        <v>51</v>
      </c>
      <c r="O198" s="1">
        <v>40.0</v>
      </c>
      <c r="P198" s="1">
        <v>22.0</v>
      </c>
      <c r="Q198" s="1">
        <v>18.0</v>
      </c>
      <c r="R198" s="1">
        <v>18.0</v>
      </c>
      <c r="S198" s="1">
        <v>15.0</v>
      </c>
      <c r="T198" s="1" t="s">
        <v>52</v>
      </c>
      <c r="U198" s="1">
        <v>53.0</v>
      </c>
      <c r="V198" s="1">
        <v>34.0</v>
      </c>
      <c r="W198" s="1">
        <v>29.0</v>
      </c>
      <c r="X198" s="1">
        <v>19.0</v>
      </c>
      <c r="Y198" s="1">
        <v>17.0</v>
      </c>
      <c r="Z198" s="1" t="s">
        <v>53</v>
      </c>
      <c r="AA198" s="1">
        <v>53.0</v>
      </c>
      <c r="AB198" s="1">
        <v>21.0</v>
      </c>
      <c r="AC198" s="1">
        <v>19.0</v>
      </c>
      <c r="AD198" s="1">
        <v>32.0</v>
      </c>
      <c r="AE198" s="1">
        <v>29.0</v>
      </c>
      <c r="AF198" s="1" t="s">
        <v>54</v>
      </c>
      <c r="AG198" s="1">
        <v>57.0</v>
      </c>
      <c r="AH198" s="1">
        <v>30.0</v>
      </c>
      <c r="AI198" s="1">
        <v>28.0</v>
      </c>
      <c r="AJ198" s="1">
        <v>27.0</v>
      </c>
      <c r="AK198" s="1">
        <v>24.0</v>
      </c>
      <c r="AL198" s="1">
        <v>210.0</v>
      </c>
      <c r="AM198" s="1" t="s">
        <v>55</v>
      </c>
      <c r="AN198" s="1">
        <v>35.0</v>
      </c>
      <c r="AO198" s="1">
        <v>35.0</v>
      </c>
      <c r="AP198" s="1" t="s">
        <v>1167</v>
      </c>
      <c r="AQ198" s="3" t="str">
        <f>HYPERLINK("https://icf.clappia.com/app/GMB253374/submission/NVX66231644/ICF247370-GMB253374-5edg9j12jin600000000/SIG-20250702_12311852fd.jpeg", "SIG-20250702_12311852fd.jpeg")</f>
        <v>SIG-20250702_12311852fd.jpeg</v>
      </c>
      <c r="AR198" s="1" t="s">
        <v>1168</v>
      </c>
      <c r="AS198" s="3" t="str">
        <f>HYPERLINK("https://icf.clappia.com/app/GMB253374/submission/NVX66231644/ICF247370-GMB253374-5lphpe55bj9200000000/SIG-20250702_12332gp42.jpeg", "SIG-20250702_12332gp42.jpeg")</f>
        <v>SIG-20250702_12332gp42.jpeg</v>
      </c>
      <c r="AT198" s="1" t="s">
        <v>1169</v>
      </c>
      <c r="AU198" s="3" t="str">
        <f>HYPERLINK("https://icf.clappia.com/app/GMB253374/submission/NVX66231644/ICF247370-GMB253374-1ph09165e1gn20000000/SIG-20250702_12347kjc7.jpeg", "SIG-20250702_12347kjc7.jpeg")</f>
        <v>SIG-20250702_12347kjc7.jpeg</v>
      </c>
      <c r="AV198" s="3" t="str">
        <f>HYPERLINK("https://www.google.com/maps/place/7.9385887%2C-11.7187503", "7.9385887,-11.7187503")</f>
        <v>7.9385887,-11.7187503</v>
      </c>
    </row>
    <row r="199" ht="15.75" customHeight="1">
      <c r="A199" s="1" t="s">
        <v>1170</v>
      </c>
      <c r="B199" s="1" t="s">
        <v>167</v>
      </c>
      <c r="C199" s="1" t="s">
        <v>1171</v>
      </c>
      <c r="D199" s="1" t="s">
        <v>1171</v>
      </c>
      <c r="E199" s="1" t="s">
        <v>1172</v>
      </c>
      <c r="F199" s="1" t="s">
        <v>64</v>
      </c>
      <c r="G199" s="1">
        <v>280.0</v>
      </c>
      <c r="H199" s="1" t="s">
        <v>50</v>
      </c>
      <c r="I199" s="1">
        <v>56.0</v>
      </c>
      <c r="J199" s="1">
        <v>26.0</v>
      </c>
      <c r="K199" s="1">
        <v>26.0</v>
      </c>
      <c r="L199" s="1">
        <v>30.0</v>
      </c>
      <c r="M199" s="1">
        <v>30.0</v>
      </c>
      <c r="N199" s="1" t="s">
        <v>51</v>
      </c>
      <c r="O199" s="1">
        <v>50.0</v>
      </c>
      <c r="P199" s="1">
        <v>28.0</v>
      </c>
      <c r="Q199" s="1">
        <v>28.0</v>
      </c>
      <c r="R199" s="1">
        <v>22.0</v>
      </c>
      <c r="S199" s="1">
        <v>22.0</v>
      </c>
      <c r="T199" s="1" t="s">
        <v>52</v>
      </c>
      <c r="U199" s="1">
        <v>52.0</v>
      </c>
      <c r="V199" s="1">
        <v>22.0</v>
      </c>
      <c r="W199" s="1">
        <v>22.0</v>
      </c>
      <c r="X199" s="1">
        <v>30.0</v>
      </c>
      <c r="Y199" s="1">
        <v>30.0</v>
      </c>
      <c r="Z199" s="1" t="s">
        <v>53</v>
      </c>
      <c r="AA199" s="1">
        <v>60.0</v>
      </c>
      <c r="AB199" s="1">
        <v>28.0</v>
      </c>
      <c r="AC199" s="1">
        <v>28.0</v>
      </c>
      <c r="AD199" s="1">
        <v>32.0</v>
      </c>
      <c r="AE199" s="1">
        <v>32.0</v>
      </c>
      <c r="AF199" s="1" t="s">
        <v>54</v>
      </c>
      <c r="AG199" s="1">
        <v>52.0</v>
      </c>
      <c r="AH199" s="1">
        <v>22.0</v>
      </c>
      <c r="AI199" s="1">
        <v>22.0</v>
      </c>
      <c r="AJ199" s="1">
        <v>30.0</v>
      </c>
      <c r="AK199" s="1">
        <v>30.0</v>
      </c>
      <c r="AL199" s="1">
        <v>270.0</v>
      </c>
      <c r="AM199" s="1">
        <v>10.0</v>
      </c>
      <c r="AN199" s="1" t="s">
        <v>55</v>
      </c>
      <c r="AO199" s="1" t="s">
        <v>55</v>
      </c>
      <c r="AP199" s="1" t="s">
        <v>170</v>
      </c>
      <c r="AQ199" s="3" t="str">
        <f>HYPERLINK("https://icf.clappia.com/app/GMB253374/submission/MWY47306440/ICF247370-GMB253374-4nnk24746i6000000000/SIG-20250703_1036b7k5a.jpeg", "SIG-20250703_1036b7k5a.jpeg")</f>
        <v>SIG-20250703_1036b7k5a.jpeg</v>
      </c>
      <c r="AR199" s="1" t="s">
        <v>171</v>
      </c>
      <c r="AS199" s="3" t="str">
        <f>HYPERLINK("https://icf.clappia.com/app/GMB253374/submission/MWY47306440/ICF247370-GMB253374-4f4ffm7569ng00000000/SIG-20250703_1037opb6c.jpeg", "SIG-20250703_1037opb6c.jpeg")</f>
        <v>SIG-20250703_1037opb6c.jpeg</v>
      </c>
      <c r="AT199" s="1" t="s">
        <v>172</v>
      </c>
      <c r="AU199" s="3" t="str">
        <f>HYPERLINK("https://icf.clappia.com/app/GMB253374/submission/MWY47306440/ICF247370-GMB253374-5id5fpklicag00000000/SIG-20250703_1037cml84.jpeg", "SIG-20250703_1037cml84.jpeg")</f>
        <v>SIG-20250703_1037cml84.jpeg</v>
      </c>
      <c r="AV199" s="3" t="str">
        <f>HYPERLINK("https://www.google.com/maps/place/7.9334406%2C-11.7281919", "7.9334406,-11.7281919")</f>
        <v>7.9334406,-11.7281919</v>
      </c>
    </row>
    <row r="200" ht="15.75" customHeight="1">
      <c r="A200" s="1" t="s">
        <v>1173</v>
      </c>
      <c r="B200" s="1" t="s">
        <v>81</v>
      </c>
      <c r="C200" s="1" t="s">
        <v>1174</v>
      </c>
      <c r="D200" s="1" t="s">
        <v>1174</v>
      </c>
      <c r="E200" s="1" t="s">
        <v>1175</v>
      </c>
      <c r="F200" s="1" t="s">
        <v>64</v>
      </c>
      <c r="G200" s="1">
        <v>316.0</v>
      </c>
      <c r="H200" s="1" t="s">
        <v>50</v>
      </c>
      <c r="I200" s="1">
        <v>66.0</v>
      </c>
      <c r="J200" s="1">
        <v>33.0</v>
      </c>
      <c r="K200" s="1">
        <v>21.0</v>
      </c>
      <c r="L200" s="1">
        <v>33.0</v>
      </c>
      <c r="M200" s="1">
        <v>23.0</v>
      </c>
      <c r="N200" s="1" t="s">
        <v>51</v>
      </c>
      <c r="O200" s="1">
        <v>61.0</v>
      </c>
      <c r="P200" s="1">
        <v>30.0</v>
      </c>
      <c r="Q200" s="1">
        <v>25.0</v>
      </c>
      <c r="R200" s="1">
        <v>31.0</v>
      </c>
      <c r="S200" s="1">
        <v>26.0</v>
      </c>
      <c r="T200" s="1" t="s">
        <v>52</v>
      </c>
      <c r="U200" s="1">
        <v>61.0</v>
      </c>
      <c r="V200" s="1">
        <v>26.0</v>
      </c>
      <c r="W200" s="1">
        <v>20.0</v>
      </c>
      <c r="X200" s="1">
        <v>35.0</v>
      </c>
      <c r="Y200" s="1">
        <v>30.0</v>
      </c>
      <c r="Z200" s="1" t="s">
        <v>53</v>
      </c>
      <c r="AA200" s="1">
        <v>60.0</v>
      </c>
      <c r="AB200" s="1">
        <v>25.0</v>
      </c>
      <c r="AC200" s="1">
        <v>23.0</v>
      </c>
      <c r="AD200" s="1">
        <v>35.0</v>
      </c>
      <c r="AE200" s="1">
        <v>28.0</v>
      </c>
      <c r="AF200" s="1" t="s">
        <v>54</v>
      </c>
      <c r="AG200" s="1">
        <v>50.0</v>
      </c>
      <c r="AH200" s="1">
        <v>20.0</v>
      </c>
      <c r="AI200" s="1">
        <v>18.0</v>
      </c>
      <c r="AJ200" s="1">
        <v>30.0</v>
      </c>
      <c r="AK200" s="1">
        <v>24.0</v>
      </c>
      <c r="AL200" s="1">
        <v>238.0</v>
      </c>
      <c r="AM200" s="1" t="s">
        <v>55</v>
      </c>
      <c r="AN200" s="1">
        <v>78.0</v>
      </c>
      <c r="AO200" s="1">
        <v>75.0</v>
      </c>
      <c r="AP200" s="1" t="s">
        <v>125</v>
      </c>
      <c r="AQ200" s="3" t="str">
        <f>HYPERLINK("https://icf.clappia.com/app/GMB253374/submission/FBN47856380/ICF247370-GMB253374-3c34684k2f5400000000/SIG-20250703_10346pchh.jpeg", "SIG-20250703_10346pchh.jpeg")</f>
        <v>SIG-20250703_10346pchh.jpeg</v>
      </c>
      <c r="AR200" s="1" t="s">
        <v>126</v>
      </c>
      <c r="AS200" s="3" t="str">
        <f>HYPERLINK("https://icf.clappia.com/app/GMB253374/submission/FBN47856380/ICF247370-GMB253374-hbadlinc067a0000000/SIG-20250703_103518h4ai.jpeg", "SIG-20250703_103518h4ai.jpeg")</f>
        <v>SIG-20250703_103518h4ai.jpeg</v>
      </c>
      <c r="AT200" s="1" t="s">
        <v>127</v>
      </c>
      <c r="AU200" s="3" t="str">
        <f>HYPERLINK("https://icf.clappia.com/app/GMB253374/submission/FBN47856380/ICF247370-GMB253374-4ei3okgba1c800000000/SIG-20250703_1035iajii.jpeg", "SIG-20250703_1035iajii.jpeg")</f>
        <v>SIG-20250703_1035iajii.jpeg</v>
      </c>
      <c r="AV200" s="3" t="str">
        <f>HYPERLINK("https://www.google.com/maps/place/7.9793333%2C-11.7289367", "7.9793333,-11.7289367")</f>
        <v>7.9793333,-11.7289367</v>
      </c>
    </row>
    <row r="201" ht="15.75" customHeight="1">
      <c r="A201" s="1" t="s">
        <v>1176</v>
      </c>
      <c r="B201" s="1" t="s">
        <v>102</v>
      </c>
      <c r="C201" s="1" t="s">
        <v>1174</v>
      </c>
      <c r="D201" s="1" t="s">
        <v>1174</v>
      </c>
      <c r="E201" s="1" t="s">
        <v>1177</v>
      </c>
      <c r="F201" s="1" t="s">
        <v>64</v>
      </c>
      <c r="G201" s="1">
        <v>300.0</v>
      </c>
      <c r="H201" s="1" t="s">
        <v>50</v>
      </c>
      <c r="I201" s="1">
        <v>61.0</v>
      </c>
      <c r="J201" s="1">
        <v>38.0</v>
      </c>
      <c r="K201" s="1">
        <v>30.0</v>
      </c>
      <c r="L201" s="1">
        <v>23.0</v>
      </c>
      <c r="M201" s="1">
        <v>23.0</v>
      </c>
      <c r="N201" s="1" t="s">
        <v>51</v>
      </c>
      <c r="O201" s="1">
        <v>51.0</v>
      </c>
      <c r="P201" s="1">
        <v>23.0</v>
      </c>
      <c r="Q201" s="1">
        <v>18.0</v>
      </c>
      <c r="R201" s="1">
        <v>28.0</v>
      </c>
      <c r="S201" s="1">
        <v>14.0</v>
      </c>
      <c r="T201" s="1" t="s">
        <v>52</v>
      </c>
      <c r="U201" s="1">
        <v>65.0</v>
      </c>
      <c r="V201" s="1">
        <v>30.0</v>
      </c>
      <c r="W201" s="1">
        <v>21.0</v>
      </c>
      <c r="X201" s="1">
        <v>35.0</v>
      </c>
      <c r="Y201" s="1">
        <v>27.0</v>
      </c>
      <c r="Z201" s="1" t="s">
        <v>53</v>
      </c>
      <c r="AA201" s="1">
        <v>51.0</v>
      </c>
      <c r="AB201" s="1">
        <v>26.0</v>
      </c>
      <c r="AC201" s="1">
        <v>23.0</v>
      </c>
      <c r="AD201" s="1">
        <v>25.0</v>
      </c>
      <c r="AE201" s="1">
        <v>22.0</v>
      </c>
      <c r="AF201" s="1" t="s">
        <v>54</v>
      </c>
      <c r="AG201" s="1">
        <v>90.0</v>
      </c>
      <c r="AH201" s="1">
        <v>40.0</v>
      </c>
      <c r="AI201" s="1">
        <v>37.0</v>
      </c>
      <c r="AJ201" s="1">
        <v>50.0</v>
      </c>
      <c r="AK201" s="1">
        <v>35.0</v>
      </c>
      <c r="AL201" s="1">
        <v>250.0</v>
      </c>
      <c r="AM201" s="1" t="s">
        <v>55</v>
      </c>
      <c r="AN201" s="1">
        <v>50.0</v>
      </c>
      <c r="AO201" s="1">
        <v>50.0</v>
      </c>
      <c r="AP201" s="1" t="s">
        <v>223</v>
      </c>
      <c r="AQ201" s="3" t="str">
        <f>HYPERLINK("https://icf.clappia.com/app/GMB253374/submission/ULU51276543/ICF247370-GMB253374-6629887go63m0000000/SIG-20250702_114515i8me.jpeg", "SIG-20250702_114515i8me.jpeg")</f>
        <v>SIG-20250702_114515i8me.jpeg</v>
      </c>
      <c r="AR201" s="1" t="s">
        <v>224</v>
      </c>
      <c r="AS201" s="3" t="str">
        <f>HYPERLINK("https://icf.clappia.com/app/GMB253374/submission/ULU51276543/ICF247370-GMB253374-69o5e6655c0k00000000/SIG-20250702_1145ag67f.jpeg", "SIG-20250702_1145ag67f.jpeg")</f>
        <v>SIG-20250702_1145ag67f.jpeg</v>
      </c>
      <c r="AT201" s="1" t="s">
        <v>1178</v>
      </c>
      <c r="AU201" s="3" t="str">
        <f>HYPERLINK("https://icf.clappia.com/app/GMB253374/submission/ULU51276543/ICF247370-GMB253374-2eekh4p4an8800000000/SIG-20250702_114596kl.jpeg", "SIG-20250702_114596kl.jpeg")</f>
        <v>SIG-20250702_114596kl.jpeg</v>
      </c>
      <c r="AV201" s="3" t="str">
        <f>HYPERLINK("https://www.google.com/maps/place/9.1470887%2C-11.9619909", "9.1470887,-11.9619909")</f>
        <v>9.1470887,-11.9619909</v>
      </c>
    </row>
    <row r="202" ht="15.75" customHeight="1">
      <c r="A202" s="1" t="s">
        <v>1179</v>
      </c>
      <c r="B202" s="1" t="s">
        <v>161</v>
      </c>
      <c r="C202" s="1" t="s">
        <v>1174</v>
      </c>
      <c r="D202" s="1" t="s">
        <v>1174</v>
      </c>
      <c r="E202" s="1" t="s">
        <v>1180</v>
      </c>
      <c r="F202" s="1" t="s">
        <v>64</v>
      </c>
      <c r="G202" s="1">
        <v>100.0</v>
      </c>
      <c r="H202" s="1" t="s">
        <v>50</v>
      </c>
      <c r="I202" s="1">
        <v>13.0</v>
      </c>
      <c r="J202" s="1">
        <v>6.0</v>
      </c>
      <c r="K202" s="1">
        <v>6.0</v>
      </c>
      <c r="L202" s="1">
        <v>7.0</v>
      </c>
      <c r="M202" s="1">
        <v>7.0</v>
      </c>
      <c r="N202" s="1" t="s">
        <v>51</v>
      </c>
      <c r="O202" s="1">
        <v>9.0</v>
      </c>
      <c r="P202" s="1">
        <v>4.0</v>
      </c>
      <c r="Q202" s="1">
        <v>4.0</v>
      </c>
      <c r="R202" s="1">
        <v>5.0</v>
      </c>
      <c r="S202" s="1">
        <v>5.0</v>
      </c>
      <c r="T202" s="1" t="s">
        <v>52</v>
      </c>
      <c r="U202" s="1">
        <v>8.0</v>
      </c>
      <c r="V202" s="1">
        <v>5.0</v>
      </c>
      <c r="W202" s="1">
        <v>5.0</v>
      </c>
      <c r="X202" s="1">
        <v>3.0</v>
      </c>
      <c r="Y202" s="1">
        <v>3.0</v>
      </c>
      <c r="Z202" s="1" t="s">
        <v>53</v>
      </c>
      <c r="AA202" s="1">
        <v>10.0</v>
      </c>
      <c r="AB202" s="1">
        <v>4.0</v>
      </c>
      <c r="AC202" s="1">
        <v>4.0</v>
      </c>
      <c r="AD202" s="1">
        <v>6.0</v>
      </c>
      <c r="AE202" s="1">
        <v>6.0</v>
      </c>
      <c r="AF202" s="1" t="s">
        <v>54</v>
      </c>
      <c r="AG202" s="1">
        <v>15.0</v>
      </c>
      <c r="AH202" s="1">
        <v>8.0</v>
      </c>
      <c r="AI202" s="1">
        <v>8.0</v>
      </c>
      <c r="AJ202" s="1">
        <v>7.0</v>
      </c>
      <c r="AK202" s="1">
        <v>7.0</v>
      </c>
      <c r="AL202" s="1">
        <v>55.0</v>
      </c>
      <c r="AM202" s="1" t="s">
        <v>55</v>
      </c>
      <c r="AN202" s="1">
        <v>45.0</v>
      </c>
      <c r="AO202" s="1" t="s">
        <v>55</v>
      </c>
      <c r="AP202" s="1" t="s">
        <v>1181</v>
      </c>
      <c r="AQ202" s="3" t="str">
        <f>HYPERLINK("https://icf.clappia.com/app/GMB253374/submission/MLK70584207/ICF247370-GMB253374-31o2k1k7dela00000000/SIG-20250703_1033188h4a.jpeg", "SIG-20250703_1033188h4a.jpeg")</f>
        <v>SIG-20250703_1033188h4a.jpeg</v>
      </c>
      <c r="AR202" s="1" t="s">
        <v>1182</v>
      </c>
      <c r="AS202" s="3" t="str">
        <f>HYPERLINK("https://icf.clappia.com/app/GMB253374/submission/MLK70584207/ICF247370-GMB253374-23l149injpb8c0000000/SIG-20250703_10345m77h.jpeg", "SIG-20250703_10345m77h.jpeg")</f>
        <v>SIG-20250703_10345m77h.jpeg</v>
      </c>
      <c r="AT202" s="1" t="s">
        <v>1183</v>
      </c>
      <c r="AU202" s="3" t="str">
        <f>HYPERLINK("https://icf.clappia.com/app/GMB253374/submission/MLK70584207/ICF247370-GMB253374-2bd24ge3b0mae0000000/SIG-20250703_1034f5j95.jpeg", "SIG-20250703_1034f5j95.jpeg")</f>
        <v>SIG-20250703_1034f5j95.jpeg</v>
      </c>
      <c r="AV202" s="3" t="str">
        <f>HYPERLINK("https://www.google.com/maps/place/7.9303517%2C-11.7171333", "7.9303517,-11.7171333")</f>
        <v>7.9303517,-11.7171333</v>
      </c>
    </row>
    <row r="203" ht="15.75" customHeight="1">
      <c r="A203" s="1" t="s">
        <v>1184</v>
      </c>
      <c r="B203" s="1" t="s">
        <v>189</v>
      </c>
      <c r="C203" s="1" t="s">
        <v>1185</v>
      </c>
      <c r="D203" s="1" t="s">
        <v>1185</v>
      </c>
      <c r="E203" s="1" t="s">
        <v>1186</v>
      </c>
      <c r="F203" s="1" t="s">
        <v>49</v>
      </c>
      <c r="G203" s="1">
        <v>31.0</v>
      </c>
      <c r="H203" s="1" t="s">
        <v>50</v>
      </c>
      <c r="I203" s="1">
        <v>15.0</v>
      </c>
      <c r="J203" s="1">
        <v>7.0</v>
      </c>
      <c r="K203" s="1">
        <v>7.0</v>
      </c>
      <c r="L203" s="1">
        <v>8.0</v>
      </c>
      <c r="M203" s="1">
        <v>8.0</v>
      </c>
      <c r="N203" s="1" t="s">
        <v>51</v>
      </c>
      <c r="O203" s="1">
        <v>16.0</v>
      </c>
      <c r="P203" s="1">
        <v>8.0</v>
      </c>
      <c r="Q203" s="1">
        <v>8.0</v>
      </c>
      <c r="R203" s="1">
        <v>8.0</v>
      </c>
      <c r="S203" s="1">
        <v>8.0</v>
      </c>
      <c r="T203" s="1" t="s">
        <v>52</v>
      </c>
      <c r="U203" s="1" t="s">
        <v>55</v>
      </c>
      <c r="V203" s="1" t="s">
        <v>55</v>
      </c>
      <c r="W203" s="1" t="s">
        <v>55</v>
      </c>
      <c r="X203" s="1" t="s">
        <v>55</v>
      </c>
      <c r="Y203" s="1" t="s">
        <v>55</v>
      </c>
      <c r="Z203" s="1" t="s">
        <v>53</v>
      </c>
      <c r="AA203" s="1" t="s">
        <v>55</v>
      </c>
      <c r="AB203" s="1" t="s">
        <v>55</v>
      </c>
      <c r="AC203" s="1" t="s">
        <v>55</v>
      </c>
      <c r="AD203" s="1" t="s">
        <v>55</v>
      </c>
      <c r="AE203" s="1" t="s">
        <v>55</v>
      </c>
      <c r="AF203" s="1" t="s">
        <v>54</v>
      </c>
      <c r="AG203" s="1" t="s">
        <v>55</v>
      </c>
      <c r="AH203" s="1" t="s">
        <v>55</v>
      </c>
      <c r="AI203" s="1" t="s">
        <v>55</v>
      </c>
      <c r="AJ203" s="1" t="s">
        <v>55</v>
      </c>
      <c r="AK203" s="1" t="s">
        <v>55</v>
      </c>
      <c r="AL203" s="1">
        <v>31.0</v>
      </c>
      <c r="AM203" s="1" t="s">
        <v>55</v>
      </c>
      <c r="AN203" s="1" t="s">
        <v>55</v>
      </c>
      <c r="AO203" s="1" t="s">
        <v>55</v>
      </c>
      <c r="AP203" s="1" t="s">
        <v>1187</v>
      </c>
      <c r="AQ203" s="3" t="str">
        <f>HYPERLINK("https://icf.clappia.com/app/GMB253374/submission/TDV70896513/ICF247370-GMB253374-9g31fjl7l11e0000000/SIG-20250703_10203k7cl.jpeg", "SIG-20250703_10203k7cl.jpeg")</f>
        <v>SIG-20250703_10203k7cl.jpeg</v>
      </c>
      <c r="AR203" s="1" t="s">
        <v>1188</v>
      </c>
      <c r="AS203" s="3" t="str">
        <f>HYPERLINK("https://icf.clappia.com/app/GMB253374/submission/TDV70896513/ICF247370-GMB253374-1nm4f0kbpa9n60000000/SIG-20250703_1020eg38j.jpeg", "SIG-20250703_1020eg38j.jpeg")</f>
        <v>SIG-20250703_1020eg38j.jpeg</v>
      </c>
      <c r="AT203" s="1" t="s">
        <v>1189</v>
      </c>
      <c r="AU203" s="3" t="str">
        <f>HYPERLINK("https://icf.clappia.com/app/GMB253374/submission/TDV70896513/ICF247370-GMB253374-41p90mmpm7lm00000000/SIG-20250703_1021jnf1i.jpeg", "SIG-20250703_1021jnf1i.jpeg")</f>
        <v>SIG-20250703_1021jnf1i.jpeg</v>
      </c>
      <c r="AV203" s="3" t="str">
        <f>HYPERLINK("https://www.google.com/maps/place/8.8897216%2C-12.0546399", "8.8897216,-12.0546399")</f>
        <v>8.8897216,-12.0546399</v>
      </c>
    </row>
    <row r="204" ht="15.75" customHeight="1">
      <c r="A204" s="1" t="s">
        <v>1190</v>
      </c>
      <c r="B204" s="1" t="s">
        <v>81</v>
      </c>
      <c r="C204" s="1" t="s">
        <v>1191</v>
      </c>
      <c r="D204" s="1" t="s">
        <v>1191</v>
      </c>
      <c r="E204" s="1" t="s">
        <v>1192</v>
      </c>
      <c r="F204" s="1" t="s">
        <v>49</v>
      </c>
      <c r="G204" s="1">
        <v>95.0</v>
      </c>
      <c r="H204" s="1" t="s">
        <v>50</v>
      </c>
      <c r="I204" s="1">
        <v>15.0</v>
      </c>
      <c r="J204" s="1">
        <v>7.0</v>
      </c>
      <c r="K204" s="1">
        <v>7.0</v>
      </c>
      <c r="L204" s="1">
        <v>8.0</v>
      </c>
      <c r="M204" s="1">
        <v>8.0</v>
      </c>
      <c r="N204" s="1" t="s">
        <v>51</v>
      </c>
      <c r="O204" s="1">
        <v>7.0</v>
      </c>
      <c r="P204" s="1">
        <v>4.0</v>
      </c>
      <c r="Q204" s="1">
        <v>4.0</v>
      </c>
      <c r="R204" s="1">
        <v>3.0</v>
      </c>
      <c r="S204" s="1">
        <v>3.0</v>
      </c>
      <c r="T204" s="1" t="s">
        <v>52</v>
      </c>
      <c r="U204" s="1">
        <v>7.0</v>
      </c>
      <c r="V204" s="1">
        <v>2.0</v>
      </c>
      <c r="W204" s="1">
        <v>2.0</v>
      </c>
      <c r="X204" s="1">
        <v>5.0</v>
      </c>
      <c r="Y204" s="1">
        <v>5.0</v>
      </c>
      <c r="Z204" s="1" t="s">
        <v>53</v>
      </c>
      <c r="AA204" s="1">
        <v>10.0</v>
      </c>
      <c r="AB204" s="1">
        <v>7.0</v>
      </c>
      <c r="AC204" s="1">
        <v>7.0</v>
      </c>
      <c r="AD204" s="1">
        <v>3.0</v>
      </c>
      <c r="AE204" s="1">
        <v>3.0</v>
      </c>
      <c r="AF204" s="1" t="s">
        <v>54</v>
      </c>
      <c r="AG204" s="1">
        <v>5.0</v>
      </c>
      <c r="AH204" s="1">
        <v>2.0</v>
      </c>
      <c r="AI204" s="1">
        <v>2.0</v>
      </c>
      <c r="AJ204" s="1">
        <v>3.0</v>
      </c>
      <c r="AK204" s="1">
        <v>3.0</v>
      </c>
      <c r="AL204" s="1">
        <v>44.0</v>
      </c>
      <c r="AM204" s="1" t="s">
        <v>55</v>
      </c>
      <c r="AN204" s="1">
        <v>51.0</v>
      </c>
      <c r="AO204" s="1">
        <v>51.0</v>
      </c>
      <c r="AP204" s="1" t="s">
        <v>1193</v>
      </c>
      <c r="AQ204" s="3" t="str">
        <f>HYPERLINK("https://icf.clappia.com/app/GMB253374/submission/GSA77897528/ICF247370-GMB253374-2o5eb3ebp3lc00000000/SIG-20250703_1015ch67j.jpeg", "SIG-20250703_1015ch67j.jpeg")</f>
        <v>SIG-20250703_1015ch67j.jpeg</v>
      </c>
      <c r="AR204" s="1" t="s">
        <v>1194</v>
      </c>
      <c r="AS204" s="3" t="str">
        <f>HYPERLINK("https://icf.clappia.com/app/GMB253374/submission/GSA77897528/ICF247370-GMB253374-1a76mckdlll3m0000000/SIG-20250703_101611914f.jpeg", "SIG-20250703_101611914f.jpeg")</f>
        <v>SIG-20250703_101611914f.jpeg</v>
      </c>
      <c r="AT204" s="1" t="s">
        <v>1195</v>
      </c>
      <c r="AU204" s="3" t="str">
        <f>HYPERLINK("https://icf.clappia.com/app/GMB253374/submission/GSA77897528/ICF247370-GMB253374-37ina8m5bm0800000000/SIG-20250703_10165fhg1.jpeg", "SIG-20250703_10165fhg1.jpeg")</f>
        <v>SIG-20250703_10165fhg1.jpeg</v>
      </c>
      <c r="AV204" s="3" t="str">
        <f>HYPERLINK("https://www.google.com/maps/place/7.9406166%2C-11.7153998", "7.9406166,-11.7153998")</f>
        <v>7.9406166,-11.7153998</v>
      </c>
    </row>
    <row r="205" ht="15.75" customHeight="1">
      <c r="A205" s="1" t="s">
        <v>1196</v>
      </c>
      <c r="B205" s="1" t="s">
        <v>161</v>
      </c>
      <c r="C205" s="1" t="s">
        <v>1197</v>
      </c>
      <c r="D205" s="1" t="s">
        <v>1198</v>
      </c>
      <c r="E205" s="1" t="s">
        <v>1199</v>
      </c>
      <c r="F205" s="1" t="s">
        <v>64</v>
      </c>
      <c r="G205" s="1">
        <v>100.0</v>
      </c>
      <c r="H205" s="1" t="s">
        <v>50</v>
      </c>
      <c r="I205" s="1">
        <v>32.0</v>
      </c>
      <c r="J205" s="1">
        <v>10.0</v>
      </c>
      <c r="K205" s="1">
        <v>10.0</v>
      </c>
      <c r="L205" s="1">
        <v>22.0</v>
      </c>
      <c r="M205" s="1">
        <v>20.0</v>
      </c>
      <c r="N205" s="1" t="s">
        <v>51</v>
      </c>
      <c r="O205" s="1">
        <v>18.0</v>
      </c>
      <c r="P205" s="1">
        <v>10.0</v>
      </c>
      <c r="Q205" s="1">
        <v>10.0</v>
      </c>
      <c r="R205" s="1">
        <v>8.0</v>
      </c>
      <c r="S205" s="1">
        <v>8.0</v>
      </c>
      <c r="T205" s="1" t="s">
        <v>52</v>
      </c>
      <c r="U205" s="1">
        <v>19.0</v>
      </c>
      <c r="V205" s="1">
        <v>9.0</v>
      </c>
      <c r="W205" s="1">
        <v>8.0</v>
      </c>
      <c r="X205" s="1">
        <v>10.0</v>
      </c>
      <c r="Y205" s="1">
        <v>9.0</v>
      </c>
      <c r="Z205" s="1" t="s">
        <v>53</v>
      </c>
      <c r="AA205" s="1">
        <v>13.0</v>
      </c>
      <c r="AB205" s="1">
        <v>7.0</v>
      </c>
      <c r="AC205" s="1">
        <v>7.0</v>
      </c>
      <c r="AD205" s="1">
        <v>6.0</v>
      </c>
      <c r="AE205" s="1">
        <v>6.0</v>
      </c>
      <c r="AF205" s="1" t="s">
        <v>54</v>
      </c>
      <c r="AG205" s="1">
        <v>18.0</v>
      </c>
      <c r="AH205" s="1">
        <v>8.0</v>
      </c>
      <c r="AI205" s="1">
        <v>8.0</v>
      </c>
      <c r="AJ205" s="1">
        <v>10.0</v>
      </c>
      <c r="AK205" s="1">
        <v>10.0</v>
      </c>
      <c r="AL205" s="1">
        <v>96.0</v>
      </c>
      <c r="AM205" s="1">
        <v>4.0</v>
      </c>
      <c r="AN205" s="1" t="s">
        <v>55</v>
      </c>
      <c r="AO205" s="1" t="s">
        <v>55</v>
      </c>
      <c r="AP205" s="1" t="s">
        <v>1200</v>
      </c>
      <c r="AQ205" s="3" t="str">
        <f>HYPERLINK("https://icf.clappia.com/app/GMB253374/submission/NAC07266887/ICF247370-GMB253374-43b48df8kd2k00000000/SIG-20250703_09557g64l.jpeg", "SIG-20250703_09557g64l.jpeg")</f>
        <v>SIG-20250703_09557g64l.jpeg</v>
      </c>
      <c r="AR205" s="1" t="s">
        <v>1201</v>
      </c>
      <c r="AS205" s="3" t="str">
        <f>HYPERLINK("https://icf.clappia.com/app/GMB253374/submission/NAC07266887/ICF247370-GMB253374-2p58coooj4mk00000000/SIG-20250703_0955g3hap.jpeg", "SIG-20250703_0955g3hap.jpeg")</f>
        <v>SIG-20250703_0955g3hap.jpeg</v>
      </c>
      <c r="AT205" s="1" t="s">
        <v>1202</v>
      </c>
      <c r="AU205" s="3" t="str">
        <f>HYPERLINK("https://icf.clappia.com/app/GMB253374/submission/NAC07266887/ICF247370-GMB253374-2an91f59cel4e0000000/SIG-20250703_0956841d6.jpeg", "SIG-20250703_0956841d6.jpeg")</f>
        <v>SIG-20250703_0956841d6.jpeg</v>
      </c>
      <c r="AV205" s="3" t="str">
        <f>HYPERLINK("https://www.google.com/maps/place/7.9426017%2C-11.6663533", "7.9426017,-11.6663533")</f>
        <v>7.9426017,-11.6663533</v>
      </c>
    </row>
    <row r="206" ht="15.75" customHeight="1">
      <c r="A206" s="1" t="s">
        <v>1203</v>
      </c>
      <c r="B206" s="1" t="s">
        <v>189</v>
      </c>
      <c r="C206" s="1" t="s">
        <v>1198</v>
      </c>
      <c r="D206" s="1" t="s">
        <v>1198</v>
      </c>
      <c r="E206" s="1" t="s">
        <v>1204</v>
      </c>
      <c r="F206" s="1" t="s">
        <v>49</v>
      </c>
      <c r="G206" s="1">
        <v>231.0</v>
      </c>
      <c r="H206" s="1" t="s">
        <v>50</v>
      </c>
      <c r="I206" s="1">
        <v>60.0</v>
      </c>
      <c r="J206" s="1">
        <v>34.0</v>
      </c>
      <c r="K206" s="1">
        <v>34.0</v>
      </c>
      <c r="L206" s="1">
        <v>26.0</v>
      </c>
      <c r="M206" s="1">
        <v>26.0</v>
      </c>
      <c r="N206" s="1" t="s">
        <v>51</v>
      </c>
      <c r="O206" s="1">
        <v>56.0</v>
      </c>
      <c r="P206" s="1">
        <v>26.0</v>
      </c>
      <c r="Q206" s="1">
        <v>26.0</v>
      </c>
      <c r="R206" s="1">
        <v>30.0</v>
      </c>
      <c r="S206" s="1">
        <v>30.0</v>
      </c>
      <c r="T206" s="1" t="s">
        <v>52</v>
      </c>
      <c r="U206" s="1">
        <v>48.0</v>
      </c>
      <c r="V206" s="1">
        <v>32.0</v>
      </c>
      <c r="W206" s="1">
        <v>32.0</v>
      </c>
      <c r="X206" s="1">
        <v>16.0</v>
      </c>
      <c r="Y206" s="1">
        <v>16.0</v>
      </c>
      <c r="Z206" s="1" t="s">
        <v>53</v>
      </c>
      <c r="AA206" s="1">
        <v>45.0</v>
      </c>
      <c r="AB206" s="1">
        <v>19.0</v>
      </c>
      <c r="AC206" s="1">
        <v>19.0</v>
      </c>
      <c r="AD206" s="1">
        <v>26.0</v>
      </c>
      <c r="AE206" s="1">
        <v>24.0</v>
      </c>
      <c r="AF206" s="1" t="s">
        <v>54</v>
      </c>
      <c r="AG206" s="1">
        <v>22.0</v>
      </c>
      <c r="AH206" s="1">
        <v>12.0</v>
      </c>
      <c r="AI206" s="1">
        <v>12.0</v>
      </c>
      <c r="AJ206" s="1">
        <v>10.0</v>
      </c>
      <c r="AK206" s="1">
        <v>10.0</v>
      </c>
      <c r="AL206" s="1">
        <v>229.0</v>
      </c>
      <c r="AM206" s="1" t="s">
        <v>55</v>
      </c>
      <c r="AN206" s="1">
        <v>2.0</v>
      </c>
      <c r="AO206" s="1">
        <v>2.0</v>
      </c>
      <c r="AP206" s="1" t="s">
        <v>1205</v>
      </c>
      <c r="AQ206" s="3" t="str">
        <f>HYPERLINK("https://icf.clappia.com/app/GMB253374/submission/YSH85598555/ICF247370-GMB253374-k49aea139n1i0000000/SIG-20250703_102861k2e.jpeg", "SIG-20250703_102861k2e.jpeg")</f>
        <v>SIG-20250703_102861k2e.jpeg</v>
      </c>
      <c r="AR206" s="1" t="s">
        <v>1206</v>
      </c>
      <c r="AS206" s="3" t="str">
        <f>HYPERLINK("https://icf.clappia.com/app/GMB253374/submission/YSH85598555/ICF247370-GMB253374-4e0d6d05akkk00000000/SIG-20250703_102811m9ek.jpeg", "SIG-20250703_102811m9ek.jpeg")</f>
        <v>SIG-20250703_102811m9ek.jpeg</v>
      </c>
      <c r="AT206" s="1" t="s">
        <v>1207</v>
      </c>
      <c r="AU206" s="3" t="str">
        <f>HYPERLINK("https://icf.clappia.com/app/GMB253374/submission/YSH85598555/ICF247370-GMB253374-27jp8obb0j8ik0000000/SIG-20250703_10297fp05.jpeg", "SIG-20250703_10297fp05.jpeg")</f>
        <v>SIG-20250703_10297fp05.jpeg</v>
      </c>
      <c r="AV206" s="3" t="str">
        <f>HYPERLINK("https://www.google.com/maps/place/8.86593%2C-12.0433117", "8.86593,-12.0433117")</f>
        <v>8.86593,-12.0433117</v>
      </c>
    </row>
    <row r="207" ht="15.75" customHeight="1">
      <c r="A207" s="1" t="s">
        <v>1208</v>
      </c>
      <c r="B207" s="1" t="s">
        <v>802</v>
      </c>
      <c r="C207" s="1" t="s">
        <v>1209</v>
      </c>
      <c r="D207" s="1" t="s">
        <v>1210</v>
      </c>
      <c r="E207" s="1" t="s">
        <v>1211</v>
      </c>
      <c r="F207" s="1" t="s">
        <v>64</v>
      </c>
      <c r="G207" s="1">
        <v>237.0</v>
      </c>
      <c r="H207" s="1" t="s">
        <v>50</v>
      </c>
      <c r="I207" s="1">
        <v>67.0</v>
      </c>
      <c r="J207" s="1">
        <v>43.0</v>
      </c>
      <c r="K207" s="1">
        <v>43.0</v>
      </c>
      <c r="L207" s="1">
        <v>24.0</v>
      </c>
      <c r="M207" s="1">
        <v>24.0</v>
      </c>
      <c r="N207" s="1" t="s">
        <v>51</v>
      </c>
      <c r="O207" s="1">
        <v>53.0</v>
      </c>
      <c r="P207" s="1">
        <v>23.0</v>
      </c>
      <c r="Q207" s="1">
        <v>23.0</v>
      </c>
      <c r="R207" s="1">
        <v>30.0</v>
      </c>
      <c r="S207" s="1">
        <v>30.0</v>
      </c>
      <c r="T207" s="1" t="s">
        <v>52</v>
      </c>
      <c r="U207" s="1">
        <v>47.0</v>
      </c>
      <c r="V207" s="1">
        <v>30.0</v>
      </c>
      <c r="W207" s="1">
        <v>30.0</v>
      </c>
      <c r="X207" s="1">
        <v>17.0</v>
      </c>
      <c r="Y207" s="1">
        <v>17.0</v>
      </c>
      <c r="Z207" s="1" t="s">
        <v>53</v>
      </c>
      <c r="AA207" s="1">
        <v>40.0</v>
      </c>
      <c r="AB207" s="1">
        <v>25.0</v>
      </c>
      <c r="AC207" s="1">
        <v>25.0</v>
      </c>
      <c r="AD207" s="1">
        <v>15.0</v>
      </c>
      <c r="AE207" s="1">
        <v>15.0</v>
      </c>
      <c r="AF207" s="1" t="s">
        <v>54</v>
      </c>
      <c r="AG207" s="1">
        <v>30.0</v>
      </c>
      <c r="AH207" s="1">
        <v>10.0</v>
      </c>
      <c r="AI207" s="1">
        <v>10.0</v>
      </c>
      <c r="AJ207" s="1">
        <v>13.0</v>
      </c>
      <c r="AK207" s="1">
        <v>13.0</v>
      </c>
      <c r="AL207" s="1">
        <v>230.0</v>
      </c>
      <c r="AM207" s="1">
        <v>7.0</v>
      </c>
      <c r="AN207" s="1" t="s">
        <v>55</v>
      </c>
      <c r="AO207" s="1" t="s">
        <v>55</v>
      </c>
      <c r="AP207" s="1" t="s">
        <v>1212</v>
      </c>
      <c r="AQ207" s="3" t="str">
        <f>HYPERLINK("https://icf.clappia.com/app/GMB253374/submission/LAO92566947/ICF247370-GMB253374-kg6g4n0g144g0000000/SIG-20250703_0942p3eco.jpeg", "SIG-20250703_0942p3eco.jpeg")</f>
        <v>SIG-20250703_0942p3eco.jpeg</v>
      </c>
      <c r="AR207" s="1" t="s">
        <v>1213</v>
      </c>
      <c r="AS207" s="3" t="str">
        <f>HYPERLINK("https://icf.clappia.com/app/GMB253374/submission/LAO92566947/ICF247370-GMB253374-5flgdhej1ig400000000/SIG-20250703_094318mmb2.jpeg", "SIG-20250703_094318mmb2.jpeg")</f>
        <v>SIG-20250703_094318mmb2.jpeg</v>
      </c>
      <c r="AT207" s="1" t="s">
        <v>1214</v>
      </c>
      <c r="AU207" s="3" t="str">
        <f>HYPERLINK("https://icf.clappia.com/app/GMB253374/submission/LAO92566947/ICF247370-GMB253374-19p25j5a6fae40000000/SIG-20250703_09434nigk.jpeg", "SIG-20250703_09434nigk.jpeg")</f>
        <v>SIG-20250703_09434nigk.jpeg</v>
      </c>
      <c r="AV207" s="3" t="str">
        <f>HYPERLINK("https://www.google.com/maps/place/7.77417%2C-11.4667333", "7.77417,-11.4667333")</f>
        <v>7.77417,-11.4667333</v>
      </c>
    </row>
    <row r="208" ht="15.75" customHeight="1">
      <c r="A208" s="1" t="s">
        <v>1215</v>
      </c>
      <c r="B208" s="1" t="s">
        <v>335</v>
      </c>
      <c r="C208" s="1" t="s">
        <v>1216</v>
      </c>
      <c r="D208" s="1" t="s">
        <v>1216</v>
      </c>
      <c r="E208" s="1" t="s">
        <v>1217</v>
      </c>
      <c r="F208" s="1" t="s">
        <v>64</v>
      </c>
      <c r="G208" s="1">
        <v>152.0</v>
      </c>
      <c r="H208" s="1" t="s">
        <v>50</v>
      </c>
      <c r="I208" s="1">
        <v>38.0</v>
      </c>
      <c r="J208" s="1">
        <v>16.0</v>
      </c>
      <c r="K208" s="1">
        <v>15.0</v>
      </c>
      <c r="L208" s="1">
        <v>20.0</v>
      </c>
      <c r="M208" s="1">
        <v>20.0</v>
      </c>
      <c r="N208" s="1" t="s">
        <v>51</v>
      </c>
      <c r="O208" s="1">
        <v>40.0</v>
      </c>
      <c r="P208" s="1">
        <v>20.0</v>
      </c>
      <c r="Q208" s="1">
        <v>20.0</v>
      </c>
      <c r="R208" s="1">
        <v>19.0</v>
      </c>
      <c r="S208" s="1">
        <v>18.0</v>
      </c>
      <c r="T208" s="1" t="s">
        <v>52</v>
      </c>
      <c r="U208" s="1">
        <v>16.0</v>
      </c>
      <c r="V208" s="1">
        <v>8.0</v>
      </c>
      <c r="W208" s="1">
        <v>8.0</v>
      </c>
      <c r="X208" s="1">
        <v>8.0</v>
      </c>
      <c r="Y208" s="1">
        <v>8.0</v>
      </c>
      <c r="Z208" s="1" t="s">
        <v>53</v>
      </c>
      <c r="AA208" s="1">
        <v>25.0</v>
      </c>
      <c r="AB208" s="1">
        <v>12.0</v>
      </c>
      <c r="AC208" s="1">
        <v>10.0</v>
      </c>
      <c r="AD208" s="1">
        <v>13.0</v>
      </c>
      <c r="AE208" s="1">
        <v>13.0</v>
      </c>
      <c r="AF208" s="1" t="s">
        <v>54</v>
      </c>
      <c r="AG208" s="1">
        <v>30.0</v>
      </c>
      <c r="AH208" s="1">
        <v>12.0</v>
      </c>
      <c r="AI208" s="1">
        <v>12.0</v>
      </c>
      <c r="AJ208" s="1">
        <v>18.0</v>
      </c>
      <c r="AK208" s="1">
        <v>18.0</v>
      </c>
      <c r="AL208" s="1">
        <v>142.0</v>
      </c>
      <c r="AM208" s="1">
        <v>10.0</v>
      </c>
      <c r="AN208" s="1" t="s">
        <v>55</v>
      </c>
      <c r="AO208" s="1" t="s">
        <v>55</v>
      </c>
      <c r="AP208" s="1" t="s">
        <v>1218</v>
      </c>
      <c r="AQ208" s="3" t="str">
        <f>HYPERLINK("https://icf.clappia.com/app/GMB253374/submission/XSJ93890299/ICF247370-GMB253374-2paa4pbh036e00000000/SIG-20250703_1017709f8.jpeg", "SIG-20250703_1017709f8.jpeg")</f>
        <v>SIG-20250703_1017709f8.jpeg</v>
      </c>
      <c r="AR208" s="1" t="s">
        <v>1219</v>
      </c>
      <c r="AS208" s="3" t="str">
        <f>HYPERLINK("https://icf.clappia.com/app/GMB253374/submission/XSJ93890299/ICF247370-GMB253374-3ogn4adio2ii00000000/SIG-20250703_10181k2ag.jpeg", "SIG-20250703_10181k2ag.jpeg")</f>
        <v>SIG-20250703_10181k2ag.jpeg</v>
      </c>
      <c r="AT208" s="1" t="s">
        <v>1220</v>
      </c>
      <c r="AU208" s="3" t="str">
        <f>HYPERLINK("https://icf.clappia.com/app/GMB253374/submission/XSJ93890299/ICF247370-GMB253374-59pf8mj77nh600000000/SIG-20250703_1020b2515.jpeg", "SIG-20250703_1020b2515.jpeg")</f>
        <v>SIG-20250703_1020b2515.jpeg</v>
      </c>
      <c r="AV208" s="3" t="str">
        <f>HYPERLINK("https://www.google.com/maps/place/8.12706%2C-11.6527317", "8.12706,-11.6527317")</f>
        <v>8.12706,-11.6527317</v>
      </c>
    </row>
    <row r="209" ht="15.75" customHeight="1">
      <c r="A209" s="1" t="s">
        <v>1221</v>
      </c>
      <c r="B209" s="1" t="s">
        <v>161</v>
      </c>
      <c r="C209" s="1" t="s">
        <v>1222</v>
      </c>
      <c r="D209" s="1" t="s">
        <v>1222</v>
      </c>
      <c r="E209" s="1" t="s">
        <v>1223</v>
      </c>
      <c r="F209" s="1" t="s">
        <v>64</v>
      </c>
      <c r="G209" s="1">
        <v>263.0</v>
      </c>
      <c r="H209" s="1" t="s">
        <v>50</v>
      </c>
      <c r="I209" s="1">
        <v>100.0</v>
      </c>
      <c r="J209" s="1">
        <v>45.0</v>
      </c>
      <c r="K209" s="1">
        <v>45.0</v>
      </c>
      <c r="L209" s="1">
        <v>55.0</v>
      </c>
      <c r="M209" s="1">
        <v>55.0</v>
      </c>
      <c r="N209" s="1" t="s">
        <v>51</v>
      </c>
      <c r="O209" s="1">
        <v>85.0</v>
      </c>
      <c r="P209" s="1">
        <v>40.0</v>
      </c>
      <c r="Q209" s="1">
        <v>40.0</v>
      </c>
      <c r="R209" s="1">
        <v>45.0</v>
      </c>
      <c r="S209" s="1">
        <v>45.0</v>
      </c>
      <c r="T209" s="1" t="s">
        <v>52</v>
      </c>
      <c r="U209" s="1">
        <v>78.0</v>
      </c>
      <c r="V209" s="1">
        <v>38.0</v>
      </c>
      <c r="W209" s="1">
        <v>38.0</v>
      </c>
      <c r="X209" s="1">
        <v>40.0</v>
      </c>
      <c r="Y209" s="1">
        <v>40.0</v>
      </c>
      <c r="Z209" s="1" t="s">
        <v>53</v>
      </c>
      <c r="AA209" s="1" t="s">
        <v>55</v>
      </c>
      <c r="AB209" s="1" t="s">
        <v>55</v>
      </c>
      <c r="AC209" s="1" t="s">
        <v>55</v>
      </c>
      <c r="AD209" s="1" t="s">
        <v>55</v>
      </c>
      <c r="AE209" s="1" t="s">
        <v>55</v>
      </c>
      <c r="AF209" s="1" t="s">
        <v>54</v>
      </c>
      <c r="AG209" s="1" t="s">
        <v>55</v>
      </c>
      <c r="AH209" s="1" t="s">
        <v>55</v>
      </c>
      <c r="AI209" s="1" t="s">
        <v>55</v>
      </c>
      <c r="AJ209" s="1" t="s">
        <v>55</v>
      </c>
      <c r="AK209" s="1" t="s">
        <v>55</v>
      </c>
      <c r="AL209" s="1">
        <v>263.0</v>
      </c>
      <c r="AM209" s="1" t="s">
        <v>55</v>
      </c>
      <c r="AN209" s="1" t="s">
        <v>55</v>
      </c>
      <c r="AO209" s="1" t="s">
        <v>55</v>
      </c>
      <c r="AP209" s="1" t="s">
        <v>1224</v>
      </c>
      <c r="AQ209" s="3" t="str">
        <f>HYPERLINK("https://icf.clappia.com/app/GMB253374/submission/QOU18765372/ICF247370-GMB253374-43ob314c4omg00000000/SIG-20250703_1014i001e.jpeg", "SIG-20250703_1014i001e.jpeg")</f>
        <v>SIG-20250703_1014i001e.jpeg</v>
      </c>
      <c r="AR209" s="1" t="s">
        <v>1225</v>
      </c>
      <c r="AS209" s="3" t="str">
        <f>HYPERLINK("https://icf.clappia.com/app/GMB253374/submission/QOU18765372/ICF247370-GMB253374-503h77chcfa800000000/SIG-20250703_101591com.jpeg", "SIG-20250703_101591com.jpeg")</f>
        <v>SIG-20250703_101591com.jpeg</v>
      </c>
      <c r="AT209" s="1" t="s">
        <v>1226</v>
      </c>
      <c r="AU209" s="3" t="str">
        <f>HYPERLINK("https://icf.clappia.com/app/GMB253374/submission/QOU18765372/ICF247370-GMB253374-p9jd02eakehe0000000/SIG-20250703_1016jjhl0.jpeg", "SIG-20250703_1016jjhl0.jpeg")</f>
        <v>SIG-20250703_1016jjhl0.jpeg</v>
      </c>
      <c r="AV209" s="3" t="str">
        <f>HYPERLINK("https://www.google.com/maps/place/7.9777583%2C-11.5934667", "7.9777583,-11.5934667")</f>
        <v>7.9777583,-11.5934667</v>
      </c>
    </row>
    <row r="210" ht="15.75" customHeight="1">
      <c r="A210" s="1" t="s">
        <v>1227</v>
      </c>
      <c r="B210" s="1" t="s">
        <v>46</v>
      </c>
      <c r="C210" s="1" t="s">
        <v>1222</v>
      </c>
      <c r="D210" s="1" t="s">
        <v>1222</v>
      </c>
      <c r="E210" s="1" t="s">
        <v>1228</v>
      </c>
      <c r="F210" s="1" t="s">
        <v>64</v>
      </c>
      <c r="G210" s="1">
        <v>150.0</v>
      </c>
      <c r="H210" s="1" t="s">
        <v>50</v>
      </c>
      <c r="I210" s="1">
        <v>70.0</v>
      </c>
      <c r="J210" s="1">
        <v>38.0</v>
      </c>
      <c r="K210" s="1">
        <v>19.0</v>
      </c>
      <c r="L210" s="1">
        <v>32.0</v>
      </c>
      <c r="M210" s="1">
        <v>11.0</v>
      </c>
      <c r="N210" s="1" t="s">
        <v>51</v>
      </c>
      <c r="O210" s="1">
        <v>79.0</v>
      </c>
      <c r="P210" s="1">
        <v>13.0</v>
      </c>
      <c r="Q210" s="1">
        <v>13.0</v>
      </c>
      <c r="R210" s="1">
        <v>11.0</v>
      </c>
      <c r="S210" s="1">
        <v>11.0</v>
      </c>
      <c r="T210" s="1" t="s">
        <v>52</v>
      </c>
      <c r="U210" s="1">
        <v>80.0</v>
      </c>
      <c r="V210" s="1">
        <v>13.0</v>
      </c>
      <c r="W210" s="1">
        <v>13.0</v>
      </c>
      <c r="X210" s="1">
        <v>17.0</v>
      </c>
      <c r="Y210" s="1">
        <v>17.0</v>
      </c>
      <c r="Z210" s="1" t="s">
        <v>53</v>
      </c>
      <c r="AA210" s="1">
        <v>80.0</v>
      </c>
      <c r="AB210" s="1">
        <v>19.0</v>
      </c>
      <c r="AC210" s="1">
        <v>19.0</v>
      </c>
      <c r="AD210" s="1">
        <v>23.0</v>
      </c>
      <c r="AE210" s="1">
        <v>23.0</v>
      </c>
      <c r="AF210" s="1" t="s">
        <v>54</v>
      </c>
      <c r="AG210" s="1">
        <v>65.0</v>
      </c>
      <c r="AH210" s="1">
        <v>12.0</v>
      </c>
      <c r="AI210" s="1">
        <v>12.0</v>
      </c>
      <c r="AJ210" s="1">
        <v>12.0</v>
      </c>
      <c r="AK210" s="1">
        <v>12.0</v>
      </c>
      <c r="AL210" s="1">
        <v>150.0</v>
      </c>
      <c r="AM210" s="1" t="s">
        <v>55</v>
      </c>
      <c r="AN210" s="1" t="s">
        <v>55</v>
      </c>
      <c r="AO210" s="1" t="s">
        <v>55</v>
      </c>
      <c r="AP210" s="1" t="s">
        <v>1229</v>
      </c>
      <c r="AQ210" s="3" t="str">
        <f>HYPERLINK("https://icf.clappia.com/app/GMB253374/submission/EHF99297605/ICF247370-GMB253374-276pjjco61n8c000000/SIG-20250703_1012a3kmh.jpeg", "SIG-20250703_1012a3kmh.jpeg")</f>
        <v>SIG-20250703_1012a3kmh.jpeg</v>
      </c>
      <c r="AR210" s="1" t="s">
        <v>1230</v>
      </c>
      <c r="AS210" s="3" t="str">
        <f>HYPERLINK("https://icf.clappia.com/app/GMB253374/submission/EHF99297605/ICF247370-GMB253374-2o4gi3n473k800000000/SIG-20250703_100913ddjg.jpeg", "SIG-20250703_100913ddjg.jpeg")</f>
        <v>SIG-20250703_100913ddjg.jpeg</v>
      </c>
      <c r="AT210" s="1" t="s">
        <v>1231</v>
      </c>
      <c r="AU210" s="3" t="str">
        <f>HYPERLINK("https://icf.clappia.com/app/GMB253374/submission/EHF99297605/ICF247370-GMB253374-gba1o3mmdpjm0000000/SIG-20250703_10091a90g8.jpeg", "SIG-20250703_10091a90g8.jpeg")</f>
        <v>SIG-20250703_10091a90g8.jpeg</v>
      </c>
      <c r="AV210" s="3" t="str">
        <f>HYPERLINK("https://www.google.com/maps/place/8.89485%2C-12.06525", "8.89485,-12.06525")</f>
        <v>8.89485,-12.06525</v>
      </c>
    </row>
    <row r="211" ht="15.75" customHeight="1">
      <c r="A211" s="1" t="s">
        <v>1232</v>
      </c>
      <c r="B211" s="1" t="s">
        <v>81</v>
      </c>
      <c r="C211" s="1" t="s">
        <v>1233</v>
      </c>
      <c r="D211" s="1" t="s">
        <v>1233</v>
      </c>
      <c r="E211" s="1" t="s">
        <v>1234</v>
      </c>
      <c r="F211" s="1" t="s">
        <v>64</v>
      </c>
      <c r="G211" s="1">
        <v>63.0</v>
      </c>
      <c r="H211" s="1" t="s">
        <v>50</v>
      </c>
      <c r="I211" s="1">
        <v>18.0</v>
      </c>
      <c r="J211" s="1">
        <v>9.0</v>
      </c>
      <c r="K211" s="1">
        <v>9.0</v>
      </c>
      <c r="L211" s="1">
        <v>9.0</v>
      </c>
      <c r="M211" s="1">
        <v>8.0</v>
      </c>
      <c r="N211" s="1" t="s">
        <v>51</v>
      </c>
      <c r="O211" s="1">
        <v>13.0</v>
      </c>
      <c r="P211" s="1">
        <v>6.0</v>
      </c>
      <c r="Q211" s="1">
        <v>6.0</v>
      </c>
      <c r="R211" s="1">
        <v>7.0</v>
      </c>
      <c r="S211" s="1">
        <v>5.0</v>
      </c>
      <c r="T211" s="1" t="s">
        <v>52</v>
      </c>
      <c r="U211" s="1">
        <v>18.0</v>
      </c>
      <c r="V211" s="1">
        <v>13.0</v>
      </c>
      <c r="W211" s="1">
        <v>10.0</v>
      </c>
      <c r="X211" s="1">
        <v>5.0</v>
      </c>
      <c r="Y211" s="1">
        <v>4.0</v>
      </c>
      <c r="Z211" s="1" t="s">
        <v>53</v>
      </c>
      <c r="AA211" s="1">
        <v>16.0</v>
      </c>
      <c r="AB211" s="1">
        <v>6.0</v>
      </c>
      <c r="AC211" s="1">
        <v>6.0</v>
      </c>
      <c r="AD211" s="1">
        <v>10.0</v>
      </c>
      <c r="AE211" s="1">
        <v>6.0</v>
      </c>
      <c r="AF211" s="1" t="s">
        <v>54</v>
      </c>
      <c r="AG211" s="1">
        <v>18.0</v>
      </c>
      <c r="AH211" s="1">
        <v>8.0</v>
      </c>
      <c r="AI211" s="1">
        <v>5.0</v>
      </c>
      <c r="AJ211" s="1">
        <v>9.0</v>
      </c>
      <c r="AK211" s="1">
        <v>4.0</v>
      </c>
      <c r="AL211" s="1">
        <v>63.0</v>
      </c>
      <c r="AM211" s="1" t="s">
        <v>55</v>
      </c>
      <c r="AN211" s="1" t="s">
        <v>55</v>
      </c>
      <c r="AO211" s="1" t="s">
        <v>55</v>
      </c>
      <c r="AP211" s="1" t="s">
        <v>119</v>
      </c>
      <c r="AQ211" s="3" t="str">
        <f>HYPERLINK("https://icf.clappia.com/app/GMB253374/submission/FYT90571379/ICF247370-GMB253374-69jpnl6io7go00000000/SIG-20250703_1011cn21b.jpeg", "SIG-20250703_1011cn21b.jpeg")</f>
        <v>SIG-20250703_1011cn21b.jpeg</v>
      </c>
      <c r="AR211" s="1" t="s">
        <v>120</v>
      </c>
      <c r="AS211" s="3" t="str">
        <f>HYPERLINK("https://icf.clappia.com/app/GMB253374/submission/FYT90571379/ICF247370-GMB253374-64ehjd0kie800000000/SIG-20250703_1013kg860.jpeg", "SIG-20250703_1013kg860.jpeg")</f>
        <v>SIG-20250703_1013kg860.jpeg</v>
      </c>
      <c r="AT211" s="1" t="s">
        <v>121</v>
      </c>
      <c r="AU211" s="3" t="str">
        <f>HYPERLINK("https://icf.clappia.com/app/GMB253374/submission/FYT90571379/ICF247370-GMB253374-4ddcncplpi3800000000/SIG-20250703_1012e9f2d.jpeg", "SIG-20250703_1012e9f2d.jpeg")</f>
        <v>SIG-20250703_1012e9f2d.jpeg</v>
      </c>
      <c r="AV211" s="3" t="str">
        <f>HYPERLINK("https://www.google.com/maps/place/7.9763383%2C-11.7375717", "7.9763383,-11.7375717")</f>
        <v>7.9763383,-11.7375717</v>
      </c>
    </row>
    <row r="212" ht="15.75" customHeight="1">
      <c r="A212" s="1" t="s">
        <v>1235</v>
      </c>
      <c r="B212" s="1" t="s">
        <v>60</v>
      </c>
      <c r="C212" s="1" t="s">
        <v>1236</v>
      </c>
      <c r="D212" s="1" t="s">
        <v>1233</v>
      </c>
      <c r="E212" s="1" t="s">
        <v>1237</v>
      </c>
      <c r="F212" s="1" t="s">
        <v>49</v>
      </c>
      <c r="G212" s="1">
        <v>200.0</v>
      </c>
      <c r="H212" s="1" t="s">
        <v>50</v>
      </c>
      <c r="I212" s="1">
        <v>35.0</v>
      </c>
      <c r="J212" s="1">
        <v>17.0</v>
      </c>
      <c r="K212" s="1">
        <v>12.0</v>
      </c>
      <c r="L212" s="1">
        <v>18.0</v>
      </c>
      <c r="M212" s="1">
        <v>12.0</v>
      </c>
      <c r="N212" s="1" t="s">
        <v>51</v>
      </c>
      <c r="O212" s="1">
        <v>49.0</v>
      </c>
      <c r="P212" s="1">
        <v>25.0</v>
      </c>
      <c r="Q212" s="1">
        <v>21.0</v>
      </c>
      <c r="R212" s="1">
        <v>23.0</v>
      </c>
      <c r="S212" s="1">
        <v>17.0</v>
      </c>
      <c r="T212" s="1" t="s">
        <v>52</v>
      </c>
      <c r="U212" s="1">
        <v>47.0</v>
      </c>
      <c r="V212" s="1">
        <v>18.0</v>
      </c>
      <c r="W212" s="1">
        <v>14.0</v>
      </c>
      <c r="X212" s="1">
        <v>29.0</v>
      </c>
      <c r="Y212" s="1">
        <v>15.0</v>
      </c>
      <c r="Z212" s="1" t="s">
        <v>53</v>
      </c>
      <c r="AA212" s="1">
        <v>46.0</v>
      </c>
      <c r="AB212" s="1">
        <v>18.0</v>
      </c>
      <c r="AC212" s="1">
        <v>13.0</v>
      </c>
      <c r="AD212" s="1">
        <v>28.0</v>
      </c>
      <c r="AE212" s="1">
        <v>24.0</v>
      </c>
      <c r="AF212" s="1" t="s">
        <v>54</v>
      </c>
      <c r="AG212" s="1">
        <v>41.0</v>
      </c>
      <c r="AH212" s="1">
        <v>20.0</v>
      </c>
      <c r="AI212" s="1">
        <v>20.0</v>
      </c>
      <c r="AJ212" s="1">
        <v>21.0</v>
      </c>
      <c r="AK212" s="1">
        <v>18.0</v>
      </c>
      <c r="AL212" s="1">
        <v>166.0</v>
      </c>
      <c r="AM212" s="1">
        <v>10.0</v>
      </c>
      <c r="AN212" s="1">
        <v>24.0</v>
      </c>
      <c r="AO212" s="1">
        <v>24.0</v>
      </c>
      <c r="AP212" s="1" t="s">
        <v>1238</v>
      </c>
      <c r="AQ212" s="3" t="str">
        <f>HYPERLINK("https://icf.clappia.com/app/GMB253374/submission/JLL92041508/ICF247370-GMB253374-i70dhk0cgamk0000000/SIG-20250703_1010jfkgo.jpeg", "SIG-20250703_1010jfkgo.jpeg")</f>
        <v>SIG-20250703_1010jfkgo.jpeg</v>
      </c>
      <c r="AR212" s="1" t="s">
        <v>1239</v>
      </c>
      <c r="AS212" s="3" t="str">
        <f>HYPERLINK("https://icf.clappia.com/app/GMB253374/submission/JLL92041508/ICF247370-GMB253374-ckh8jm56k1p20000000/SIG-20250703_101018a03c.jpeg", "SIG-20250703_101018a03c.jpeg")</f>
        <v>SIG-20250703_101018a03c.jpeg</v>
      </c>
      <c r="AT212" s="1" t="s">
        <v>1240</v>
      </c>
      <c r="AU212" s="3" t="str">
        <f>HYPERLINK("https://icf.clappia.com/app/GMB253374/submission/JLL92041508/ICF247370-GMB253374-nb32bpdo29gc0000000/SIG-20250703_1011pjm0j.jpeg", "SIG-20250703_1011pjm0j.jpeg")</f>
        <v>SIG-20250703_1011pjm0j.jpeg</v>
      </c>
      <c r="AV212" s="3" t="str">
        <f>HYPERLINK("https://www.google.com/maps/place/8.9767689%2C-12.099146", "8.9767689,-12.099146")</f>
        <v>8.9767689,-12.099146</v>
      </c>
    </row>
    <row r="213" ht="15.75" customHeight="1">
      <c r="A213" s="1" t="s">
        <v>1241</v>
      </c>
      <c r="B213" s="1" t="s">
        <v>60</v>
      </c>
      <c r="C213" s="1" t="s">
        <v>1242</v>
      </c>
      <c r="D213" s="1" t="s">
        <v>1243</v>
      </c>
      <c r="E213" s="1" t="s">
        <v>1244</v>
      </c>
      <c r="F213" s="1" t="s">
        <v>64</v>
      </c>
      <c r="G213" s="1">
        <v>100.0</v>
      </c>
      <c r="H213" s="1" t="s">
        <v>50</v>
      </c>
      <c r="I213" s="1">
        <v>28.0</v>
      </c>
      <c r="J213" s="1">
        <v>15.0</v>
      </c>
      <c r="K213" s="1">
        <v>15.0</v>
      </c>
      <c r="L213" s="1">
        <v>13.0</v>
      </c>
      <c r="M213" s="1">
        <v>13.0</v>
      </c>
      <c r="N213" s="1" t="s">
        <v>51</v>
      </c>
      <c r="O213" s="1">
        <v>20.0</v>
      </c>
      <c r="P213" s="1">
        <v>9.0</v>
      </c>
      <c r="Q213" s="1">
        <v>9.0</v>
      </c>
      <c r="R213" s="1">
        <v>11.0</v>
      </c>
      <c r="S213" s="1">
        <v>11.0</v>
      </c>
      <c r="T213" s="1" t="s">
        <v>52</v>
      </c>
      <c r="U213" s="1">
        <v>14.0</v>
      </c>
      <c r="V213" s="1">
        <v>10.0</v>
      </c>
      <c r="W213" s="1">
        <v>3.0</v>
      </c>
      <c r="X213" s="1">
        <v>4.0</v>
      </c>
      <c r="Y213" s="1">
        <v>2.0</v>
      </c>
      <c r="Z213" s="1" t="s">
        <v>53</v>
      </c>
      <c r="AA213" s="1">
        <v>20.0</v>
      </c>
      <c r="AB213" s="1">
        <v>10.0</v>
      </c>
      <c r="AC213" s="1">
        <v>2.0</v>
      </c>
      <c r="AD213" s="1">
        <v>10.0</v>
      </c>
      <c r="AE213" s="1">
        <v>5.0</v>
      </c>
      <c r="AF213" s="1" t="s">
        <v>54</v>
      </c>
      <c r="AG213" s="1">
        <v>17.0</v>
      </c>
      <c r="AH213" s="1">
        <v>12.0</v>
      </c>
      <c r="AI213" s="1">
        <v>12.0</v>
      </c>
      <c r="AJ213" s="1">
        <v>5.0</v>
      </c>
      <c r="AK213" s="1">
        <v>4.0</v>
      </c>
      <c r="AL213" s="1">
        <v>76.0</v>
      </c>
      <c r="AM213" s="1">
        <v>10.0</v>
      </c>
      <c r="AN213" s="1">
        <v>14.0</v>
      </c>
      <c r="AO213" s="1">
        <v>14.0</v>
      </c>
      <c r="AP213" s="1" t="s">
        <v>1238</v>
      </c>
      <c r="AQ213" s="3" t="str">
        <f>HYPERLINK("https://icf.clappia.com/app/GMB253374/submission/QBU10737151/ICF247370-GMB253374-33o0kpo67hp600000000/SIG-20250702_16041g95f.jpeg", "SIG-20250702_16041g95f.jpeg")</f>
        <v>SIG-20250702_16041g95f.jpeg</v>
      </c>
      <c r="AR213" s="1" t="s">
        <v>1239</v>
      </c>
      <c r="AS213" s="3" t="str">
        <f>HYPERLINK("https://icf.clappia.com/app/GMB253374/submission/QBU10737151/ICF247370-GMB253374-k5mkk0k9hji80000000/SIG-20250702_16052n3cp.jpeg", "SIG-20250702_16052n3cp.jpeg")</f>
        <v>SIG-20250702_16052n3cp.jpeg</v>
      </c>
      <c r="AT213" s="1" t="s">
        <v>1240</v>
      </c>
      <c r="AU213" s="3" t="str">
        <f>HYPERLINK("https://icf.clappia.com/app/GMB253374/submission/QBU10737151/ICF247370-GMB253374-18jk24617hcf20000000/SIG-20250702_160614jdm9.jpeg", "SIG-20250702_160614jdm9.jpeg")</f>
        <v>SIG-20250702_160614jdm9.jpeg</v>
      </c>
      <c r="AV213" s="3" t="str">
        <f>HYPERLINK("https://www.google.com/maps/place/8.99453%2C-12.1108433", "8.99453,-12.1108433")</f>
        <v>8.99453,-12.1108433</v>
      </c>
    </row>
    <row r="214" ht="15.75" customHeight="1">
      <c r="A214" s="1" t="s">
        <v>1245</v>
      </c>
      <c r="B214" s="1" t="s">
        <v>189</v>
      </c>
      <c r="C214" s="1" t="s">
        <v>1243</v>
      </c>
      <c r="D214" s="1" t="s">
        <v>1243</v>
      </c>
      <c r="E214" s="1" t="s">
        <v>1246</v>
      </c>
      <c r="F214" s="1" t="s">
        <v>64</v>
      </c>
      <c r="G214" s="1">
        <v>150.0</v>
      </c>
      <c r="H214" s="1" t="s">
        <v>50</v>
      </c>
      <c r="I214" s="1">
        <v>25.0</v>
      </c>
      <c r="J214" s="1">
        <v>15.0</v>
      </c>
      <c r="K214" s="1">
        <v>15.0</v>
      </c>
      <c r="L214" s="1">
        <v>10.0</v>
      </c>
      <c r="M214" s="1">
        <v>10.0</v>
      </c>
      <c r="N214" s="1" t="s">
        <v>51</v>
      </c>
      <c r="O214" s="1">
        <v>22.0</v>
      </c>
      <c r="P214" s="1">
        <v>13.0</v>
      </c>
      <c r="Q214" s="1">
        <v>13.0</v>
      </c>
      <c r="R214" s="1">
        <v>9.0</v>
      </c>
      <c r="S214" s="1">
        <v>9.0</v>
      </c>
      <c r="T214" s="1" t="s">
        <v>52</v>
      </c>
      <c r="U214" s="1">
        <v>20.0</v>
      </c>
      <c r="V214" s="1">
        <v>11.0</v>
      </c>
      <c r="W214" s="1">
        <v>11.0</v>
      </c>
      <c r="X214" s="1">
        <v>9.0</v>
      </c>
      <c r="Y214" s="1">
        <v>9.0</v>
      </c>
      <c r="Z214" s="1" t="s">
        <v>53</v>
      </c>
      <c r="AA214" s="1">
        <v>15.0</v>
      </c>
      <c r="AB214" s="1">
        <v>5.0</v>
      </c>
      <c r="AC214" s="1">
        <v>5.0</v>
      </c>
      <c r="AD214" s="1">
        <v>10.0</v>
      </c>
      <c r="AE214" s="1">
        <v>10.0</v>
      </c>
      <c r="AF214" s="1" t="s">
        <v>54</v>
      </c>
      <c r="AG214" s="1">
        <v>22.0</v>
      </c>
      <c r="AH214" s="1">
        <v>8.0</v>
      </c>
      <c r="AI214" s="1">
        <v>8.0</v>
      </c>
      <c r="AJ214" s="1">
        <v>14.0</v>
      </c>
      <c r="AK214" s="1">
        <v>14.0</v>
      </c>
      <c r="AL214" s="1">
        <v>104.0</v>
      </c>
      <c r="AM214" s="1" t="s">
        <v>55</v>
      </c>
      <c r="AN214" s="1">
        <v>46.0</v>
      </c>
      <c r="AO214" s="1">
        <v>46.0</v>
      </c>
      <c r="AP214" s="1" t="s">
        <v>1247</v>
      </c>
      <c r="AQ214" s="3" t="str">
        <f>HYPERLINK("https://icf.clappia.com/app/GMB253374/submission/TQO65087990/ICF247370-GMB253374-4d6imialh4i800000000/SIG-20250703_10091af2g5.jpeg", "SIG-20250703_10091af2g5.jpeg")</f>
        <v>SIG-20250703_10091af2g5.jpeg</v>
      </c>
      <c r="AR214" s="1" t="s">
        <v>1248</v>
      </c>
      <c r="AS214" s="3" t="str">
        <f>HYPERLINK("https://icf.clappia.com/app/GMB253374/submission/TQO65087990/ICF247370-GMB253374-641nl9ccokoo00000000/SIG-20250703_1008fmha0.jpeg", "SIG-20250703_1008fmha0.jpeg")</f>
        <v>SIG-20250703_1008fmha0.jpeg</v>
      </c>
      <c r="AT214" s="1" t="s">
        <v>1249</v>
      </c>
      <c r="AU214" s="3" t="str">
        <f>HYPERLINK("https://icf.clappia.com/app/GMB253374/submission/TQO65087990/ICF247370-GMB253374-2g8o214fpbia00000000/SIG-20250703_1009d1djh.jpeg", "SIG-20250703_1009d1djh.jpeg")</f>
        <v>SIG-20250703_1009d1djh.jpeg</v>
      </c>
      <c r="AV214" s="3" t="str">
        <f>HYPERLINK("https://www.google.com/maps/place/8.8646619%2C-12.0491576", "8.8646619,-12.0491576")</f>
        <v>8.8646619,-12.0491576</v>
      </c>
    </row>
    <row r="215" ht="15.75" customHeight="1">
      <c r="A215" s="1" t="s">
        <v>1250</v>
      </c>
      <c r="B215" s="1" t="s">
        <v>189</v>
      </c>
      <c r="C215" s="1" t="s">
        <v>1251</v>
      </c>
      <c r="D215" s="1" t="s">
        <v>1251</v>
      </c>
      <c r="E215" s="1" t="s">
        <v>1252</v>
      </c>
      <c r="F215" s="1" t="s">
        <v>49</v>
      </c>
      <c r="G215" s="1">
        <v>250.0</v>
      </c>
      <c r="H215" s="1" t="s">
        <v>50</v>
      </c>
      <c r="I215" s="1">
        <v>40.0</v>
      </c>
      <c r="J215" s="1">
        <v>25.0</v>
      </c>
      <c r="K215" s="1">
        <v>24.0</v>
      </c>
      <c r="L215" s="1">
        <v>15.0</v>
      </c>
      <c r="M215" s="1">
        <v>15.0</v>
      </c>
      <c r="N215" s="1" t="s">
        <v>51</v>
      </c>
      <c r="O215" s="1">
        <v>65.0</v>
      </c>
      <c r="P215" s="1">
        <v>35.0</v>
      </c>
      <c r="Q215" s="1">
        <v>34.0</v>
      </c>
      <c r="R215" s="1">
        <v>30.0</v>
      </c>
      <c r="S215" s="1">
        <v>29.0</v>
      </c>
      <c r="T215" s="1" t="s">
        <v>52</v>
      </c>
      <c r="U215" s="1">
        <v>50.0</v>
      </c>
      <c r="V215" s="1">
        <v>31.0</v>
      </c>
      <c r="W215" s="1">
        <v>29.0</v>
      </c>
      <c r="X215" s="1">
        <v>19.0</v>
      </c>
      <c r="Y215" s="1">
        <v>19.0</v>
      </c>
      <c r="Z215" s="1" t="s">
        <v>53</v>
      </c>
      <c r="AA215" s="1">
        <v>65.0</v>
      </c>
      <c r="AB215" s="1">
        <v>40.0</v>
      </c>
      <c r="AC215" s="1">
        <v>39.0</v>
      </c>
      <c r="AD215" s="1">
        <v>25.0</v>
      </c>
      <c r="AE215" s="1">
        <v>24.0</v>
      </c>
      <c r="AF215" s="1" t="s">
        <v>54</v>
      </c>
      <c r="AG215" s="1">
        <v>30.0</v>
      </c>
      <c r="AH215" s="1">
        <v>19.0</v>
      </c>
      <c r="AI215" s="1">
        <v>18.0</v>
      </c>
      <c r="AJ215" s="1">
        <v>11.0</v>
      </c>
      <c r="AK215" s="1">
        <v>9.0</v>
      </c>
      <c r="AL215" s="1">
        <v>240.0</v>
      </c>
      <c r="AM215" s="1">
        <v>10.0</v>
      </c>
      <c r="AN215" s="1" t="s">
        <v>55</v>
      </c>
      <c r="AO215" s="1" t="s">
        <v>55</v>
      </c>
      <c r="AP215" s="1" t="s">
        <v>1253</v>
      </c>
      <c r="AQ215" s="3" t="str">
        <f>HYPERLINK("https://icf.clappia.com/app/GMB253374/submission/NNA05750341/ICF247370-GMB253374-1cek19gb0foba0000000/SIG-20250703_100692kfb.jpeg", "SIG-20250703_100692kfb.jpeg")</f>
        <v>SIG-20250703_100692kfb.jpeg</v>
      </c>
      <c r="AR215" s="1" t="s">
        <v>1254</v>
      </c>
      <c r="AS215" s="3" t="str">
        <f>HYPERLINK("https://icf.clappia.com/app/GMB253374/submission/NNA05750341/ICF247370-GMB253374-52ccgb3b316800000000/SIG-20250703_1005c62kc.jpeg", "SIG-20250703_1005c62kc.jpeg")</f>
        <v>SIG-20250703_1005c62kc.jpeg</v>
      </c>
      <c r="AT215" s="1" t="s">
        <v>1255</v>
      </c>
      <c r="AU215" s="3" t="str">
        <f>HYPERLINK("https://icf.clappia.com/app/GMB253374/submission/NNA05750341/ICF247370-GMB253374-4e56837d873400000000/SIG-20250703_10062feap.jpeg", "SIG-20250703_10062feap.jpeg")</f>
        <v>SIG-20250703_10062feap.jpeg</v>
      </c>
      <c r="AV215" s="3" t="str">
        <f>HYPERLINK("https://www.google.com/maps/place/8.8600003%2C-12.0378631", "8.8600003,-12.0378631")</f>
        <v>8.8600003,-12.0378631</v>
      </c>
    </row>
    <row r="216" ht="15.75" customHeight="1">
      <c r="A216" s="1" t="s">
        <v>1256</v>
      </c>
      <c r="B216" s="1" t="s">
        <v>248</v>
      </c>
      <c r="C216" s="1" t="s">
        <v>1257</v>
      </c>
      <c r="D216" s="1" t="s">
        <v>1257</v>
      </c>
      <c r="E216" s="1" t="s">
        <v>1258</v>
      </c>
      <c r="F216" s="1" t="s">
        <v>64</v>
      </c>
      <c r="G216" s="1">
        <v>170.0</v>
      </c>
      <c r="H216" s="1" t="s">
        <v>50</v>
      </c>
      <c r="I216" s="1">
        <v>51.0</v>
      </c>
      <c r="J216" s="1">
        <v>27.0</v>
      </c>
      <c r="K216" s="1">
        <v>27.0</v>
      </c>
      <c r="L216" s="1">
        <v>24.0</v>
      </c>
      <c r="M216" s="1">
        <v>24.0</v>
      </c>
      <c r="N216" s="1" t="s">
        <v>51</v>
      </c>
      <c r="O216" s="1">
        <v>31.0</v>
      </c>
      <c r="P216" s="1">
        <v>16.0</v>
      </c>
      <c r="Q216" s="1">
        <v>16.0</v>
      </c>
      <c r="R216" s="1">
        <v>15.0</v>
      </c>
      <c r="S216" s="1">
        <v>15.0</v>
      </c>
      <c r="T216" s="1" t="s">
        <v>52</v>
      </c>
      <c r="U216" s="1">
        <v>34.0</v>
      </c>
      <c r="V216" s="1">
        <v>19.0</v>
      </c>
      <c r="W216" s="1">
        <v>19.0</v>
      </c>
      <c r="X216" s="1">
        <v>15.0</v>
      </c>
      <c r="Y216" s="1">
        <v>15.0</v>
      </c>
      <c r="Z216" s="1" t="s">
        <v>53</v>
      </c>
      <c r="AA216" s="1">
        <v>32.0</v>
      </c>
      <c r="AB216" s="1">
        <v>13.0</v>
      </c>
      <c r="AC216" s="1">
        <v>13.0</v>
      </c>
      <c r="AD216" s="1">
        <v>19.0</v>
      </c>
      <c r="AE216" s="1">
        <v>19.0</v>
      </c>
      <c r="AF216" s="1" t="s">
        <v>54</v>
      </c>
      <c r="AG216" s="1">
        <v>22.0</v>
      </c>
      <c r="AH216" s="1">
        <v>10.0</v>
      </c>
      <c r="AI216" s="1">
        <v>10.0</v>
      </c>
      <c r="AJ216" s="1">
        <v>12.0</v>
      </c>
      <c r="AK216" s="1">
        <v>12.0</v>
      </c>
      <c r="AL216" s="1">
        <v>170.0</v>
      </c>
      <c r="AM216" s="1" t="s">
        <v>55</v>
      </c>
      <c r="AN216" s="1" t="s">
        <v>55</v>
      </c>
      <c r="AO216" s="1" t="s">
        <v>55</v>
      </c>
      <c r="AP216" s="1" t="s">
        <v>1259</v>
      </c>
      <c r="AQ216" s="3" t="str">
        <f>HYPERLINK("https://icf.clappia.com/app/GMB253374/submission/WJV08269387/ICF247370-GMB253374-pn0jo7k3kd0c0000000/SIG-20250703_100211b1de.jpeg", "SIG-20250703_100211b1de.jpeg")</f>
        <v>SIG-20250703_100211b1de.jpeg</v>
      </c>
      <c r="AR216" s="1" t="s">
        <v>1260</v>
      </c>
      <c r="AS216" s="3" t="str">
        <f>HYPERLINK("https://icf.clappia.com/app/GMB253374/submission/WJV08269387/ICF247370-GMB253374-3c7jdmebl8a40000000/SIG-20250703_1003k8hh4.jpeg", "SIG-20250703_1003k8hh4.jpeg")</f>
        <v>SIG-20250703_1003k8hh4.jpeg</v>
      </c>
      <c r="AT216" s="1" t="s">
        <v>1261</v>
      </c>
      <c r="AU216" s="3" t="str">
        <f>HYPERLINK("https://icf.clappia.com/app/GMB253374/submission/WJV08269387/ICF247370-GMB253374-6290mdg693he00000000/SIG-20250703_1003i0bfn.jpeg", "SIG-20250703_1003i0bfn.jpeg")</f>
        <v>SIG-20250703_1003i0bfn.jpeg</v>
      </c>
      <c r="AV216" s="3" t="str">
        <f>HYPERLINK("https://www.google.com/maps/place/7.9253527%2C-11.536456", "7.9253527,-11.536456")</f>
        <v>7.9253527,-11.536456</v>
      </c>
    </row>
    <row r="217" ht="15.75" customHeight="1">
      <c r="A217" s="1" t="s">
        <v>1262</v>
      </c>
      <c r="B217" s="1" t="s">
        <v>335</v>
      </c>
      <c r="C217" s="1" t="s">
        <v>1263</v>
      </c>
      <c r="D217" s="1" t="s">
        <v>1263</v>
      </c>
      <c r="E217" s="1" t="s">
        <v>1264</v>
      </c>
      <c r="F217" s="1" t="s">
        <v>64</v>
      </c>
      <c r="G217" s="1">
        <v>230.0</v>
      </c>
      <c r="H217" s="1" t="s">
        <v>50</v>
      </c>
      <c r="I217" s="1">
        <v>125.0</v>
      </c>
      <c r="J217" s="1">
        <v>63.0</v>
      </c>
      <c r="K217" s="1">
        <v>63.0</v>
      </c>
      <c r="L217" s="1">
        <v>62.0</v>
      </c>
      <c r="M217" s="1">
        <v>62.0</v>
      </c>
      <c r="N217" s="1" t="s">
        <v>51</v>
      </c>
      <c r="O217" s="1">
        <v>45.0</v>
      </c>
      <c r="P217" s="1">
        <v>20.0</v>
      </c>
      <c r="Q217" s="1">
        <v>20.0</v>
      </c>
      <c r="R217" s="1">
        <v>25.0</v>
      </c>
      <c r="S217" s="1">
        <v>25.0</v>
      </c>
      <c r="T217" s="1" t="s">
        <v>52</v>
      </c>
      <c r="U217" s="1">
        <v>30.0</v>
      </c>
      <c r="V217" s="1">
        <v>14.0</v>
      </c>
      <c r="W217" s="1">
        <v>14.0</v>
      </c>
      <c r="X217" s="1">
        <v>16.0</v>
      </c>
      <c r="Y217" s="1">
        <v>16.0</v>
      </c>
      <c r="Z217" s="1" t="s">
        <v>53</v>
      </c>
      <c r="AA217" s="1">
        <v>18.0</v>
      </c>
      <c r="AB217" s="1">
        <v>8.0</v>
      </c>
      <c r="AC217" s="1">
        <v>8.0</v>
      </c>
      <c r="AD217" s="1">
        <v>10.0</v>
      </c>
      <c r="AE217" s="1">
        <v>10.0</v>
      </c>
      <c r="AF217" s="1" t="s">
        <v>54</v>
      </c>
      <c r="AG217" s="1">
        <v>12.0</v>
      </c>
      <c r="AH217" s="1">
        <v>8.0</v>
      </c>
      <c r="AI217" s="1">
        <v>8.0</v>
      </c>
      <c r="AJ217" s="1">
        <v>4.0</v>
      </c>
      <c r="AK217" s="1">
        <v>4.0</v>
      </c>
      <c r="AL217" s="1">
        <v>230.0</v>
      </c>
      <c r="AM217" s="1" t="s">
        <v>55</v>
      </c>
      <c r="AN217" s="1" t="s">
        <v>55</v>
      </c>
      <c r="AO217" s="1" t="s">
        <v>55</v>
      </c>
      <c r="AP217" s="1" t="s">
        <v>971</v>
      </c>
      <c r="AQ217" s="3" t="str">
        <f>HYPERLINK("https://icf.clappia.com/app/GMB253374/submission/XTI21784346/ICF247370-GMB253374-2gfb9b4933ic00000000/SIG-20250703_09463kkli.jpeg", "SIG-20250703_09463kkli.jpeg")</f>
        <v>SIG-20250703_09463kkli.jpeg</v>
      </c>
      <c r="AR217" s="1" t="s">
        <v>1265</v>
      </c>
      <c r="AS217" s="3" t="str">
        <f>HYPERLINK("https://icf.clappia.com/app/GMB253374/submission/XTI21784346/ICF247370-GMB253374-1ed09p2di04co0000000/SIG-20250703_0946g277d.jpeg", "SIG-20250703_0946g277d.jpeg")</f>
        <v>SIG-20250703_0946g277d.jpeg</v>
      </c>
      <c r="AT217" s="1" t="s">
        <v>973</v>
      </c>
      <c r="AU217" s="3" t="str">
        <f>HYPERLINK("https://icf.clappia.com/app/GMB253374/submission/XTI21784346/ICF247370-GMB253374-5i4g99e9e4og00000000/SIG-20250703_0947f0ghp.jpeg", "SIG-20250703_0947f0ghp.jpeg")</f>
        <v>SIG-20250703_0947f0ghp.jpeg</v>
      </c>
      <c r="AV217" s="3" t="str">
        <f>HYPERLINK("https://www.google.com/maps/place/8.1659651%2C-11.6856597", "8.1659651,-11.6856597")</f>
        <v>8.1659651,-11.6856597</v>
      </c>
    </row>
    <row r="218" ht="15.75" customHeight="1">
      <c r="A218" s="1" t="s">
        <v>1266</v>
      </c>
      <c r="B218" s="1" t="s">
        <v>161</v>
      </c>
      <c r="C218" s="1" t="s">
        <v>1209</v>
      </c>
      <c r="D218" s="1" t="s">
        <v>1209</v>
      </c>
      <c r="E218" s="1" t="s">
        <v>1267</v>
      </c>
      <c r="F218" s="1" t="s">
        <v>64</v>
      </c>
      <c r="G218" s="1">
        <v>50.0</v>
      </c>
      <c r="H218" s="1" t="s">
        <v>50</v>
      </c>
      <c r="I218" s="1">
        <v>15.0</v>
      </c>
      <c r="J218" s="1">
        <v>7.0</v>
      </c>
      <c r="K218" s="1">
        <v>7.0</v>
      </c>
      <c r="L218" s="1">
        <v>8.0</v>
      </c>
      <c r="M218" s="1">
        <v>8.0</v>
      </c>
      <c r="N218" s="1" t="s">
        <v>51</v>
      </c>
      <c r="O218" s="1">
        <v>10.0</v>
      </c>
      <c r="P218" s="1">
        <v>3.0</v>
      </c>
      <c r="Q218" s="1">
        <v>3.0</v>
      </c>
      <c r="R218" s="1">
        <v>7.0</v>
      </c>
      <c r="S218" s="1">
        <v>7.0</v>
      </c>
      <c r="T218" s="1" t="s">
        <v>52</v>
      </c>
      <c r="U218" s="1">
        <v>12.0</v>
      </c>
      <c r="V218" s="1">
        <v>4.0</v>
      </c>
      <c r="W218" s="1">
        <v>4.0</v>
      </c>
      <c r="X218" s="1">
        <v>8.0</v>
      </c>
      <c r="Y218" s="1">
        <v>8.0</v>
      </c>
      <c r="Z218" s="1" t="s">
        <v>53</v>
      </c>
      <c r="AA218" s="1">
        <v>7.0</v>
      </c>
      <c r="AB218" s="1">
        <v>3.0</v>
      </c>
      <c r="AC218" s="1">
        <v>3.0</v>
      </c>
      <c r="AD218" s="1">
        <v>4.0</v>
      </c>
      <c r="AE218" s="1">
        <v>4.0</v>
      </c>
      <c r="AF218" s="1" t="s">
        <v>54</v>
      </c>
      <c r="AG218" s="1">
        <v>6.0</v>
      </c>
      <c r="AH218" s="1">
        <v>3.0</v>
      </c>
      <c r="AI218" s="1">
        <v>3.0</v>
      </c>
      <c r="AJ218" s="1">
        <v>3.0</v>
      </c>
      <c r="AK218" s="1">
        <v>3.0</v>
      </c>
      <c r="AL218" s="1">
        <v>50.0</v>
      </c>
      <c r="AM218" s="1" t="s">
        <v>55</v>
      </c>
      <c r="AN218" s="1" t="s">
        <v>55</v>
      </c>
      <c r="AO218" s="1" t="s">
        <v>55</v>
      </c>
      <c r="AP218" s="1" t="s">
        <v>1268</v>
      </c>
      <c r="AQ218" s="3" t="str">
        <f>HYPERLINK("https://icf.clappia.com/app/GMB253374/submission/NKU85685002/ICF247370-GMB253374-3d72o20g21fi00000000/SIG-20250703_0941ea2ca.jpeg", "SIG-20250703_0941ea2ca.jpeg")</f>
        <v>SIG-20250703_0941ea2ca.jpeg</v>
      </c>
      <c r="AR218" s="1" t="s">
        <v>1269</v>
      </c>
      <c r="AS218" s="3" t="str">
        <f>HYPERLINK("https://icf.clappia.com/app/GMB253374/submission/NKU85685002/ICF247370-GMB253374-cd432of7b83a0000000/SIG-20250703_0942one6f.jpeg", "SIG-20250703_0942one6f.jpeg")</f>
        <v>SIG-20250703_0942one6f.jpeg</v>
      </c>
      <c r="AT218" s="1" t="s">
        <v>1270</v>
      </c>
      <c r="AU218" s="3" t="str">
        <f>HYPERLINK("https://icf.clappia.com/app/GMB253374/submission/NKU85685002/ICF247370-GMB253374-6a751cm9kkmk00000000/SIG-20250703_09424ifed.jpeg", "SIG-20250703_09424ifed.jpeg")</f>
        <v>SIG-20250703_09424ifed.jpeg</v>
      </c>
      <c r="AV218" s="3" t="str">
        <f>HYPERLINK("https://www.google.com/maps/place/7.9425817%2C-11.6663583", "7.9425817,-11.6663583")</f>
        <v>7.9425817,-11.6663583</v>
      </c>
    </row>
    <row r="219" ht="15.75" customHeight="1">
      <c r="A219" s="1" t="s">
        <v>1271</v>
      </c>
      <c r="B219" s="1" t="s">
        <v>580</v>
      </c>
      <c r="C219" s="1" t="s">
        <v>1272</v>
      </c>
      <c r="D219" s="1" t="s">
        <v>1273</v>
      </c>
      <c r="E219" s="1" t="s">
        <v>1274</v>
      </c>
      <c r="F219" s="1" t="s">
        <v>64</v>
      </c>
      <c r="G219" s="1">
        <v>200.0</v>
      </c>
      <c r="H219" s="1" t="s">
        <v>50</v>
      </c>
      <c r="I219" s="1">
        <v>65.0</v>
      </c>
      <c r="J219" s="1">
        <v>32.0</v>
      </c>
      <c r="K219" s="1">
        <v>32.0</v>
      </c>
      <c r="L219" s="1">
        <v>33.0</v>
      </c>
      <c r="M219" s="1">
        <v>32.0</v>
      </c>
      <c r="N219" s="1" t="s">
        <v>51</v>
      </c>
      <c r="O219" s="1">
        <v>35.0</v>
      </c>
      <c r="P219" s="1">
        <v>15.0</v>
      </c>
      <c r="Q219" s="1">
        <v>14.0</v>
      </c>
      <c r="R219" s="1">
        <v>20.0</v>
      </c>
      <c r="S219" s="1">
        <v>19.0</v>
      </c>
      <c r="T219" s="1" t="s">
        <v>52</v>
      </c>
      <c r="U219" s="1">
        <v>30.0</v>
      </c>
      <c r="V219" s="1">
        <v>17.0</v>
      </c>
      <c r="W219" s="1">
        <v>15.0</v>
      </c>
      <c r="X219" s="1">
        <v>13.0</v>
      </c>
      <c r="Y219" s="1">
        <v>13.0</v>
      </c>
      <c r="Z219" s="1" t="s">
        <v>53</v>
      </c>
      <c r="AA219" s="1">
        <v>23.0</v>
      </c>
      <c r="AB219" s="1">
        <v>11.0</v>
      </c>
      <c r="AC219" s="1">
        <v>10.0</v>
      </c>
      <c r="AD219" s="1">
        <v>12.0</v>
      </c>
      <c r="AE219" s="1">
        <v>12.0</v>
      </c>
      <c r="AF219" s="1" t="s">
        <v>54</v>
      </c>
      <c r="AG219" s="1">
        <v>25.0</v>
      </c>
      <c r="AH219" s="1">
        <v>15.0</v>
      </c>
      <c r="AI219" s="1">
        <v>15.0</v>
      </c>
      <c r="AJ219" s="1">
        <v>10.0</v>
      </c>
      <c r="AK219" s="1">
        <v>5.0</v>
      </c>
      <c r="AL219" s="1">
        <v>167.0</v>
      </c>
      <c r="AM219" s="1" t="s">
        <v>55</v>
      </c>
      <c r="AN219" s="1">
        <v>33.0</v>
      </c>
      <c r="AO219" s="1">
        <v>33.0</v>
      </c>
      <c r="AP219" s="1" t="s">
        <v>1275</v>
      </c>
      <c r="AQ219" s="3" t="str">
        <f>HYPERLINK("https://icf.clappia.com/app/GMB253374/submission/SGK28973896/ICF247370-GMB253374-4apfn3be060g00000000/SIG-20250701_1203d41n8.jpeg", "SIG-20250701_1203d41n8.jpeg")</f>
        <v>SIG-20250701_1203d41n8.jpeg</v>
      </c>
      <c r="AR219" s="1" t="s">
        <v>1276</v>
      </c>
      <c r="AS219" s="3" t="str">
        <f>HYPERLINK("https://icf.clappia.com/app/GMB253374/submission/SGK28973896/ICF247370-GMB253374-26ig8ebpdfbk40000000/SIG-20250701_120313kdjf.jpeg", "SIG-20250701_120313kdjf.jpeg")</f>
        <v>SIG-20250701_120313kdjf.jpeg</v>
      </c>
      <c r="AT219" s="1" t="s">
        <v>1277</v>
      </c>
      <c r="AU219" s="3" t="str">
        <f>HYPERLINK("https://icf.clappia.com/app/GMB253374/submission/SGK28973896/ICF247370-GMB253374-612nnkkm7oci00000000/SIG-20250701_1204l66fe.jpeg", "SIG-20250701_1204l66fe.jpeg")</f>
        <v>SIG-20250701_1204l66fe.jpeg</v>
      </c>
      <c r="AV219" s="3" t="str">
        <f>HYPERLINK("https://www.google.com/maps/place/8.084885%2C-11.501635", "8.084885,-11.501635")</f>
        <v>8.084885,-11.501635</v>
      </c>
    </row>
    <row r="220" ht="15.75" customHeight="1">
      <c r="A220" s="1" t="s">
        <v>1278</v>
      </c>
      <c r="B220" s="1" t="s">
        <v>356</v>
      </c>
      <c r="C220" s="1" t="s">
        <v>1279</v>
      </c>
      <c r="D220" s="1" t="s">
        <v>1280</v>
      </c>
      <c r="E220" s="1" t="s">
        <v>1281</v>
      </c>
      <c r="F220" s="1" t="s">
        <v>64</v>
      </c>
      <c r="G220" s="1">
        <v>200.0</v>
      </c>
      <c r="H220" s="1" t="s">
        <v>50</v>
      </c>
      <c r="I220" s="1">
        <v>45.0</v>
      </c>
      <c r="J220" s="1">
        <v>21.0</v>
      </c>
      <c r="K220" s="1">
        <v>21.0</v>
      </c>
      <c r="L220" s="1">
        <v>24.0</v>
      </c>
      <c r="M220" s="1">
        <v>24.0</v>
      </c>
      <c r="N220" s="1" t="s">
        <v>51</v>
      </c>
      <c r="O220" s="1">
        <v>40.0</v>
      </c>
      <c r="P220" s="1">
        <v>19.0</v>
      </c>
      <c r="Q220" s="1">
        <v>19.0</v>
      </c>
      <c r="R220" s="1">
        <v>21.0</v>
      </c>
      <c r="S220" s="1">
        <v>21.0</v>
      </c>
      <c r="T220" s="1" t="s">
        <v>52</v>
      </c>
      <c r="U220" s="1">
        <v>36.0</v>
      </c>
      <c r="V220" s="1">
        <v>20.0</v>
      </c>
      <c r="W220" s="1">
        <v>20.0</v>
      </c>
      <c r="X220" s="1">
        <v>16.0</v>
      </c>
      <c r="Y220" s="1">
        <v>16.0</v>
      </c>
      <c r="Z220" s="1" t="s">
        <v>53</v>
      </c>
      <c r="AA220" s="1">
        <v>34.0</v>
      </c>
      <c r="AB220" s="1">
        <v>18.0</v>
      </c>
      <c r="AC220" s="1">
        <v>18.0</v>
      </c>
      <c r="AD220" s="1">
        <v>16.0</v>
      </c>
      <c r="AE220" s="1">
        <v>16.0</v>
      </c>
      <c r="AF220" s="1" t="s">
        <v>54</v>
      </c>
      <c r="AG220" s="1">
        <v>20.0</v>
      </c>
      <c r="AH220" s="1">
        <v>14.0</v>
      </c>
      <c r="AI220" s="1">
        <v>14.0</v>
      </c>
      <c r="AJ220" s="1">
        <v>6.0</v>
      </c>
      <c r="AK220" s="1">
        <v>6.0</v>
      </c>
      <c r="AL220" s="1">
        <v>175.0</v>
      </c>
      <c r="AM220" s="1">
        <v>5.0</v>
      </c>
      <c r="AN220" s="1">
        <v>20.0</v>
      </c>
      <c r="AO220" s="1">
        <v>20.0</v>
      </c>
      <c r="AP220" s="1" t="s">
        <v>1282</v>
      </c>
      <c r="AQ220" s="3" t="str">
        <f>HYPERLINK("https://icf.clappia.com/app/GMB253374/submission/STU22734926/ICF247370-GMB253374-5l2i64n5fdpi00000000/SIG-20250703_003311p9pj.jpeg", "SIG-20250703_003311p9pj.jpeg")</f>
        <v>SIG-20250703_003311p9pj.jpeg</v>
      </c>
      <c r="AR220" s="1" t="s">
        <v>1283</v>
      </c>
      <c r="AS220" s="3" t="str">
        <f>HYPERLINK("https://icf.clappia.com/app/GMB253374/submission/STU22734926/ICF247370-GMB253374-eaiige2pbk240000000/SIG-20250703_0033k9a3e.jpeg", "SIG-20250703_0033k9a3e.jpeg")</f>
        <v>SIG-20250703_0033k9a3e.jpeg</v>
      </c>
      <c r="AT220" s="1" t="s">
        <v>1284</v>
      </c>
      <c r="AU220" s="3" t="str">
        <f>HYPERLINK("https://icf.clappia.com/app/GMB253374/submission/STU22734926/ICF247370-GMB253374-40gjpeea970600000000/SIG-20250703_00349ddok.jpeg", "SIG-20250703_00349ddok.jpeg")</f>
        <v>SIG-20250703_00349ddok.jpeg</v>
      </c>
      <c r="AV220" s="3" t="str">
        <f>HYPERLINK("https://www.google.com/maps/place/8.2853233%2C-11.596875", "8.2853233,-11.596875")</f>
        <v>8.2853233,-11.596875</v>
      </c>
    </row>
    <row r="221" ht="15.75" customHeight="1">
      <c r="A221" s="1" t="s">
        <v>1285</v>
      </c>
      <c r="B221" s="1" t="s">
        <v>167</v>
      </c>
      <c r="C221" s="1" t="s">
        <v>1286</v>
      </c>
      <c r="D221" s="1" t="s">
        <v>1286</v>
      </c>
      <c r="E221" s="1" t="s">
        <v>1287</v>
      </c>
      <c r="F221" s="1" t="s">
        <v>49</v>
      </c>
      <c r="G221" s="1">
        <v>120.0</v>
      </c>
      <c r="H221" s="1" t="s">
        <v>50</v>
      </c>
      <c r="I221" s="1">
        <v>30.0</v>
      </c>
      <c r="J221" s="1">
        <v>12.0</v>
      </c>
      <c r="K221" s="1">
        <v>12.0</v>
      </c>
      <c r="L221" s="1">
        <v>18.0</v>
      </c>
      <c r="M221" s="1">
        <v>18.0</v>
      </c>
      <c r="N221" s="1" t="s">
        <v>51</v>
      </c>
      <c r="O221" s="1">
        <v>30.0</v>
      </c>
      <c r="P221" s="1">
        <v>10.0</v>
      </c>
      <c r="Q221" s="1">
        <v>10.0</v>
      </c>
      <c r="R221" s="1">
        <v>20.0</v>
      </c>
      <c r="S221" s="1">
        <v>20.0</v>
      </c>
      <c r="T221" s="1" t="s">
        <v>52</v>
      </c>
      <c r="U221" s="1">
        <v>25.0</v>
      </c>
      <c r="V221" s="1">
        <v>12.0</v>
      </c>
      <c r="W221" s="1">
        <v>12.0</v>
      </c>
      <c r="X221" s="1">
        <v>13.0</v>
      </c>
      <c r="Y221" s="1">
        <v>13.0</v>
      </c>
      <c r="Z221" s="1" t="s">
        <v>53</v>
      </c>
      <c r="AA221" s="1">
        <v>20.0</v>
      </c>
      <c r="AB221" s="1">
        <v>11.0</v>
      </c>
      <c r="AC221" s="1">
        <v>11.0</v>
      </c>
      <c r="AD221" s="1">
        <v>8.0</v>
      </c>
      <c r="AE221" s="1">
        <v>8.0</v>
      </c>
      <c r="AF221" s="1" t="s">
        <v>54</v>
      </c>
      <c r="AG221" s="1">
        <v>15.0</v>
      </c>
      <c r="AH221" s="1">
        <v>6.0</v>
      </c>
      <c r="AI221" s="1">
        <v>6.0</v>
      </c>
      <c r="AJ221" s="1">
        <v>9.0</v>
      </c>
      <c r="AK221" s="1">
        <v>9.0</v>
      </c>
      <c r="AL221" s="1">
        <v>119.0</v>
      </c>
      <c r="AM221" s="1">
        <v>1.0</v>
      </c>
      <c r="AN221" s="1" t="s">
        <v>55</v>
      </c>
      <c r="AO221" s="1" t="s">
        <v>55</v>
      </c>
      <c r="AP221" s="1" t="s">
        <v>1288</v>
      </c>
      <c r="AQ221" s="3" t="str">
        <f>HYPERLINK("https://icf.clappia.com/app/GMB253374/submission/OBJ88285811/ICF247370-GMB253374-50bla7jajd4k00000000/SIG-20250703_092812pdpm.jpeg", "SIG-20250703_092812pdpm.jpeg")</f>
        <v>SIG-20250703_092812pdpm.jpeg</v>
      </c>
      <c r="AR221" s="1" t="s">
        <v>1289</v>
      </c>
      <c r="AS221" s="3" t="str">
        <f>HYPERLINK("https://icf.clappia.com/app/GMB253374/submission/OBJ88285811/ICF247370-GMB253374-13n3g8d4p4ohm0000000/SIG-20250703_09297cag4.jpeg", "SIG-20250703_09297cag4.jpeg")</f>
        <v>SIG-20250703_09297cag4.jpeg</v>
      </c>
      <c r="AT221" s="1" t="s">
        <v>1290</v>
      </c>
      <c r="AU221" s="3" t="str">
        <f>HYPERLINK("https://icf.clappia.com/app/GMB253374/submission/OBJ88285811/ICF247370-GMB253374-62i0b2agl0k800000000/SIG-20250703_09298ggfl.jpeg", "SIG-20250703_09298ggfl.jpeg")</f>
        <v>SIG-20250703_09298ggfl.jpeg</v>
      </c>
      <c r="AV221" s="3" t="str">
        <f>HYPERLINK("https://www.google.com/maps/place/7.9575283%2C-11.7758067", "7.9575283,-11.7758067")</f>
        <v>7.9575283,-11.7758067</v>
      </c>
    </row>
    <row r="222" ht="15.75" customHeight="1">
      <c r="A222" s="1" t="s">
        <v>1291</v>
      </c>
      <c r="B222" s="1" t="s">
        <v>161</v>
      </c>
      <c r="C222" s="1" t="s">
        <v>1292</v>
      </c>
      <c r="D222" s="1" t="s">
        <v>1292</v>
      </c>
      <c r="E222" s="1" t="s">
        <v>1293</v>
      </c>
      <c r="F222" s="1" t="s">
        <v>64</v>
      </c>
      <c r="G222" s="1">
        <v>160.0</v>
      </c>
      <c r="H222" s="1" t="s">
        <v>50</v>
      </c>
      <c r="I222" s="1">
        <v>65.0</v>
      </c>
      <c r="J222" s="1">
        <v>25.0</v>
      </c>
      <c r="K222" s="1">
        <v>25.0</v>
      </c>
      <c r="L222" s="1">
        <v>40.0</v>
      </c>
      <c r="M222" s="1">
        <v>40.0</v>
      </c>
      <c r="N222" s="1" t="s">
        <v>51</v>
      </c>
      <c r="O222" s="1">
        <v>50.0</v>
      </c>
      <c r="P222" s="1">
        <v>20.0</v>
      </c>
      <c r="Q222" s="1">
        <v>20.0</v>
      </c>
      <c r="R222" s="1">
        <v>30.0</v>
      </c>
      <c r="S222" s="1">
        <v>30.0</v>
      </c>
      <c r="T222" s="1" t="s">
        <v>52</v>
      </c>
      <c r="U222" s="1">
        <v>45.0</v>
      </c>
      <c r="V222" s="1">
        <v>15.0</v>
      </c>
      <c r="W222" s="1">
        <v>15.0</v>
      </c>
      <c r="X222" s="1">
        <v>30.0</v>
      </c>
      <c r="Y222" s="1">
        <v>30.0</v>
      </c>
      <c r="Z222" s="1" t="s">
        <v>53</v>
      </c>
      <c r="AA222" s="1" t="s">
        <v>55</v>
      </c>
      <c r="AB222" s="1" t="s">
        <v>55</v>
      </c>
      <c r="AC222" s="1" t="s">
        <v>55</v>
      </c>
      <c r="AD222" s="1" t="s">
        <v>55</v>
      </c>
      <c r="AE222" s="1" t="s">
        <v>55</v>
      </c>
      <c r="AF222" s="1" t="s">
        <v>54</v>
      </c>
      <c r="AG222" s="1" t="s">
        <v>55</v>
      </c>
      <c r="AH222" s="1" t="s">
        <v>55</v>
      </c>
      <c r="AI222" s="1" t="s">
        <v>55</v>
      </c>
      <c r="AJ222" s="1" t="s">
        <v>55</v>
      </c>
      <c r="AK222" s="1" t="s">
        <v>55</v>
      </c>
      <c r="AL222" s="1">
        <v>160.0</v>
      </c>
      <c r="AM222" s="1" t="s">
        <v>55</v>
      </c>
      <c r="AN222" s="1" t="s">
        <v>55</v>
      </c>
      <c r="AO222" s="1" t="s">
        <v>55</v>
      </c>
      <c r="AP222" s="1" t="s">
        <v>1102</v>
      </c>
      <c r="AQ222" s="3" t="str">
        <f>HYPERLINK("https://icf.clappia.com/app/GMB253374/submission/FUH35023530/ICF247370-GMB253374-3pim6h7m28j000000000/SIG-20250702_1234kcad3.jpeg", "SIG-20250702_1234kcad3.jpeg")</f>
        <v>SIG-20250702_1234kcad3.jpeg</v>
      </c>
      <c r="AR222" s="1" t="s">
        <v>1103</v>
      </c>
      <c r="AS222" s="3" t="str">
        <f>HYPERLINK("https://icf.clappia.com/app/GMB253374/submission/FUH35023530/ICF247370-GMB253374-3a7efi3k2m2800000000/SIG-20250702_123514c10d.jpeg", "SIG-20250702_123514c10d.jpeg")</f>
        <v>SIG-20250702_123514c10d.jpeg</v>
      </c>
      <c r="AT222" s="1" t="s">
        <v>1294</v>
      </c>
      <c r="AU222" s="3" t="str">
        <f>HYPERLINK("https://icf.clappia.com/app/GMB253374/submission/FUH35023530/ICF247370-GMB253374-22c5p8di7plmo0000000/SIG-20250702_12368ka5a.jpeg", "SIG-20250702_12368ka5a.jpeg")</f>
        <v>SIG-20250702_12368ka5a.jpeg</v>
      </c>
      <c r="AV222" s="3" t="str">
        <f>HYPERLINK("https://www.google.com/maps/place/8.017421%2C-11.5821865", "8.017421,-11.5821865")</f>
        <v>8.017421,-11.5821865</v>
      </c>
    </row>
    <row r="223" ht="15.75" customHeight="1">
      <c r="A223" s="1" t="s">
        <v>1295</v>
      </c>
      <c r="B223" s="1" t="s">
        <v>248</v>
      </c>
      <c r="C223" s="1" t="s">
        <v>1296</v>
      </c>
      <c r="D223" s="1" t="s">
        <v>1296</v>
      </c>
      <c r="E223" s="1" t="s">
        <v>1297</v>
      </c>
      <c r="F223" s="1" t="s">
        <v>64</v>
      </c>
      <c r="G223" s="1">
        <v>300.0</v>
      </c>
      <c r="H223" s="1" t="s">
        <v>50</v>
      </c>
      <c r="I223" s="1">
        <v>65.0</v>
      </c>
      <c r="J223" s="1">
        <v>35.0</v>
      </c>
      <c r="K223" s="1">
        <v>35.0</v>
      </c>
      <c r="L223" s="1">
        <v>30.0</v>
      </c>
      <c r="M223" s="1">
        <v>30.0</v>
      </c>
      <c r="N223" s="1" t="s">
        <v>51</v>
      </c>
      <c r="O223" s="1">
        <v>60.0</v>
      </c>
      <c r="P223" s="1">
        <v>30.0</v>
      </c>
      <c r="Q223" s="1">
        <v>30.0</v>
      </c>
      <c r="R223" s="1">
        <v>30.0</v>
      </c>
      <c r="S223" s="1">
        <v>30.0</v>
      </c>
      <c r="T223" s="1" t="s">
        <v>52</v>
      </c>
      <c r="U223" s="1">
        <v>55.0</v>
      </c>
      <c r="V223" s="1">
        <v>31.0</v>
      </c>
      <c r="W223" s="1">
        <v>31.0</v>
      </c>
      <c r="X223" s="1">
        <v>24.0</v>
      </c>
      <c r="Y223" s="1">
        <v>24.0</v>
      </c>
      <c r="Z223" s="1" t="s">
        <v>53</v>
      </c>
      <c r="AA223" s="1">
        <v>45.0</v>
      </c>
      <c r="AB223" s="1">
        <v>20.0</v>
      </c>
      <c r="AC223" s="1">
        <v>20.0</v>
      </c>
      <c r="AD223" s="1">
        <v>25.0</v>
      </c>
      <c r="AE223" s="1">
        <v>25.0</v>
      </c>
      <c r="AF223" s="1" t="s">
        <v>54</v>
      </c>
      <c r="AG223" s="1">
        <v>35.0</v>
      </c>
      <c r="AH223" s="1">
        <v>20.0</v>
      </c>
      <c r="AI223" s="1">
        <v>20.0</v>
      </c>
      <c r="AJ223" s="1">
        <v>15.0</v>
      </c>
      <c r="AK223" s="1">
        <v>15.0</v>
      </c>
      <c r="AL223" s="1">
        <v>260.0</v>
      </c>
      <c r="AM223" s="1" t="s">
        <v>55</v>
      </c>
      <c r="AN223" s="1">
        <v>40.0</v>
      </c>
      <c r="AO223" s="1">
        <v>40.0</v>
      </c>
      <c r="AP223" s="1" t="s">
        <v>1298</v>
      </c>
      <c r="AQ223" s="3" t="str">
        <f>HYPERLINK("https://icf.clappia.com/app/GMB253374/submission/PFW71727651/ICF247370-GMB253374-1f1m5l6pgghoc0000000/SIG-20250703_0925md9o5.jpeg", "SIG-20250703_0925md9o5.jpeg")</f>
        <v>SIG-20250703_0925md9o5.jpeg</v>
      </c>
      <c r="AR223" s="1" t="s">
        <v>1299</v>
      </c>
      <c r="AS223" s="3" t="str">
        <f>HYPERLINK("https://icf.clappia.com/app/GMB253374/submission/PFW71727651/ICF247370-GMB253374-6a0bechdni0c00000000/SIG-20250703_09263l52m.jpeg", "SIG-20250703_09263l52m.jpeg")</f>
        <v>SIG-20250703_09263l52m.jpeg</v>
      </c>
      <c r="AT223" s="1" t="s">
        <v>1300</v>
      </c>
      <c r="AU223" s="3" t="str">
        <f>HYPERLINK("https://icf.clappia.com/app/GMB253374/submission/PFW71727651/ICF247370-GMB253374-5gh5ij81e9kg00000000/SIG-20250703_0926l9le4.jpeg", "SIG-20250703_0926l9le4.jpeg")</f>
        <v>SIG-20250703_0926l9le4.jpeg</v>
      </c>
      <c r="AV223" s="3" t="str">
        <f>HYPERLINK("https://www.google.com/maps/place/7.8440466%2C-11.5220301", "7.8440466,-11.5220301")</f>
        <v>7.8440466,-11.5220301</v>
      </c>
    </row>
    <row r="224" ht="15.75" customHeight="1">
      <c r="A224" s="1" t="s">
        <v>1301</v>
      </c>
      <c r="B224" s="1" t="s">
        <v>335</v>
      </c>
      <c r="C224" s="1" t="s">
        <v>1302</v>
      </c>
      <c r="D224" s="1" t="s">
        <v>1302</v>
      </c>
      <c r="E224" s="1" t="s">
        <v>1303</v>
      </c>
      <c r="F224" s="1" t="s">
        <v>64</v>
      </c>
      <c r="G224" s="1">
        <v>97.0</v>
      </c>
      <c r="H224" s="1" t="s">
        <v>50</v>
      </c>
      <c r="I224" s="1">
        <v>33.0</v>
      </c>
      <c r="J224" s="1">
        <v>17.0</v>
      </c>
      <c r="K224" s="1">
        <v>17.0</v>
      </c>
      <c r="L224" s="1">
        <v>16.0</v>
      </c>
      <c r="M224" s="1">
        <v>16.0</v>
      </c>
      <c r="N224" s="1" t="s">
        <v>51</v>
      </c>
      <c r="O224" s="1">
        <v>19.0</v>
      </c>
      <c r="P224" s="1">
        <v>10.0</v>
      </c>
      <c r="Q224" s="1">
        <v>10.0</v>
      </c>
      <c r="R224" s="1">
        <v>9.0</v>
      </c>
      <c r="S224" s="1">
        <v>9.0</v>
      </c>
      <c r="T224" s="1" t="s">
        <v>52</v>
      </c>
      <c r="U224" s="1">
        <v>18.0</v>
      </c>
      <c r="V224" s="1">
        <v>11.0</v>
      </c>
      <c r="W224" s="1">
        <v>11.0</v>
      </c>
      <c r="X224" s="1">
        <v>7.0</v>
      </c>
      <c r="Y224" s="1">
        <v>7.0</v>
      </c>
      <c r="Z224" s="1" t="s">
        <v>53</v>
      </c>
      <c r="AA224" s="1">
        <v>9.0</v>
      </c>
      <c r="AB224" s="1">
        <v>6.0</v>
      </c>
      <c r="AC224" s="1">
        <v>6.0</v>
      </c>
      <c r="AD224" s="1">
        <v>3.0</v>
      </c>
      <c r="AE224" s="1">
        <v>3.0</v>
      </c>
      <c r="AF224" s="1" t="s">
        <v>54</v>
      </c>
      <c r="AG224" s="1">
        <v>9.0</v>
      </c>
      <c r="AH224" s="1">
        <v>5.0</v>
      </c>
      <c r="AI224" s="1">
        <v>5.0</v>
      </c>
      <c r="AJ224" s="1">
        <v>4.0</v>
      </c>
      <c r="AK224" s="1">
        <v>4.0</v>
      </c>
      <c r="AL224" s="1">
        <v>88.0</v>
      </c>
      <c r="AM224" s="1">
        <v>9.0</v>
      </c>
      <c r="AN224" s="1" t="s">
        <v>55</v>
      </c>
      <c r="AO224" s="1" t="s">
        <v>55</v>
      </c>
      <c r="AP224" s="1" t="s">
        <v>1304</v>
      </c>
      <c r="AQ224" s="3" t="str">
        <f>HYPERLINK("https://icf.clappia.com/app/GMB253374/submission/KLM13266837/ICF247370-GMB253374-2im7ak81f8ma00000000/SIG-20250703_0911k9d4d.jpeg", "SIG-20250703_0911k9d4d.jpeg")</f>
        <v>SIG-20250703_0911k9d4d.jpeg</v>
      </c>
      <c r="AR224" s="1" t="s">
        <v>1305</v>
      </c>
      <c r="AS224" s="3" t="str">
        <f>HYPERLINK("https://icf.clappia.com/app/GMB253374/submission/KLM13266837/ICF247370-GMB253374-16pbh2kacik0g0000000/SIG-20250703_0911119n02.jpeg", "SIG-20250703_0911119n02.jpeg")</f>
        <v>SIG-20250703_0911119n02.jpeg</v>
      </c>
      <c r="AT224" s="1" t="s">
        <v>1306</v>
      </c>
      <c r="AU224" s="3" t="str">
        <f>HYPERLINK("https://icf.clappia.com/app/GMB253374/submission/KLM13266837/ICF247370-GMB253374-1p9mh18ha5bp20000000/SIG-20250703_0913p42go.jpeg", "SIG-20250703_0913p42go.jpeg")</f>
        <v>SIG-20250703_0913p42go.jpeg</v>
      </c>
      <c r="AV224" s="3" t="str">
        <f>HYPERLINK("https://www.google.com/maps/place/8.1657167%2C-11.6361433", "8.1657167,-11.6361433")</f>
        <v>8.1657167,-11.6361433</v>
      </c>
    </row>
    <row r="225" ht="15.75" customHeight="1">
      <c r="A225" s="1" t="s">
        <v>1307</v>
      </c>
      <c r="B225" s="1" t="s">
        <v>690</v>
      </c>
      <c r="C225" s="1" t="s">
        <v>1308</v>
      </c>
      <c r="D225" s="1" t="s">
        <v>1308</v>
      </c>
      <c r="E225" s="1" t="s">
        <v>1309</v>
      </c>
      <c r="F225" s="1" t="s">
        <v>64</v>
      </c>
      <c r="G225" s="1">
        <v>183.0</v>
      </c>
      <c r="H225" s="1" t="s">
        <v>50</v>
      </c>
      <c r="I225" s="1">
        <v>58.0</v>
      </c>
      <c r="J225" s="1">
        <v>32.0</v>
      </c>
      <c r="K225" s="1">
        <v>31.0</v>
      </c>
      <c r="L225" s="1">
        <v>26.0</v>
      </c>
      <c r="M225" s="1">
        <v>26.0</v>
      </c>
      <c r="N225" s="1" t="s">
        <v>51</v>
      </c>
      <c r="O225" s="1">
        <v>48.0</v>
      </c>
      <c r="P225" s="1">
        <v>25.0</v>
      </c>
      <c r="Q225" s="1">
        <v>23.0</v>
      </c>
      <c r="R225" s="1">
        <v>23.0</v>
      </c>
      <c r="S225" s="1">
        <v>22.0</v>
      </c>
      <c r="T225" s="1" t="s">
        <v>52</v>
      </c>
      <c r="U225" s="1">
        <v>27.0</v>
      </c>
      <c r="V225" s="1">
        <v>7.0</v>
      </c>
      <c r="W225" s="1">
        <v>7.0</v>
      </c>
      <c r="X225" s="1">
        <v>20.0</v>
      </c>
      <c r="Y225" s="1">
        <v>18.0</v>
      </c>
      <c r="Z225" s="1" t="s">
        <v>53</v>
      </c>
      <c r="AA225" s="1">
        <v>27.0</v>
      </c>
      <c r="AB225" s="1">
        <v>16.0</v>
      </c>
      <c r="AC225" s="1">
        <v>14.0</v>
      </c>
      <c r="AD225" s="1">
        <v>11.0</v>
      </c>
      <c r="AE225" s="1">
        <v>10.0</v>
      </c>
      <c r="AF225" s="1" t="s">
        <v>54</v>
      </c>
      <c r="AG225" s="1">
        <v>23.0</v>
      </c>
      <c r="AH225" s="1">
        <v>13.0</v>
      </c>
      <c r="AI225" s="1">
        <v>12.0</v>
      </c>
      <c r="AJ225" s="1">
        <v>10.0</v>
      </c>
      <c r="AK225" s="1">
        <v>10.0</v>
      </c>
      <c r="AL225" s="1">
        <v>173.0</v>
      </c>
      <c r="AM225" s="1">
        <v>10.0</v>
      </c>
      <c r="AN225" s="1" t="s">
        <v>55</v>
      </c>
      <c r="AO225" s="1" t="s">
        <v>55</v>
      </c>
      <c r="AP225" s="1" t="s">
        <v>1310</v>
      </c>
      <c r="AQ225" s="3" t="str">
        <f>HYPERLINK("https://icf.clappia.com/app/GMB253374/submission/QWR12243882/ICF247370-GMB253374-1jk2j6goh1im40000000/SIG-20250702_14469mk46.jpeg", "SIG-20250702_14469mk46.jpeg")</f>
        <v>SIG-20250702_14469mk46.jpeg</v>
      </c>
      <c r="AR225" s="1" t="s">
        <v>1311</v>
      </c>
      <c r="AS225" s="3" t="str">
        <f>HYPERLINK("https://icf.clappia.com/app/GMB253374/submission/QWR12243882/ICF247370-GMB253374-1lfamkhb8m70e0000000/SIG-20250702_1447hbi41.jpeg", "SIG-20250702_1447hbi41.jpeg")</f>
        <v>SIG-20250702_1447hbi41.jpeg</v>
      </c>
      <c r="AT225" s="1" t="s">
        <v>1312</v>
      </c>
      <c r="AU225" s="3" t="str">
        <f>HYPERLINK("https://icf.clappia.com/app/GMB253374/submission/QWR12243882/ICF247370-GMB253374-4oa5enfmp5he00000000/SIG-20250702_1447kolab.jpeg", "SIG-20250702_1447kolab.jpeg")</f>
        <v>SIG-20250702_1447kolab.jpeg</v>
      </c>
      <c r="AV225" s="3" t="str">
        <f>HYPERLINK("https://www.google.com/maps/place/8.8411835%2C-12.0534414", "8.8411835,-12.0534414")</f>
        <v>8.8411835,-12.0534414</v>
      </c>
    </row>
    <row r="226" ht="15.75" customHeight="1">
      <c r="A226" s="1" t="s">
        <v>1313</v>
      </c>
      <c r="B226" s="1" t="s">
        <v>690</v>
      </c>
      <c r="C226" s="1" t="s">
        <v>1314</v>
      </c>
      <c r="D226" s="1" t="s">
        <v>1314</v>
      </c>
      <c r="E226" s="1" t="s">
        <v>1315</v>
      </c>
      <c r="F226" s="1" t="s">
        <v>64</v>
      </c>
      <c r="G226" s="1">
        <v>220.0</v>
      </c>
      <c r="H226" s="1" t="s">
        <v>50</v>
      </c>
      <c r="I226" s="1">
        <v>55.0</v>
      </c>
      <c r="J226" s="1">
        <v>25.0</v>
      </c>
      <c r="K226" s="1">
        <v>24.0</v>
      </c>
      <c r="L226" s="1">
        <v>30.0</v>
      </c>
      <c r="M226" s="1">
        <v>28.0</v>
      </c>
      <c r="N226" s="1" t="s">
        <v>51</v>
      </c>
      <c r="O226" s="1">
        <v>49.0</v>
      </c>
      <c r="P226" s="1">
        <v>20.0</v>
      </c>
      <c r="Q226" s="1">
        <v>20.0</v>
      </c>
      <c r="R226" s="1">
        <v>29.0</v>
      </c>
      <c r="S226" s="1">
        <v>26.0</v>
      </c>
      <c r="T226" s="1" t="s">
        <v>52</v>
      </c>
      <c r="U226" s="1">
        <v>50.0</v>
      </c>
      <c r="V226" s="1">
        <v>20.0</v>
      </c>
      <c r="W226" s="1">
        <v>19.0</v>
      </c>
      <c r="X226" s="1">
        <v>30.0</v>
      </c>
      <c r="Y226" s="1">
        <v>29.0</v>
      </c>
      <c r="Z226" s="1" t="s">
        <v>53</v>
      </c>
      <c r="AA226" s="1">
        <v>34.0</v>
      </c>
      <c r="AB226" s="1">
        <v>15.0</v>
      </c>
      <c r="AC226" s="1">
        <v>15.0</v>
      </c>
      <c r="AD226" s="1">
        <v>19.0</v>
      </c>
      <c r="AE226" s="1">
        <v>18.0</v>
      </c>
      <c r="AF226" s="1" t="s">
        <v>54</v>
      </c>
      <c r="AG226" s="1">
        <v>36.0</v>
      </c>
      <c r="AH226" s="1">
        <v>20.0</v>
      </c>
      <c r="AI226" s="1">
        <v>19.0</v>
      </c>
      <c r="AJ226" s="1">
        <v>16.0</v>
      </c>
      <c r="AK226" s="1">
        <v>16.0</v>
      </c>
      <c r="AL226" s="1">
        <v>214.0</v>
      </c>
      <c r="AM226" s="1">
        <v>6.0</v>
      </c>
      <c r="AN226" s="1" t="s">
        <v>55</v>
      </c>
      <c r="AO226" s="1" t="s">
        <v>55</v>
      </c>
      <c r="AP226" s="1" t="s">
        <v>1316</v>
      </c>
      <c r="AQ226" s="3" t="str">
        <f>HYPERLINK("https://icf.clappia.com/app/GMB253374/submission/TKK93596220/ICF247370-GMB253374-4ehbagnfefda00000000/SIG-20250703_083111ea1m.jpeg", "SIG-20250703_083111ea1m.jpeg")</f>
        <v>SIG-20250703_083111ea1m.jpeg</v>
      </c>
      <c r="AR226" s="1" t="s">
        <v>1317</v>
      </c>
      <c r="AS226" s="3" t="str">
        <f>HYPERLINK("https://icf.clappia.com/app/GMB253374/submission/TKK93596220/ICF247370-GMB253374-5ib85ho9fble00000000/SIG-20250703_083199ngg.jpeg", "SIG-20250703_083199ngg.jpeg")</f>
        <v>SIG-20250703_083199ngg.jpeg</v>
      </c>
      <c r="AT226" s="1" t="s">
        <v>1318</v>
      </c>
      <c r="AU226" s="3" t="str">
        <f>HYPERLINK("https://icf.clappia.com/app/GMB253374/submission/TKK93596220/ICF247370-GMB253374-15gdmei7bonbm0000000/SIG-20250703_083217041b.jpeg", "SIG-20250703_083217041b.jpeg")</f>
        <v>SIG-20250703_083217041b.jpeg</v>
      </c>
      <c r="AV226" s="3" t="str">
        <f>HYPERLINK("https://www.google.com/maps/place/8.8658204%2C-12.0759342", "8.8658204,-12.0759342")</f>
        <v>8.8658204,-12.0759342</v>
      </c>
    </row>
    <row r="227" ht="15.75" customHeight="1">
      <c r="A227" s="1" t="s">
        <v>1319</v>
      </c>
      <c r="B227" s="1" t="s">
        <v>349</v>
      </c>
      <c r="C227" s="1" t="s">
        <v>1320</v>
      </c>
      <c r="D227" s="1" t="s">
        <v>1320</v>
      </c>
      <c r="E227" s="1" t="s">
        <v>1321</v>
      </c>
      <c r="F227" s="1" t="s">
        <v>64</v>
      </c>
      <c r="G227" s="1">
        <v>200.0</v>
      </c>
      <c r="H227" s="1" t="s">
        <v>50</v>
      </c>
      <c r="I227" s="1">
        <v>25.0</v>
      </c>
      <c r="J227" s="1">
        <v>10.0</v>
      </c>
      <c r="K227" s="1">
        <v>10.0</v>
      </c>
      <c r="L227" s="1">
        <v>15.0</v>
      </c>
      <c r="M227" s="1">
        <v>15.0</v>
      </c>
      <c r="N227" s="1" t="s">
        <v>51</v>
      </c>
      <c r="O227" s="1">
        <v>29.0</v>
      </c>
      <c r="P227" s="1">
        <v>15.0</v>
      </c>
      <c r="Q227" s="1">
        <v>15.0</v>
      </c>
      <c r="R227" s="1">
        <v>14.0</v>
      </c>
      <c r="S227" s="1">
        <v>14.0</v>
      </c>
      <c r="T227" s="1" t="s">
        <v>52</v>
      </c>
      <c r="U227" s="1">
        <v>23.0</v>
      </c>
      <c r="V227" s="1">
        <v>10.0</v>
      </c>
      <c r="W227" s="1">
        <v>10.0</v>
      </c>
      <c r="X227" s="1">
        <v>13.0</v>
      </c>
      <c r="Y227" s="1">
        <v>13.0</v>
      </c>
      <c r="Z227" s="1" t="s">
        <v>53</v>
      </c>
      <c r="AA227" s="1">
        <v>23.0</v>
      </c>
      <c r="AB227" s="1">
        <v>12.0</v>
      </c>
      <c r="AC227" s="1">
        <v>12.0</v>
      </c>
      <c r="AD227" s="1">
        <v>11.0</v>
      </c>
      <c r="AE227" s="1">
        <v>11.0</v>
      </c>
      <c r="AF227" s="1" t="s">
        <v>54</v>
      </c>
      <c r="AG227" s="1">
        <v>19.0</v>
      </c>
      <c r="AH227" s="1">
        <v>11.0</v>
      </c>
      <c r="AI227" s="1">
        <v>11.0</v>
      </c>
      <c r="AJ227" s="1">
        <v>8.0</v>
      </c>
      <c r="AK227" s="1">
        <v>8.0</v>
      </c>
      <c r="AL227" s="1">
        <v>119.0</v>
      </c>
      <c r="AM227" s="1" t="s">
        <v>55</v>
      </c>
      <c r="AN227" s="1">
        <v>81.0</v>
      </c>
      <c r="AO227" s="1">
        <v>81.0</v>
      </c>
      <c r="AP227" s="1" t="s">
        <v>1322</v>
      </c>
      <c r="AQ227" s="3" t="str">
        <f>HYPERLINK("https://icf.clappia.com/app/GMB253374/submission/WSK99629132/ICF247370-GMB253374-1dog7j51fnkba0000000/SIG-20250702_1234mbcka.jpeg", "SIG-20250702_1234mbcka.jpeg")</f>
        <v>SIG-20250702_1234mbcka.jpeg</v>
      </c>
      <c r="AR227" s="1" t="s">
        <v>1323</v>
      </c>
      <c r="AS227" s="3" t="str">
        <f>HYPERLINK("https://icf.clappia.com/app/GMB253374/submission/WSK99629132/ICF247370-GMB253374-2cd3k8akcc6e00000000/SIG-20250702_123317o23i.jpeg", "SIG-20250702_123317o23i.jpeg")</f>
        <v>SIG-20250702_123317o23i.jpeg</v>
      </c>
      <c r="AT227" s="1" t="s">
        <v>1324</v>
      </c>
      <c r="AU227" s="3" t="str">
        <f>HYPERLINK("https://icf.clappia.com/app/GMB253374/submission/WSK99629132/ICF247370-GMB253374-625nnnfei2680000000/SIG-20250702_1233a7hgn.jpeg", "SIG-20250702_1233a7hgn.jpeg")</f>
        <v>SIG-20250702_1233a7hgn.jpeg</v>
      </c>
      <c r="AV227" s="3" t="str">
        <f>HYPERLINK("https://www.google.com/maps/place/8.9501383%2C-11.9823083", "8.9501383,-11.9823083")</f>
        <v>8.9501383,-11.9823083</v>
      </c>
    </row>
    <row r="228" ht="15.75" customHeight="1">
      <c r="A228" s="1" t="s">
        <v>1325</v>
      </c>
      <c r="B228" s="1" t="s">
        <v>248</v>
      </c>
      <c r="C228" s="1" t="s">
        <v>1326</v>
      </c>
      <c r="D228" s="1" t="s">
        <v>1326</v>
      </c>
      <c r="E228" s="1" t="s">
        <v>1327</v>
      </c>
      <c r="F228" s="1" t="s">
        <v>64</v>
      </c>
      <c r="G228" s="1">
        <v>168.0</v>
      </c>
      <c r="H228" s="1" t="s">
        <v>50</v>
      </c>
      <c r="I228" s="1">
        <v>46.0</v>
      </c>
      <c r="J228" s="1">
        <v>25.0</v>
      </c>
      <c r="K228" s="1">
        <v>25.0</v>
      </c>
      <c r="L228" s="1">
        <v>21.0</v>
      </c>
      <c r="M228" s="1">
        <v>21.0</v>
      </c>
      <c r="N228" s="1" t="s">
        <v>51</v>
      </c>
      <c r="O228" s="1">
        <v>31.0</v>
      </c>
      <c r="P228" s="1">
        <v>12.0</v>
      </c>
      <c r="Q228" s="1">
        <v>12.0</v>
      </c>
      <c r="R228" s="1">
        <v>19.0</v>
      </c>
      <c r="S228" s="1">
        <v>19.0</v>
      </c>
      <c r="T228" s="1" t="s">
        <v>52</v>
      </c>
      <c r="U228" s="1">
        <v>28.0</v>
      </c>
      <c r="V228" s="1">
        <v>15.0</v>
      </c>
      <c r="W228" s="1">
        <v>15.0</v>
      </c>
      <c r="X228" s="1">
        <v>13.0</v>
      </c>
      <c r="Y228" s="1">
        <v>13.0</v>
      </c>
      <c r="Z228" s="1" t="s">
        <v>53</v>
      </c>
      <c r="AA228" s="1">
        <v>37.0</v>
      </c>
      <c r="AB228" s="1">
        <v>17.0</v>
      </c>
      <c r="AC228" s="1">
        <v>17.0</v>
      </c>
      <c r="AD228" s="1">
        <v>20.0</v>
      </c>
      <c r="AE228" s="1">
        <v>20.0</v>
      </c>
      <c r="AF228" s="1" t="s">
        <v>54</v>
      </c>
      <c r="AG228" s="1">
        <v>26.0</v>
      </c>
      <c r="AH228" s="1">
        <v>12.0</v>
      </c>
      <c r="AI228" s="1">
        <v>12.0</v>
      </c>
      <c r="AJ228" s="1">
        <v>14.0</v>
      </c>
      <c r="AK228" s="1">
        <v>14.0</v>
      </c>
      <c r="AL228" s="1">
        <v>168.0</v>
      </c>
      <c r="AM228" s="1" t="s">
        <v>55</v>
      </c>
      <c r="AN228" s="1" t="s">
        <v>55</v>
      </c>
      <c r="AO228" s="1" t="s">
        <v>55</v>
      </c>
      <c r="AP228" s="1" t="s">
        <v>251</v>
      </c>
      <c r="AQ228" s="3" t="str">
        <f>HYPERLINK("https://icf.clappia.com/app/GMB253374/submission/OUD82457005/ICF247370-GMB253374-69c4icnlb56c00000000/SIG-20250702_1042dlbb9.jpeg", "SIG-20250702_1042dlbb9.jpeg")</f>
        <v>SIG-20250702_1042dlbb9.jpeg</v>
      </c>
      <c r="AR228" s="1" t="s">
        <v>252</v>
      </c>
      <c r="AS228" s="3" t="str">
        <f>HYPERLINK("https://icf.clappia.com/app/GMB253374/submission/OUD82457005/ICF247370-GMB253374-6aom3e91ef5i00000000/SIG-20250702_1041mjfal.jpeg", "SIG-20250702_1041mjfal.jpeg")</f>
        <v>SIG-20250702_1041mjfal.jpeg</v>
      </c>
      <c r="AT228" s="1" t="s">
        <v>253</v>
      </c>
      <c r="AU228" s="3" t="str">
        <f>HYPERLINK("https://icf.clappia.com/app/GMB253374/submission/OUD82457005/ICF247370-GMB253374-2icao6gpb1io00000000/SIG-20250702_104116g7eb.jpeg", "SIG-20250702_104116g7eb.jpeg")</f>
        <v>SIG-20250702_104116g7eb.jpeg</v>
      </c>
      <c r="AV228" s="3" t="str">
        <f>HYPERLINK("https://www.google.com/maps/place/7.9315772%2C-11.6355103", "7.9315772,-11.6355103")</f>
        <v>7.9315772,-11.6355103</v>
      </c>
    </row>
    <row r="229" ht="15.75" customHeight="1">
      <c r="A229" s="1" t="s">
        <v>1328</v>
      </c>
      <c r="B229" s="1" t="s">
        <v>155</v>
      </c>
      <c r="C229" s="1" t="s">
        <v>1329</v>
      </c>
      <c r="D229" s="1" t="s">
        <v>1330</v>
      </c>
      <c r="E229" s="1" t="s">
        <v>1331</v>
      </c>
      <c r="F229" s="1" t="s">
        <v>64</v>
      </c>
      <c r="G229" s="1">
        <v>136.0</v>
      </c>
      <c r="H229" s="1" t="s">
        <v>50</v>
      </c>
      <c r="I229" s="1">
        <v>65.0</v>
      </c>
      <c r="J229" s="1">
        <v>40.0</v>
      </c>
      <c r="K229" s="1">
        <v>40.0</v>
      </c>
      <c r="L229" s="1">
        <v>25.0</v>
      </c>
      <c r="M229" s="1">
        <v>25.0</v>
      </c>
      <c r="N229" s="1" t="s">
        <v>51</v>
      </c>
      <c r="O229" s="1">
        <v>60.0</v>
      </c>
      <c r="P229" s="1">
        <v>32.0</v>
      </c>
      <c r="Q229" s="1">
        <v>32.0</v>
      </c>
      <c r="R229" s="1">
        <v>28.0</v>
      </c>
      <c r="S229" s="1">
        <v>28.0</v>
      </c>
      <c r="T229" s="1" t="s">
        <v>52</v>
      </c>
      <c r="U229" s="1">
        <v>56.0</v>
      </c>
      <c r="V229" s="1">
        <v>39.0</v>
      </c>
      <c r="W229" s="1">
        <v>6.0</v>
      </c>
      <c r="X229" s="1">
        <v>17.0</v>
      </c>
      <c r="Y229" s="1">
        <v>5.0</v>
      </c>
      <c r="Z229" s="1" t="s">
        <v>53</v>
      </c>
      <c r="AA229" s="1">
        <v>59.0</v>
      </c>
      <c r="AB229" s="1">
        <v>33.0</v>
      </c>
      <c r="AC229" s="1" t="s">
        <v>55</v>
      </c>
      <c r="AD229" s="1">
        <v>26.0</v>
      </c>
      <c r="AE229" s="1" t="s">
        <v>55</v>
      </c>
      <c r="AF229" s="1" t="s">
        <v>54</v>
      </c>
      <c r="AG229" s="1">
        <v>22.0</v>
      </c>
      <c r="AH229" s="1">
        <v>10.0</v>
      </c>
      <c r="AI229" s="1" t="s">
        <v>55</v>
      </c>
      <c r="AJ229" s="1">
        <v>12.0</v>
      </c>
      <c r="AK229" s="1" t="s">
        <v>55</v>
      </c>
      <c r="AL229" s="1">
        <v>136.0</v>
      </c>
      <c r="AM229" s="1" t="s">
        <v>55</v>
      </c>
      <c r="AN229" s="1" t="s">
        <v>55</v>
      </c>
      <c r="AO229" s="1" t="s">
        <v>55</v>
      </c>
      <c r="AP229" s="1" t="s">
        <v>1332</v>
      </c>
      <c r="AQ229" s="3" t="str">
        <f>HYPERLINK("https://icf.clappia.com/app/GMB253374/submission/JBK53515484/ICF247370-GMB253374-425egclk1jhg00000000/SIG-20250702_1157d904j.jpeg", "SIG-20250702_1157d904j.jpeg")</f>
        <v>SIG-20250702_1157d904j.jpeg</v>
      </c>
      <c r="AR229" s="1" t="s">
        <v>1333</v>
      </c>
      <c r="AS229" s="3" t="str">
        <f>HYPERLINK("https://icf.clappia.com/app/GMB253374/submission/JBK53515484/ICF247370-GMB253374-1o3gepbk98fi00000000/SIG-20250702_115813p1kf.jpeg", "SIG-20250702_115813p1kf.jpeg")</f>
        <v>SIG-20250702_115813p1kf.jpeg</v>
      </c>
      <c r="AT229" s="1" t="s">
        <v>1334</v>
      </c>
      <c r="AU229" s="3" t="str">
        <f>HYPERLINK("https://icf.clappia.com/app/GMB253374/submission/JBK53515484/ICF247370-GMB253374-500lg4ki7mmk00000000/SIG-20250703_08005cme7.jpeg", "SIG-20250703_08005cme7.jpeg")</f>
        <v>SIG-20250703_08005cme7.jpeg</v>
      </c>
      <c r="AV229" s="3" t="str">
        <f>HYPERLINK("https://www.google.com/maps/place/8.909925%2C-11.904035", "8.909925,-11.904035")</f>
        <v>8.909925,-11.904035</v>
      </c>
    </row>
    <row r="230" ht="15.75" customHeight="1">
      <c r="A230" s="1" t="s">
        <v>1335</v>
      </c>
      <c r="B230" s="1" t="s">
        <v>342</v>
      </c>
      <c r="C230" s="1" t="s">
        <v>1336</v>
      </c>
      <c r="D230" s="1" t="s">
        <v>1336</v>
      </c>
      <c r="E230" s="1" t="s">
        <v>1337</v>
      </c>
      <c r="F230" s="1" t="s">
        <v>64</v>
      </c>
      <c r="G230" s="1">
        <v>150.0</v>
      </c>
      <c r="H230" s="1" t="s">
        <v>50</v>
      </c>
      <c r="I230" s="1">
        <v>46.0</v>
      </c>
      <c r="J230" s="1">
        <v>20.0</v>
      </c>
      <c r="K230" s="1">
        <v>19.0</v>
      </c>
      <c r="L230" s="1">
        <v>26.0</v>
      </c>
      <c r="M230" s="1">
        <v>25.0</v>
      </c>
      <c r="N230" s="1" t="s">
        <v>51</v>
      </c>
      <c r="O230" s="1">
        <v>36.0</v>
      </c>
      <c r="P230" s="1">
        <v>17.0</v>
      </c>
      <c r="Q230" s="1">
        <v>17.0</v>
      </c>
      <c r="R230" s="1">
        <v>19.0</v>
      </c>
      <c r="S230" s="1">
        <v>19.0</v>
      </c>
      <c r="T230" s="1" t="s">
        <v>52</v>
      </c>
      <c r="U230" s="1">
        <v>34.0</v>
      </c>
      <c r="V230" s="1">
        <v>14.0</v>
      </c>
      <c r="W230" s="1">
        <v>13.0</v>
      </c>
      <c r="X230" s="1">
        <v>20.0</v>
      </c>
      <c r="Y230" s="1">
        <v>20.0</v>
      </c>
      <c r="Z230" s="1" t="s">
        <v>53</v>
      </c>
      <c r="AA230" s="1">
        <v>20.0</v>
      </c>
      <c r="AB230" s="1">
        <v>8.0</v>
      </c>
      <c r="AC230" s="1">
        <v>8.0</v>
      </c>
      <c r="AD230" s="1">
        <v>12.0</v>
      </c>
      <c r="AE230" s="1">
        <v>12.0</v>
      </c>
      <c r="AF230" s="1" t="s">
        <v>54</v>
      </c>
      <c r="AG230" s="1">
        <v>14.0</v>
      </c>
      <c r="AH230" s="1">
        <v>7.0</v>
      </c>
      <c r="AI230" s="1">
        <v>7.0</v>
      </c>
      <c r="AJ230" s="1">
        <v>7.0</v>
      </c>
      <c r="AK230" s="1">
        <v>7.0</v>
      </c>
      <c r="AL230" s="1">
        <v>147.0</v>
      </c>
      <c r="AM230" s="1">
        <v>3.0</v>
      </c>
      <c r="AN230" s="1" t="s">
        <v>55</v>
      </c>
      <c r="AO230" s="1" t="s">
        <v>55</v>
      </c>
      <c r="AP230" s="1" t="s">
        <v>345</v>
      </c>
      <c r="AQ230" s="3" t="str">
        <f>HYPERLINK("https://icf.clappia.com/app/GMB253374/submission/VFM17506604/ICF247370-GMB253374-5hjdg2ld16m400000000/SIG-20250702_20262g9il.jpeg", "SIG-20250702_20262g9il.jpeg")</f>
        <v>SIG-20250702_20262g9il.jpeg</v>
      </c>
      <c r="AR230" s="1" t="s">
        <v>346</v>
      </c>
      <c r="AS230" s="3" t="str">
        <f>HYPERLINK("https://icf.clappia.com/app/GMB253374/submission/VFM17506604/ICF247370-GMB253374-3j0a2i5b3ie600000000/SIG-20250702_12289eo4h.jpeg", "SIG-20250702_12289eo4h.jpeg")</f>
        <v>SIG-20250702_12289eo4h.jpeg</v>
      </c>
      <c r="AT230" s="1" t="s">
        <v>347</v>
      </c>
      <c r="AU230" s="3" t="str">
        <f>HYPERLINK("https://icf.clappia.com/app/GMB253374/submission/VFM17506604/ICF247370-GMB253374-16mae8j867hm80000000/SIG-20250702_2026emhb7.jpeg", "SIG-20250702_2026emhb7.jpeg")</f>
        <v>SIG-20250702_2026emhb7.jpeg</v>
      </c>
      <c r="AV230" s="3" t="str">
        <f>HYPERLINK("https://www.google.com/maps/place/9.1206567%2C-12.1117883", "9.1206567,-12.1117883")</f>
        <v>9.1206567,-12.1117883</v>
      </c>
    </row>
    <row r="231" ht="15.75" customHeight="1">
      <c r="A231" s="1" t="s">
        <v>1338</v>
      </c>
      <c r="B231" s="1" t="s">
        <v>60</v>
      </c>
      <c r="C231" s="1" t="s">
        <v>1336</v>
      </c>
      <c r="D231" s="1" t="s">
        <v>1336</v>
      </c>
      <c r="E231" s="1" t="s">
        <v>1339</v>
      </c>
      <c r="F231" s="1" t="s">
        <v>64</v>
      </c>
      <c r="G231" s="1">
        <v>91.0</v>
      </c>
      <c r="H231" s="1" t="s">
        <v>50</v>
      </c>
      <c r="I231" s="1">
        <v>28.0</v>
      </c>
      <c r="J231" s="1">
        <v>10.0</v>
      </c>
      <c r="K231" s="1">
        <v>10.0</v>
      </c>
      <c r="L231" s="1">
        <v>18.0</v>
      </c>
      <c r="M231" s="1">
        <v>18.0</v>
      </c>
      <c r="N231" s="1" t="s">
        <v>51</v>
      </c>
      <c r="O231" s="1">
        <v>24.0</v>
      </c>
      <c r="P231" s="1">
        <v>11.0</v>
      </c>
      <c r="Q231" s="1">
        <v>11.0</v>
      </c>
      <c r="R231" s="1">
        <v>13.0</v>
      </c>
      <c r="S231" s="1">
        <v>13.0</v>
      </c>
      <c r="T231" s="1" t="s">
        <v>52</v>
      </c>
      <c r="U231" s="1">
        <v>15.0</v>
      </c>
      <c r="V231" s="1">
        <v>7.0</v>
      </c>
      <c r="W231" s="1">
        <v>7.0</v>
      </c>
      <c r="X231" s="1">
        <v>8.0</v>
      </c>
      <c r="Y231" s="1">
        <v>8.0</v>
      </c>
      <c r="Z231" s="1" t="s">
        <v>53</v>
      </c>
      <c r="AA231" s="1">
        <v>16.0</v>
      </c>
      <c r="AB231" s="1">
        <v>8.0</v>
      </c>
      <c r="AC231" s="1">
        <v>8.0</v>
      </c>
      <c r="AD231" s="1">
        <v>8.0</v>
      </c>
      <c r="AE231" s="1">
        <v>8.0</v>
      </c>
      <c r="AF231" s="1" t="s">
        <v>54</v>
      </c>
      <c r="AG231" s="1">
        <v>8.0</v>
      </c>
      <c r="AH231" s="1">
        <v>3.0</v>
      </c>
      <c r="AI231" s="1">
        <v>3.0</v>
      </c>
      <c r="AJ231" s="1">
        <v>5.0</v>
      </c>
      <c r="AK231" s="1">
        <v>5.0</v>
      </c>
      <c r="AL231" s="1">
        <v>91.0</v>
      </c>
      <c r="AM231" s="1" t="s">
        <v>55</v>
      </c>
      <c r="AN231" s="1" t="s">
        <v>55</v>
      </c>
      <c r="AO231" s="1" t="s">
        <v>55</v>
      </c>
      <c r="AP231" s="1" t="s">
        <v>1032</v>
      </c>
      <c r="AQ231" s="3" t="str">
        <f>HYPERLINK("https://icf.clappia.com/app/GMB253374/submission/XUT21696431/ICF247370-GMB253374-3caem27mbc440000000/SIG-20250702_200131dp8.jpeg", "SIG-20250702_200131dp8.jpeg")</f>
        <v>SIG-20250702_200131dp8.jpeg</v>
      </c>
      <c r="AR231" s="1" t="s">
        <v>1340</v>
      </c>
      <c r="AS231" s="3" t="str">
        <f>HYPERLINK("https://icf.clappia.com/app/GMB253374/submission/XUT21696431/ICF247370-GMB253374-246hb27563mfa0000000/SIG-20250702_20018fnhh.jpeg", "SIG-20250702_20018fnhh.jpeg")</f>
        <v>SIG-20250702_20018fnhh.jpeg</v>
      </c>
      <c r="AT231" s="1" t="s">
        <v>1341</v>
      </c>
      <c r="AU231" s="3" t="str">
        <f>HYPERLINK("https://icf.clappia.com/app/GMB253374/submission/XUT21696431/ICF247370-GMB253374-fagf2gg9omko0000000/SIG-20250702_20022la3b.jpeg", "SIG-20250702_20022la3b.jpeg")</f>
        <v>SIG-20250702_20022la3b.jpeg</v>
      </c>
      <c r="AV231" s="3" t="str">
        <f>HYPERLINK("https://www.google.com/maps/place/8.7972133%2C-12.311155", "8.7972133,-12.311155")</f>
        <v>8.7972133,-12.311155</v>
      </c>
    </row>
    <row r="232" ht="15.75" customHeight="1">
      <c r="A232" s="1" t="s">
        <v>1342</v>
      </c>
      <c r="B232" s="1" t="s">
        <v>60</v>
      </c>
      <c r="C232" s="1" t="s">
        <v>1343</v>
      </c>
      <c r="D232" s="1" t="s">
        <v>1344</v>
      </c>
      <c r="E232" s="1" t="s">
        <v>1345</v>
      </c>
      <c r="F232" s="1" t="s">
        <v>64</v>
      </c>
      <c r="G232" s="1">
        <v>164.0</v>
      </c>
      <c r="H232" s="1" t="s">
        <v>50</v>
      </c>
      <c r="I232" s="1">
        <v>55.0</v>
      </c>
      <c r="J232" s="1">
        <v>30.0</v>
      </c>
      <c r="K232" s="1">
        <v>30.0</v>
      </c>
      <c r="L232" s="1">
        <v>25.0</v>
      </c>
      <c r="M232" s="1">
        <v>25.0</v>
      </c>
      <c r="N232" s="1" t="s">
        <v>51</v>
      </c>
      <c r="O232" s="1">
        <v>28.0</v>
      </c>
      <c r="P232" s="1">
        <v>15.0</v>
      </c>
      <c r="Q232" s="1">
        <v>15.0</v>
      </c>
      <c r="R232" s="1">
        <v>13.0</v>
      </c>
      <c r="S232" s="1">
        <v>13.0</v>
      </c>
      <c r="T232" s="1" t="s">
        <v>52</v>
      </c>
      <c r="U232" s="1">
        <v>37.0</v>
      </c>
      <c r="V232" s="1">
        <v>17.0</v>
      </c>
      <c r="W232" s="1">
        <v>17.0</v>
      </c>
      <c r="X232" s="1">
        <v>20.0</v>
      </c>
      <c r="Y232" s="1">
        <v>20.0</v>
      </c>
      <c r="Z232" s="1" t="s">
        <v>53</v>
      </c>
      <c r="AA232" s="1">
        <v>19.0</v>
      </c>
      <c r="AB232" s="1">
        <v>8.0</v>
      </c>
      <c r="AC232" s="1">
        <v>8.0</v>
      </c>
      <c r="AD232" s="1">
        <v>11.0</v>
      </c>
      <c r="AE232" s="1">
        <v>11.0</v>
      </c>
      <c r="AF232" s="1" t="s">
        <v>54</v>
      </c>
      <c r="AG232" s="1">
        <v>25.0</v>
      </c>
      <c r="AH232" s="1">
        <v>14.0</v>
      </c>
      <c r="AI232" s="1">
        <v>14.0</v>
      </c>
      <c r="AJ232" s="1">
        <v>11.0</v>
      </c>
      <c r="AK232" s="1">
        <v>11.0</v>
      </c>
      <c r="AL232" s="1">
        <v>164.0</v>
      </c>
      <c r="AM232" s="1" t="s">
        <v>55</v>
      </c>
      <c r="AN232" s="1" t="s">
        <v>55</v>
      </c>
      <c r="AO232" s="1" t="s">
        <v>55</v>
      </c>
      <c r="AP232" s="1" t="s">
        <v>1032</v>
      </c>
      <c r="AQ232" s="3" t="str">
        <f>HYPERLINK("https://icf.clappia.com/app/GMB253374/submission/PZM54262711/ICF247370-GMB253374-1c4jcop9c84ic0000000/SIG-20250702_184813ci2h.jpeg", "SIG-20250702_184813ci2h.jpeg")</f>
        <v>SIG-20250702_184813ci2h.jpeg</v>
      </c>
      <c r="AR232" s="1" t="s">
        <v>1340</v>
      </c>
      <c r="AS232" s="3" t="str">
        <f>HYPERLINK("https://icf.clappia.com/app/GMB253374/submission/PZM54262711/ICF247370-GMB253374-452hh92jh4220000000/SIG-20250702_184815gllo.jpeg", "SIG-20250702_184815gllo.jpeg")</f>
        <v>SIG-20250702_184815gllo.jpeg</v>
      </c>
      <c r="AT232" s="1" t="s">
        <v>1341</v>
      </c>
      <c r="AU232" s="3" t="str">
        <f>HYPERLINK("https://icf.clappia.com/app/GMB253374/submission/PZM54262711/ICF247370-GMB253374-2dhlfbde6mda00000000/SIG-20250702_1849d8oi.jpeg", "SIG-20250702_1849d8oi.jpeg")</f>
        <v>SIG-20250702_1849d8oi.jpeg</v>
      </c>
      <c r="AV232" s="3" t="str">
        <f>HYPERLINK("https://www.google.com/maps/place/8.7966383%2C-12.3115483", "8.7966383,-12.3115483")</f>
        <v>8.7966383,-12.3115483</v>
      </c>
    </row>
    <row r="233" ht="15.75" customHeight="1">
      <c r="A233" s="1" t="s">
        <v>1346</v>
      </c>
      <c r="B233" s="1" t="s">
        <v>75</v>
      </c>
      <c r="C233" s="1" t="s">
        <v>1347</v>
      </c>
      <c r="D233" s="1" t="s">
        <v>1347</v>
      </c>
      <c r="E233" s="1" t="s">
        <v>1348</v>
      </c>
      <c r="F233" s="1" t="s">
        <v>64</v>
      </c>
      <c r="G233" s="1">
        <v>100.0</v>
      </c>
      <c r="H233" s="1" t="s">
        <v>50</v>
      </c>
      <c r="I233" s="1">
        <v>30.0</v>
      </c>
      <c r="J233" s="1">
        <v>15.0</v>
      </c>
      <c r="K233" s="1">
        <v>15.0</v>
      </c>
      <c r="L233" s="1">
        <v>15.0</v>
      </c>
      <c r="M233" s="1">
        <v>15.0</v>
      </c>
      <c r="N233" s="1" t="s">
        <v>51</v>
      </c>
      <c r="O233" s="1">
        <v>28.0</v>
      </c>
      <c r="P233" s="1">
        <v>18.0</v>
      </c>
      <c r="Q233" s="1">
        <v>18.0</v>
      </c>
      <c r="R233" s="1">
        <v>10.0</v>
      </c>
      <c r="S233" s="1">
        <v>10.0</v>
      </c>
      <c r="T233" s="1" t="s">
        <v>52</v>
      </c>
      <c r="U233" s="1">
        <v>20.0</v>
      </c>
      <c r="V233" s="1">
        <v>8.0</v>
      </c>
      <c r="W233" s="1">
        <v>8.0</v>
      </c>
      <c r="X233" s="1">
        <v>12.0</v>
      </c>
      <c r="Y233" s="1">
        <v>12.0</v>
      </c>
      <c r="Z233" s="1" t="s">
        <v>53</v>
      </c>
      <c r="AA233" s="1">
        <v>10.0</v>
      </c>
      <c r="AB233" s="1">
        <v>4.0</v>
      </c>
      <c r="AC233" s="1">
        <v>4.0</v>
      </c>
      <c r="AD233" s="1">
        <v>6.0</v>
      </c>
      <c r="AE233" s="1">
        <v>6.0</v>
      </c>
      <c r="AF233" s="1" t="s">
        <v>54</v>
      </c>
      <c r="AG233" s="1">
        <v>12.0</v>
      </c>
      <c r="AH233" s="1">
        <v>5.0</v>
      </c>
      <c r="AI233" s="1">
        <v>5.0</v>
      </c>
      <c r="AJ233" s="1">
        <v>7.0</v>
      </c>
      <c r="AK233" s="1">
        <v>7.0</v>
      </c>
      <c r="AL233" s="1">
        <v>100.0</v>
      </c>
      <c r="AM233" s="1" t="s">
        <v>55</v>
      </c>
      <c r="AN233" s="1" t="s">
        <v>55</v>
      </c>
      <c r="AO233" s="1" t="s">
        <v>55</v>
      </c>
      <c r="AP233" s="1" t="s">
        <v>1349</v>
      </c>
      <c r="AQ233" s="3" t="str">
        <f>HYPERLINK("https://icf.clappia.com/app/GMB253374/submission/JRK88654794/ICF247370-GMB253374-51l345iadja400000000/SIG-20250702_123021696.jpeg", "SIG-20250702_123021696.jpeg")</f>
        <v>SIG-20250702_123021696.jpeg</v>
      </c>
      <c r="AR233" s="1" t="s">
        <v>1350</v>
      </c>
      <c r="AS233" s="3" t="str">
        <f>HYPERLINK("https://icf.clappia.com/app/GMB253374/submission/JRK88654794/ICF247370-GMB253374-38opio6b3b2600000000/SIG-20250702_1225nekhj.jpeg", "SIG-20250702_1225nekhj.jpeg")</f>
        <v>SIG-20250702_1225nekhj.jpeg</v>
      </c>
      <c r="AT233" s="1" t="s">
        <v>1351</v>
      </c>
      <c r="AU233" s="3" t="str">
        <f>HYPERLINK("https://icf.clappia.com/app/GMB253374/submission/JRK88654794/ICF247370-GMB253374-1gb2ile0hg5da0000000/SIG-20250702_1230gpe25.jpeg", "SIG-20250702_1230gpe25.jpeg")</f>
        <v>SIG-20250702_1230gpe25.jpeg</v>
      </c>
      <c r="AV233" s="3" t="str">
        <f>HYPERLINK("https://www.google.com/maps/place/9.0204869%2C-12.1498719", "9.0204869,-12.1498719")</f>
        <v>9.0204869,-12.1498719</v>
      </c>
    </row>
    <row r="234" ht="15.75" customHeight="1">
      <c r="A234" s="1" t="s">
        <v>1352</v>
      </c>
      <c r="B234" s="1" t="s">
        <v>161</v>
      </c>
      <c r="C234" s="1" t="s">
        <v>1353</v>
      </c>
      <c r="D234" s="1" t="s">
        <v>1353</v>
      </c>
      <c r="E234" s="1" t="s">
        <v>1354</v>
      </c>
      <c r="F234" s="1" t="s">
        <v>49</v>
      </c>
      <c r="G234" s="1">
        <v>100.0</v>
      </c>
      <c r="H234" s="1" t="s">
        <v>50</v>
      </c>
      <c r="I234" s="1">
        <v>16.0</v>
      </c>
      <c r="J234" s="1">
        <v>7.0</v>
      </c>
      <c r="K234" s="1">
        <v>7.0</v>
      </c>
      <c r="L234" s="1">
        <v>9.0</v>
      </c>
      <c r="M234" s="1">
        <v>9.0</v>
      </c>
      <c r="N234" s="1" t="s">
        <v>51</v>
      </c>
      <c r="O234" s="1">
        <v>11.0</v>
      </c>
      <c r="P234" s="1">
        <v>5.0</v>
      </c>
      <c r="Q234" s="1">
        <v>5.0</v>
      </c>
      <c r="R234" s="1">
        <v>6.0</v>
      </c>
      <c r="S234" s="1">
        <v>6.0</v>
      </c>
      <c r="T234" s="1" t="s">
        <v>52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53</v>
      </c>
      <c r="AA234" s="1">
        <v>11.0</v>
      </c>
      <c r="AB234" s="1">
        <v>6.0</v>
      </c>
      <c r="AC234" s="1">
        <v>6.0</v>
      </c>
      <c r="AD234" s="1">
        <v>5.0</v>
      </c>
      <c r="AE234" s="1">
        <v>5.0</v>
      </c>
      <c r="AF234" s="1" t="s">
        <v>54</v>
      </c>
      <c r="AG234" s="1">
        <v>9.0</v>
      </c>
      <c r="AH234" s="1">
        <v>4.0</v>
      </c>
      <c r="AI234" s="1">
        <v>4.0</v>
      </c>
      <c r="AJ234" s="1">
        <v>5.0</v>
      </c>
      <c r="AK234" s="1">
        <v>5.0</v>
      </c>
      <c r="AL234" s="1">
        <v>56.0</v>
      </c>
      <c r="AM234" s="1" t="s">
        <v>55</v>
      </c>
      <c r="AN234" s="1">
        <v>44.0</v>
      </c>
      <c r="AO234" s="1">
        <v>44.0</v>
      </c>
      <c r="AP234" s="1" t="s">
        <v>1355</v>
      </c>
      <c r="AQ234" s="3" t="str">
        <f>HYPERLINK("https://icf.clappia.com/app/GMB253374/submission/SSH72394792/ICF247370-GMB253374-3cdhp4p5m3b400000000/SIG-20250702_19036p0cb.jpeg", "SIG-20250702_19036p0cb.jpeg")</f>
        <v>SIG-20250702_19036p0cb.jpeg</v>
      </c>
      <c r="AR234" s="1" t="s">
        <v>1356</v>
      </c>
      <c r="AS234" s="3" t="str">
        <f>HYPERLINK("https://icf.clappia.com/app/GMB253374/submission/SSH72394792/ICF247370-GMB253374-3oe26m0aiid200000000/SIG-20250702_1903ea1b4.jpeg", "SIG-20250702_1903ea1b4.jpeg")</f>
        <v>SIG-20250702_1903ea1b4.jpeg</v>
      </c>
      <c r="AT234" s="1" t="s">
        <v>1357</v>
      </c>
      <c r="AU234" s="3" t="str">
        <f>HYPERLINK("https://icf.clappia.com/app/GMB253374/submission/SSH72394792/ICF247370-GMB253374-3hlfplkpin5c00000000/SIG-20250702_1904d0ini.jpeg", "SIG-20250702_1904d0ini.jpeg")</f>
        <v>SIG-20250702_1904d0ini.jpeg</v>
      </c>
      <c r="AV234" s="3" t="str">
        <f>HYPERLINK("https://www.google.com/maps/place/7.97923%2C-11.6615183", "7.97923,-11.6615183")</f>
        <v>7.97923,-11.6615183</v>
      </c>
    </row>
    <row r="235" ht="15.75" customHeight="1">
      <c r="A235" s="1" t="s">
        <v>1358</v>
      </c>
      <c r="B235" s="1" t="s">
        <v>248</v>
      </c>
      <c r="C235" s="1" t="s">
        <v>1359</v>
      </c>
      <c r="D235" s="1" t="s">
        <v>1359</v>
      </c>
      <c r="E235" s="1" t="s">
        <v>1360</v>
      </c>
      <c r="F235" s="1" t="s">
        <v>64</v>
      </c>
      <c r="G235" s="1">
        <v>200.0</v>
      </c>
      <c r="H235" s="1" t="s">
        <v>50</v>
      </c>
      <c r="I235" s="1">
        <v>72.0</v>
      </c>
      <c r="J235" s="1">
        <v>44.0</v>
      </c>
      <c r="K235" s="1">
        <v>44.0</v>
      </c>
      <c r="L235" s="1">
        <v>28.0</v>
      </c>
      <c r="M235" s="1">
        <v>28.0</v>
      </c>
      <c r="N235" s="1" t="s">
        <v>51</v>
      </c>
      <c r="O235" s="1">
        <v>54.0</v>
      </c>
      <c r="P235" s="1">
        <v>33.0</v>
      </c>
      <c r="Q235" s="1">
        <v>33.0</v>
      </c>
      <c r="R235" s="1">
        <v>21.0</v>
      </c>
      <c r="S235" s="1">
        <v>21.0</v>
      </c>
      <c r="T235" s="1" t="s">
        <v>52</v>
      </c>
      <c r="U235" s="1">
        <v>56.0</v>
      </c>
      <c r="V235" s="1">
        <v>30.0</v>
      </c>
      <c r="W235" s="1">
        <v>30.0</v>
      </c>
      <c r="X235" s="1">
        <v>26.0</v>
      </c>
      <c r="Y235" s="1">
        <v>26.0</v>
      </c>
      <c r="Z235" s="1" t="s">
        <v>53</v>
      </c>
      <c r="AA235" s="1" t="s">
        <v>55</v>
      </c>
      <c r="AB235" s="1" t="s">
        <v>55</v>
      </c>
      <c r="AC235" s="1" t="s">
        <v>55</v>
      </c>
      <c r="AD235" s="1" t="s">
        <v>55</v>
      </c>
      <c r="AE235" s="1" t="s">
        <v>55</v>
      </c>
      <c r="AF235" s="1" t="s">
        <v>54</v>
      </c>
      <c r="AG235" s="1" t="s">
        <v>55</v>
      </c>
      <c r="AH235" s="1" t="s">
        <v>55</v>
      </c>
      <c r="AI235" s="1" t="s">
        <v>55</v>
      </c>
      <c r="AJ235" s="1" t="s">
        <v>55</v>
      </c>
      <c r="AK235" s="1" t="s">
        <v>55</v>
      </c>
      <c r="AL235" s="1">
        <v>182.0</v>
      </c>
      <c r="AM235" s="1" t="s">
        <v>55</v>
      </c>
      <c r="AN235" s="1">
        <v>18.0</v>
      </c>
      <c r="AO235" s="1">
        <v>18.0</v>
      </c>
      <c r="AP235" s="1" t="s">
        <v>1361</v>
      </c>
      <c r="AQ235" s="3" t="str">
        <f>HYPERLINK("https://icf.clappia.com/app/GMB253374/submission/FEH05018525/ICF247370-GMB253374-4mf3fpp01a1800000000/SIG-20250702_1856l95im.jpeg", "SIG-20250702_1856l95im.jpeg")</f>
        <v>SIG-20250702_1856l95im.jpeg</v>
      </c>
      <c r="AR235" s="1" t="s">
        <v>1362</v>
      </c>
      <c r="AS235" s="3" t="str">
        <f>HYPERLINK("https://icf.clappia.com/app/GMB253374/submission/FEH05018525/ICF247370-GMB253374-3g4l8p50fl7m00000000/SIG-20250702_190113f69f.jpeg", "SIG-20250702_190113f69f.jpeg")</f>
        <v>SIG-20250702_190113f69f.jpeg</v>
      </c>
      <c r="AT235" s="1" t="s">
        <v>1363</v>
      </c>
      <c r="AU235" s="3" t="str">
        <f>HYPERLINK("https://icf.clappia.com/app/GMB253374/submission/FEH05018525/ICF247370-GMB253374-148d39phbe35i0000000/SIG-20250702_1900pa5bk.jpeg", "SIG-20250702_1900pa5bk.jpeg")</f>
        <v>SIG-20250702_1900pa5bk.jpeg</v>
      </c>
      <c r="AV235" s="3" t="str">
        <f>HYPERLINK("https://www.google.com/maps/place/8.0229536%2C-11.587873", "8.0229536,-11.587873")</f>
        <v>8.0229536,-11.587873</v>
      </c>
    </row>
    <row r="236" ht="15.75" customHeight="1">
      <c r="A236" s="1" t="s">
        <v>1364</v>
      </c>
      <c r="B236" s="1" t="s">
        <v>335</v>
      </c>
      <c r="C236" s="1" t="s">
        <v>1365</v>
      </c>
      <c r="D236" s="1" t="s">
        <v>1365</v>
      </c>
      <c r="E236" s="1" t="s">
        <v>1366</v>
      </c>
      <c r="F236" s="1" t="s">
        <v>64</v>
      </c>
      <c r="G236" s="1">
        <v>135.0</v>
      </c>
      <c r="H236" s="1" t="s">
        <v>50</v>
      </c>
      <c r="I236" s="1">
        <v>38.0</v>
      </c>
      <c r="J236" s="1">
        <v>16.0</v>
      </c>
      <c r="K236" s="1">
        <v>16.0</v>
      </c>
      <c r="L236" s="1">
        <v>22.0</v>
      </c>
      <c r="M236" s="1">
        <v>22.0</v>
      </c>
      <c r="N236" s="1" t="s">
        <v>51</v>
      </c>
      <c r="O236" s="1">
        <v>21.0</v>
      </c>
      <c r="P236" s="1">
        <v>11.0</v>
      </c>
      <c r="Q236" s="1">
        <v>11.0</v>
      </c>
      <c r="R236" s="1">
        <v>10.0</v>
      </c>
      <c r="S236" s="1">
        <v>10.0</v>
      </c>
      <c r="T236" s="1" t="s">
        <v>52</v>
      </c>
      <c r="U236" s="1">
        <v>22.0</v>
      </c>
      <c r="V236" s="1">
        <v>11.0</v>
      </c>
      <c r="W236" s="1">
        <v>11.0</v>
      </c>
      <c r="X236" s="1">
        <v>11.0</v>
      </c>
      <c r="Y236" s="1">
        <v>11.0</v>
      </c>
      <c r="Z236" s="1" t="s">
        <v>53</v>
      </c>
      <c r="AA236" s="1">
        <v>19.0</v>
      </c>
      <c r="AB236" s="1">
        <v>10.0</v>
      </c>
      <c r="AC236" s="1">
        <v>10.0</v>
      </c>
      <c r="AD236" s="1">
        <v>9.0</v>
      </c>
      <c r="AE236" s="1">
        <v>9.0</v>
      </c>
      <c r="AF236" s="1" t="s">
        <v>54</v>
      </c>
      <c r="AG236" s="1">
        <v>24.0</v>
      </c>
      <c r="AH236" s="1">
        <v>11.0</v>
      </c>
      <c r="AI236" s="1">
        <v>11.0</v>
      </c>
      <c r="AJ236" s="1">
        <v>13.0</v>
      </c>
      <c r="AK236" s="1">
        <v>13.0</v>
      </c>
      <c r="AL236" s="1">
        <v>124.0</v>
      </c>
      <c r="AM236" s="1" t="s">
        <v>55</v>
      </c>
      <c r="AN236" s="1">
        <v>11.0</v>
      </c>
      <c r="AO236" s="1">
        <v>11.0</v>
      </c>
      <c r="AP236" s="1" t="s">
        <v>1367</v>
      </c>
      <c r="AQ236" s="3" t="str">
        <f>HYPERLINK("https://icf.clappia.com/app/GMB253374/submission/IFX05843362/ICF247370-GMB253374-344b6hohk7g600000000/SIG-20250702_1840180n11.jpeg", "SIG-20250702_1840180n11.jpeg")</f>
        <v>SIG-20250702_1840180n11.jpeg</v>
      </c>
      <c r="AR236" s="1" t="s">
        <v>1368</v>
      </c>
      <c r="AS236" s="3" t="str">
        <f>HYPERLINK("https://icf.clappia.com/app/GMB253374/submission/IFX05843362/ICF247370-GMB253374-35hpil2ni71i00000000/SIG-20250702_1841jh215.jpeg", "SIG-20250702_1841jh215.jpeg")</f>
        <v>SIG-20250702_1841jh215.jpeg</v>
      </c>
      <c r="AT236" s="1" t="s">
        <v>1369</v>
      </c>
      <c r="AU236" s="3" t="str">
        <f>HYPERLINK("https://icf.clappia.com/app/GMB253374/submission/IFX05843362/ICF247370-GMB253374-3ho9hn8mmf620000000/SIG-20250702_1842f697o.jpeg", "SIG-20250702_1842f697o.jpeg")</f>
        <v>SIG-20250702_1842f697o.jpeg</v>
      </c>
      <c r="AV236" s="3" t="str">
        <f>HYPERLINK("https://www.google.com/maps/place/8.1580117%2C-11.597125", "8.1580117,-11.597125")</f>
        <v>8.1580117,-11.597125</v>
      </c>
    </row>
    <row r="237" ht="15.75" customHeight="1">
      <c r="A237" s="1" t="s">
        <v>1370</v>
      </c>
      <c r="B237" s="1" t="s">
        <v>356</v>
      </c>
      <c r="C237" s="1" t="s">
        <v>1371</v>
      </c>
      <c r="D237" s="1" t="s">
        <v>1371</v>
      </c>
      <c r="E237" s="1" t="s">
        <v>1372</v>
      </c>
      <c r="F237" s="1" t="s">
        <v>64</v>
      </c>
      <c r="G237" s="1">
        <v>300.0</v>
      </c>
      <c r="H237" s="1" t="s">
        <v>50</v>
      </c>
      <c r="I237" s="1">
        <v>80.0</v>
      </c>
      <c r="J237" s="1">
        <v>48.0</v>
      </c>
      <c r="K237" s="1">
        <v>24.0</v>
      </c>
      <c r="L237" s="1">
        <v>32.0</v>
      </c>
      <c r="M237" s="1">
        <v>24.0</v>
      </c>
      <c r="N237" s="1" t="s">
        <v>51</v>
      </c>
      <c r="O237" s="1">
        <v>65.0</v>
      </c>
      <c r="P237" s="1">
        <v>34.0</v>
      </c>
      <c r="Q237" s="1">
        <v>24.0</v>
      </c>
      <c r="R237" s="1">
        <v>31.0</v>
      </c>
      <c r="S237" s="1">
        <v>26.0</v>
      </c>
      <c r="T237" s="1" t="s">
        <v>52</v>
      </c>
      <c r="U237" s="1">
        <v>56.0</v>
      </c>
      <c r="V237" s="1">
        <v>26.0</v>
      </c>
      <c r="W237" s="1">
        <v>24.0</v>
      </c>
      <c r="X237" s="1">
        <v>30.0</v>
      </c>
      <c r="Y237" s="1">
        <v>20.0</v>
      </c>
      <c r="Z237" s="1" t="s">
        <v>53</v>
      </c>
      <c r="AA237" s="1">
        <v>50.0</v>
      </c>
      <c r="AB237" s="1">
        <v>26.0</v>
      </c>
      <c r="AC237" s="1">
        <v>25.0</v>
      </c>
      <c r="AD237" s="1">
        <v>24.0</v>
      </c>
      <c r="AE237" s="1">
        <v>20.0</v>
      </c>
      <c r="AF237" s="1" t="s">
        <v>54</v>
      </c>
      <c r="AG237" s="1">
        <v>41.0</v>
      </c>
      <c r="AH237" s="1">
        <v>20.0</v>
      </c>
      <c r="AI237" s="1">
        <v>20.0</v>
      </c>
      <c r="AJ237" s="1">
        <v>21.0</v>
      </c>
      <c r="AK237" s="1">
        <v>19.0</v>
      </c>
      <c r="AL237" s="1">
        <v>226.0</v>
      </c>
      <c r="AM237" s="1">
        <v>10.0</v>
      </c>
      <c r="AN237" s="1">
        <v>64.0</v>
      </c>
      <c r="AO237" s="1" t="s">
        <v>55</v>
      </c>
      <c r="AP237" s="1" t="s">
        <v>1373</v>
      </c>
      <c r="AQ237" s="3" t="str">
        <f>HYPERLINK("https://icf.clappia.com/app/GMB253374/submission/HZG01884111/ICF247370-GMB253374-45808hj02kgc00000000/SIG-20250702_1748159jnp.jpeg", "SIG-20250702_1748159jnp.jpeg")</f>
        <v>SIG-20250702_1748159jnp.jpeg</v>
      </c>
      <c r="AR237" s="1" t="s">
        <v>1374</v>
      </c>
      <c r="AS237" s="3" t="str">
        <f>HYPERLINK("https://icf.clappia.com/app/GMB253374/submission/HZG01884111/ICF247370-GMB253374-p071eop788g00000000/SIG-20250702_17491074dk.jpeg", "SIG-20250702_17491074dk.jpeg")</f>
        <v>SIG-20250702_17491074dk.jpeg</v>
      </c>
      <c r="AT237" s="1" t="s">
        <v>1375</v>
      </c>
      <c r="AU237" s="3" t="str">
        <f>HYPERLINK("https://icf.clappia.com/app/GMB253374/submission/HZG01884111/ICF247370-GMB253374-lp9ch301mf2g0000000/SIG-20250702_1749i58eh.jpeg", "SIG-20250702_1749i58eh.jpeg")</f>
        <v>SIG-20250702_1749i58eh.jpeg</v>
      </c>
      <c r="AV237" s="3" t="str">
        <f>HYPERLINK("https://www.google.com/maps/place/8.3226217%2C-11.7342983", "8.3226217,-11.7342983")</f>
        <v>8.3226217,-11.7342983</v>
      </c>
    </row>
    <row r="238" ht="15.75" customHeight="1">
      <c r="A238" s="1" t="s">
        <v>1376</v>
      </c>
      <c r="B238" s="1" t="s">
        <v>335</v>
      </c>
      <c r="C238" s="1" t="s">
        <v>1377</v>
      </c>
      <c r="D238" s="1" t="s">
        <v>1377</v>
      </c>
      <c r="E238" s="1" t="s">
        <v>1378</v>
      </c>
      <c r="F238" s="1" t="s">
        <v>64</v>
      </c>
      <c r="G238" s="1">
        <v>112.0</v>
      </c>
      <c r="H238" s="1" t="s">
        <v>50</v>
      </c>
      <c r="I238" s="1">
        <v>41.0</v>
      </c>
      <c r="J238" s="1">
        <v>20.0</v>
      </c>
      <c r="K238" s="1">
        <v>20.0</v>
      </c>
      <c r="L238" s="1">
        <v>21.0</v>
      </c>
      <c r="M238" s="1">
        <v>21.0</v>
      </c>
      <c r="N238" s="1" t="s">
        <v>51</v>
      </c>
      <c r="O238" s="1">
        <v>13.0</v>
      </c>
      <c r="P238" s="1">
        <v>8.0</v>
      </c>
      <c r="Q238" s="1">
        <v>8.0</v>
      </c>
      <c r="R238" s="1">
        <v>5.0</v>
      </c>
      <c r="S238" s="1">
        <v>5.0</v>
      </c>
      <c r="T238" s="1" t="s">
        <v>52</v>
      </c>
      <c r="U238" s="1">
        <v>10.0</v>
      </c>
      <c r="V238" s="1">
        <v>4.0</v>
      </c>
      <c r="W238" s="1">
        <v>4.0</v>
      </c>
      <c r="X238" s="1">
        <v>6.0</v>
      </c>
      <c r="Y238" s="1">
        <v>6.0</v>
      </c>
      <c r="Z238" s="1" t="s">
        <v>53</v>
      </c>
      <c r="AA238" s="1">
        <v>13.0</v>
      </c>
      <c r="AB238" s="1">
        <v>8.0</v>
      </c>
      <c r="AC238" s="1">
        <v>8.0</v>
      </c>
      <c r="AD238" s="1">
        <v>5.0</v>
      </c>
      <c r="AE238" s="1">
        <v>5.0</v>
      </c>
      <c r="AF238" s="1" t="s">
        <v>54</v>
      </c>
      <c r="AG238" s="1">
        <v>19.0</v>
      </c>
      <c r="AH238" s="1">
        <v>11.0</v>
      </c>
      <c r="AI238" s="1">
        <v>11.0</v>
      </c>
      <c r="AJ238" s="1">
        <v>8.0</v>
      </c>
      <c r="AK238" s="1">
        <v>8.0</v>
      </c>
      <c r="AL238" s="1">
        <v>96.0</v>
      </c>
      <c r="AM238" s="1" t="s">
        <v>55</v>
      </c>
      <c r="AN238" s="1">
        <v>16.0</v>
      </c>
      <c r="AO238" s="1">
        <v>16.0</v>
      </c>
      <c r="AP238" s="1" t="s">
        <v>1305</v>
      </c>
      <c r="AQ238" s="3" t="str">
        <f>HYPERLINK("https://icf.clappia.com/app/GMB253374/submission/MZP20513526/ICF247370-GMB253374-23lf5704oeg6k0000000/SIG-20250702_1829d70a0.jpeg", "SIG-20250702_1829d70a0.jpeg")</f>
        <v>SIG-20250702_1829d70a0.jpeg</v>
      </c>
      <c r="AR238" s="1" t="s">
        <v>1369</v>
      </c>
      <c r="AS238" s="3" t="str">
        <f>HYPERLINK("https://icf.clappia.com/app/GMB253374/submission/MZP20513526/ICF247370-GMB253374-1jkjld9f8em3g0000000/SIG-20250702_18299dde2.jpeg", "SIG-20250702_18299dde2.jpeg")</f>
        <v>SIG-20250702_18299dde2.jpeg</v>
      </c>
      <c r="AT238" s="1" t="s">
        <v>1304</v>
      </c>
      <c r="AU238" s="3" t="str">
        <f>HYPERLINK("https://icf.clappia.com/app/GMB253374/submission/MZP20513526/ICF247370-GMB253374-2j1oe4778jdo00000000/SIG-20250702_18309oc2m.jpeg", "SIG-20250702_18309oc2m.jpeg")</f>
        <v>SIG-20250702_18309oc2m.jpeg</v>
      </c>
      <c r="AV238" s="3" t="str">
        <f>HYPERLINK("https://www.google.com/maps/place/8.15826%2C-11.5976667", "8.15826,-11.5976667")</f>
        <v>8.15826,-11.5976667</v>
      </c>
    </row>
    <row r="239" ht="15.75" customHeight="1">
      <c r="A239" s="1" t="s">
        <v>1379</v>
      </c>
      <c r="B239" s="1" t="s">
        <v>536</v>
      </c>
      <c r="C239" s="1" t="s">
        <v>1380</v>
      </c>
      <c r="D239" s="1" t="s">
        <v>1380</v>
      </c>
      <c r="E239" s="1" t="s">
        <v>1381</v>
      </c>
      <c r="F239" s="1" t="s">
        <v>64</v>
      </c>
      <c r="G239" s="1">
        <v>200.0</v>
      </c>
      <c r="H239" s="1" t="s">
        <v>50</v>
      </c>
      <c r="I239" s="1">
        <v>50.0</v>
      </c>
      <c r="J239" s="1">
        <v>24.0</v>
      </c>
      <c r="K239" s="1">
        <v>24.0</v>
      </c>
      <c r="L239" s="1">
        <v>26.0</v>
      </c>
      <c r="M239" s="1">
        <v>26.0</v>
      </c>
      <c r="N239" s="1" t="s">
        <v>51</v>
      </c>
      <c r="O239" s="1">
        <v>38.0</v>
      </c>
      <c r="P239" s="1">
        <v>18.0</v>
      </c>
      <c r="Q239" s="1">
        <v>18.0</v>
      </c>
      <c r="R239" s="1">
        <v>20.0</v>
      </c>
      <c r="S239" s="1">
        <v>20.0</v>
      </c>
      <c r="T239" s="1" t="s">
        <v>52</v>
      </c>
      <c r="U239" s="1">
        <v>39.0</v>
      </c>
      <c r="V239" s="1">
        <v>19.0</v>
      </c>
      <c r="W239" s="1">
        <v>19.0</v>
      </c>
      <c r="X239" s="1">
        <v>20.0</v>
      </c>
      <c r="Y239" s="1">
        <v>20.0</v>
      </c>
      <c r="Z239" s="1" t="s">
        <v>53</v>
      </c>
      <c r="AA239" s="1">
        <v>37.0</v>
      </c>
      <c r="AB239" s="1">
        <v>17.0</v>
      </c>
      <c r="AC239" s="1">
        <v>17.0</v>
      </c>
      <c r="AD239" s="1">
        <v>20.0</v>
      </c>
      <c r="AE239" s="1">
        <v>20.0</v>
      </c>
      <c r="AF239" s="1" t="s">
        <v>54</v>
      </c>
      <c r="AG239" s="1">
        <v>36.0</v>
      </c>
      <c r="AH239" s="1">
        <v>20.0</v>
      </c>
      <c r="AI239" s="1">
        <v>20.0</v>
      </c>
      <c r="AJ239" s="1">
        <v>16.0</v>
      </c>
      <c r="AK239" s="1">
        <v>16.0</v>
      </c>
      <c r="AL239" s="1">
        <v>200.0</v>
      </c>
      <c r="AM239" s="1" t="s">
        <v>55</v>
      </c>
      <c r="AN239" s="1" t="s">
        <v>55</v>
      </c>
      <c r="AO239" s="1" t="s">
        <v>55</v>
      </c>
      <c r="AP239" s="1" t="s">
        <v>1382</v>
      </c>
      <c r="AQ239" s="3" t="str">
        <f>HYPERLINK("https://icf.clappia.com/app/GMB253374/submission/BKD86704380/ICF247370-GMB253374-17f0ookdf6li80000000/SIG-20250702_1821fcfn3.jpeg", "SIG-20250702_1821fcfn3.jpeg")</f>
        <v>SIG-20250702_1821fcfn3.jpeg</v>
      </c>
      <c r="AR239" s="1" t="s">
        <v>1383</v>
      </c>
      <c r="AS239" s="3" t="str">
        <f>HYPERLINK("https://icf.clappia.com/app/GMB253374/submission/BKD86704380/ICF247370-GMB253374-2fhjj4f677pg00000000/SIG-20250702_13551463b9.jpeg", "SIG-20250702_13551463b9.jpeg")</f>
        <v>SIG-20250702_13551463b9.jpeg</v>
      </c>
      <c r="AT239" s="1" t="s">
        <v>1384</v>
      </c>
      <c r="AU239" s="3" t="str">
        <f>HYPERLINK("https://icf.clappia.com/app/GMB253374/submission/BKD86704380/ICF247370-GMB253374-5i4n6lgbef5m00000000/SIG-20250702_1356p7nf2.jpeg", "SIG-20250702_1356p7nf2.jpeg")</f>
        <v>SIG-20250702_1356p7nf2.jpeg</v>
      </c>
      <c r="AV239" s="3" t="str">
        <f>HYPERLINK("https://www.google.com/maps/place/9.3676267%2C-11.9744068", "9.3676267,-11.9744068")</f>
        <v>9.3676267,-11.9744068</v>
      </c>
    </row>
    <row r="240" ht="15.75" customHeight="1">
      <c r="A240" s="1" t="s">
        <v>1385</v>
      </c>
      <c r="B240" s="1" t="s">
        <v>155</v>
      </c>
      <c r="C240" s="1" t="s">
        <v>1386</v>
      </c>
      <c r="D240" s="1" t="s">
        <v>1386</v>
      </c>
      <c r="E240" s="1" t="s">
        <v>1387</v>
      </c>
      <c r="F240" s="1" t="s">
        <v>64</v>
      </c>
      <c r="G240" s="1">
        <v>50.0</v>
      </c>
      <c r="H240" s="1" t="s">
        <v>50</v>
      </c>
      <c r="I240" s="1" t="s">
        <v>55</v>
      </c>
      <c r="J240" s="1" t="s">
        <v>55</v>
      </c>
      <c r="K240" s="1" t="s">
        <v>55</v>
      </c>
      <c r="L240" s="1" t="s">
        <v>55</v>
      </c>
      <c r="M240" s="1" t="s">
        <v>55</v>
      </c>
      <c r="N240" s="1" t="s">
        <v>51</v>
      </c>
      <c r="O240" s="1" t="s">
        <v>55</v>
      </c>
      <c r="P240" s="1" t="s">
        <v>55</v>
      </c>
      <c r="Q240" s="1" t="s">
        <v>55</v>
      </c>
      <c r="R240" s="1" t="s">
        <v>55</v>
      </c>
      <c r="S240" s="1" t="s">
        <v>55</v>
      </c>
      <c r="T240" s="1" t="s">
        <v>52</v>
      </c>
      <c r="U240" s="1" t="s">
        <v>55</v>
      </c>
      <c r="V240" s="1" t="s">
        <v>55</v>
      </c>
      <c r="W240" s="1" t="s">
        <v>55</v>
      </c>
      <c r="X240" s="1" t="s">
        <v>55</v>
      </c>
      <c r="Y240" s="1" t="s">
        <v>55</v>
      </c>
      <c r="Z240" s="1" t="s">
        <v>53</v>
      </c>
      <c r="AA240" s="1" t="s">
        <v>55</v>
      </c>
      <c r="AB240" s="1" t="s">
        <v>55</v>
      </c>
      <c r="AC240" s="1" t="s">
        <v>55</v>
      </c>
      <c r="AD240" s="1" t="s">
        <v>55</v>
      </c>
      <c r="AE240" s="1" t="s">
        <v>55</v>
      </c>
      <c r="AF240" s="1" t="s">
        <v>54</v>
      </c>
      <c r="AG240" s="1">
        <v>30.0</v>
      </c>
      <c r="AH240" s="1">
        <v>20.0</v>
      </c>
      <c r="AI240" s="1">
        <v>20.0</v>
      </c>
      <c r="AJ240" s="1">
        <v>10.0</v>
      </c>
      <c r="AK240" s="1">
        <v>10.0</v>
      </c>
      <c r="AL240" s="1">
        <v>30.0</v>
      </c>
      <c r="AM240" s="1" t="s">
        <v>55</v>
      </c>
      <c r="AN240" s="1">
        <v>20.0</v>
      </c>
      <c r="AO240" s="1">
        <v>20.0</v>
      </c>
      <c r="AP240" s="1" t="s">
        <v>396</v>
      </c>
      <c r="AQ240" s="3" t="str">
        <f>HYPERLINK("https://icf.clappia.com/app/GMB253374/submission/YGH41478781/ICF247370-GMB253374-65e286o430co00000000/SIG-20250702_1806gnp5g.jpeg", "SIG-20250702_1806gnp5g.jpeg")</f>
        <v>SIG-20250702_1806gnp5g.jpeg</v>
      </c>
      <c r="AR240" s="1" t="s">
        <v>1388</v>
      </c>
      <c r="AS240" s="3" t="str">
        <f>HYPERLINK("https://icf.clappia.com/app/GMB253374/submission/YGH41478781/ICF247370-GMB253374-3fae7p2d45o200000000/SIG-20250702_18066akib.jpeg", "SIG-20250702_18066akib.jpeg")</f>
        <v>SIG-20250702_18066akib.jpeg</v>
      </c>
      <c r="AT240" s="1" t="s">
        <v>1389</v>
      </c>
      <c r="AU240" s="3" t="str">
        <f>HYPERLINK("https://icf.clappia.com/app/GMB253374/submission/YGH41478781/ICF247370-GMB253374-568n6fcfm82400000000/SIG-20250702_1820oc8o7.jpeg", "SIG-20250702_1820oc8o7.jpeg")</f>
        <v>SIG-20250702_1820oc8o7.jpeg</v>
      </c>
      <c r="AV240" s="3" t="str">
        <f>HYPERLINK("https://www.google.com/maps/place/8.6995083%2C-12.0017883", "8.6995083,-12.0017883")</f>
        <v>8.6995083,-12.0017883</v>
      </c>
    </row>
    <row r="241" ht="15.75" customHeight="1">
      <c r="A241" s="1" t="s">
        <v>1390</v>
      </c>
      <c r="B241" s="1" t="s">
        <v>161</v>
      </c>
      <c r="C241" s="1" t="s">
        <v>1391</v>
      </c>
      <c r="D241" s="1" t="s">
        <v>1391</v>
      </c>
      <c r="E241" s="1" t="s">
        <v>1392</v>
      </c>
      <c r="F241" s="1" t="s">
        <v>49</v>
      </c>
      <c r="G241" s="1">
        <v>300.0</v>
      </c>
      <c r="H241" s="1" t="s">
        <v>50</v>
      </c>
      <c r="I241" s="1">
        <v>69.0</v>
      </c>
      <c r="J241" s="1">
        <v>39.0</v>
      </c>
      <c r="K241" s="1">
        <v>39.0</v>
      </c>
      <c r="L241" s="1">
        <v>30.0</v>
      </c>
      <c r="M241" s="1">
        <v>30.0</v>
      </c>
      <c r="N241" s="1" t="s">
        <v>51</v>
      </c>
      <c r="O241" s="1">
        <v>57.0</v>
      </c>
      <c r="P241" s="1">
        <v>27.0</v>
      </c>
      <c r="Q241" s="1">
        <v>27.0</v>
      </c>
      <c r="R241" s="1">
        <v>30.0</v>
      </c>
      <c r="S241" s="1">
        <v>30.0</v>
      </c>
      <c r="T241" s="1" t="s">
        <v>52</v>
      </c>
      <c r="U241" s="1">
        <v>56.0</v>
      </c>
      <c r="V241" s="1">
        <v>36.0</v>
      </c>
      <c r="W241" s="1">
        <v>36.0</v>
      </c>
      <c r="X241" s="1">
        <v>20.0</v>
      </c>
      <c r="Y241" s="1">
        <v>20.0</v>
      </c>
      <c r="Z241" s="1" t="s">
        <v>53</v>
      </c>
      <c r="AA241" s="1">
        <v>50.0</v>
      </c>
      <c r="AB241" s="1">
        <v>20.0</v>
      </c>
      <c r="AC241" s="1">
        <v>20.0</v>
      </c>
      <c r="AD241" s="1">
        <v>30.0</v>
      </c>
      <c r="AE241" s="1">
        <v>30.0</v>
      </c>
      <c r="AF241" s="1" t="s">
        <v>54</v>
      </c>
      <c r="AG241" s="1">
        <v>49.0</v>
      </c>
      <c r="AH241" s="1">
        <v>20.0</v>
      </c>
      <c r="AI241" s="1">
        <v>20.0</v>
      </c>
      <c r="AJ241" s="1">
        <v>29.0</v>
      </c>
      <c r="AK241" s="1">
        <v>29.0</v>
      </c>
      <c r="AL241" s="1">
        <v>281.0</v>
      </c>
      <c r="AM241" s="1" t="s">
        <v>55</v>
      </c>
      <c r="AN241" s="1">
        <v>19.0</v>
      </c>
      <c r="AO241" s="1">
        <v>19.0</v>
      </c>
      <c r="AP241" s="1" t="s">
        <v>1355</v>
      </c>
      <c r="AQ241" s="3" t="str">
        <f>HYPERLINK("https://icf.clappia.com/app/GMB253374/submission/GDE41870872/ICF247370-GMB253374-2h8cpbkh927i00000000/SIG-20250702_1630eo6od.jpeg", "SIG-20250702_1630eo6od.jpeg")</f>
        <v>SIG-20250702_1630eo6od.jpeg</v>
      </c>
      <c r="AR241" s="1" t="s">
        <v>1356</v>
      </c>
      <c r="AS241" s="3" t="str">
        <f>HYPERLINK("https://icf.clappia.com/app/GMB253374/submission/GDE41870872/ICF247370-GMB253374-3ee380em3ene00000000/SIG-20250702_1630170j7g.jpeg", "SIG-20250702_1630170j7g.jpeg")</f>
        <v>SIG-20250702_1630170j7g.jpeg</v>
      </c>
      <c r="AT241" s="1" t="s">
        <v>1357</v>
      </c>
      <c r="AU241" s="3" t="str">
        <f>HYPERLINK("https://icf.clappia.com/app/GMB253374/submission/GDE41870872/ICF247370-GMB253374-4i5ijjmo958600000000/SIG-20250702_1631cc9g3.jpeg", "SIG-20250702_1631cc9g3.jpeg")</f>
        <v>SIG-20250702_1631cc9g3.jpeg</v>
      </c>
      <c r="AV241" s="3" t="str">
        <f>HYPERLINK("https://www.google.com/maps/place/8.0217367%2C-11.6462633", "8.0217367,-11.6462633")</f>
        <v>8.0217367,-11.6462633</v>
      </c>
    </row>
    <row r="242" ht="15.75" customHeight="1">
      <c r="A242" s="1" t="s">
        <v>1393</v>
      </c>
      <c r="B242" s="1" t="s">
        <v>356</v>
      </c>
      <c r="C242" s="1" t="s">
        <v>1394</v>
      </c>
      <c r="D242" s="1" t="s">
        <v>1394</v>
      </c>
      <c r="E242" s="1" t="s">
        <v>1395</v>
      </c>
      <c r="F242" s="1" t="s">
        <v>64</v>
      </c>
      <c r="G242" s="1">
        <v>154.0</v>
      </c>
      <c r="H242" s="1" t="s">
        <v>50</v>
      </c>
      <c r="I242" s="1">
        <v>32.0</v>
      </c>
      <c r="J242" s="1">
        <v>20.0</v>
      </c>
      <c r="K242" s="1">
        <v>20.0</v>
      </c>
      <c r="L242" s="1">
        <v>12.0</v>
      </c>
      <c r="M242" s="1">
        <v>12.0</v>
      </c>
      <c r="N242" s="1" t="s">
        <v>51</v>
      </c>
      <c r="O242" s="1">
        <v>30.0</v>
      </c>
      <c r="P242" s="1">
        <v>20.0</v>
      </c>
      <c r="Q242" s="1">
        <v>20.0</v>
      </c>
      <c r="R242" s="1">
        <v>10.0</v>
      </c>
      <c r="S242" s="1">
        <v>10.0</v>
      </c>
      <c r="T242" s="1" t="s">
        <v>52</v>
      </c>
      <c r="U242" s="1">
        <v>28.0</v>
      </c>
      <c r="V242" s="1">
        <v>16.0</v>
      </c>
      <c r="W242" s="1">
        <v>16.0</v>
      </c>
      <c r="X242" s="1">
        <v>12.0</v>
      </c>
      <c r="Y242" s="1">
        <v>12.0</v>
      </c>
      <c r="Z242" s="1" t="s">
        <v>53</v>
      </c>
      <c r="AA242" s="1">
        <v>25.0</v>
      </c>
      <c r="AB242" s="1">
        <v>11.0</v>
      </c>
      <c r="AC242" s="1">
        <v>11.0</v>
      </c>
      <c r="AD242" s="1">
        <v>14.0</v>
      </c>
      <c r="AE242" s="1">
        <v>14.0</v>
      </c>
      <c r="AF242" s="1" t="s">
        <v>54</v>
      </c>
      <c r="AG242" s="1">
        <v>29.0</v>
      </c>
      <c r="AH242" s="1">
        <v>12.0</v>
      </c>
      <c r="AI242" s="1">
        <v>12.0</v>
      </c>
      <c r="AJ242" s="1">
        <v>17.0</v>
      </c>
      <c r="AK242" s="1">
        <v>17.0</v>
      </c>
      <c r="AL242" s="1">
        <v>144.0</v>
      </c>
      <c r="AM242" s="1" t="s">
        <v>55</v>
      </c>
      <c r="AN242" s="1">
        <v>10.0</v>
      </c>
      <c r="AO242" s="1" t="s">
        <v>55</v>
      </c>
      <c r="AP242" s="1" t="s">
        <v>359</v>
      </c>
      <c r="AQ242" s="3" t="str">
        <f>HYPERLINK("https://icf.clappia.com/app/GMB253374/submission/IJT38877221/ICF247370-GMB253374-5ajb0mh6288c00000000/SIG-20250702_1809pf99d.jpeg", "SIG-20250702_1809pf99d.jpeg")</f>
        <v>SIG-20250702_1809pf99d.jpeg</v>
      </c>
      <c r="AR242" s="1" t="s">
        <v>360</v>
      </c>
      <c r="AS242" s="3" t="str">
        <f>HYPERLINK("https://icf.clappia.com/app/GMB253374/submission/IJT38877221/ICF247370-GMB253374-1jhj2ongmi2a40000000/SIG-20250702_18091l8bm.jpeg", "SIG-20250702_18091l8bm.jpeg")</f>
        <v>SIG-20250702_18091l8bm.jpeg</v>
      </c>
      <c r="AT242" s="1" t="s">
        <v>361</v>
      </c>
      <c r="AU242" s="3" t="str">
        <f>HYPERLINK("https://icf.clappia.com/app/GMB253374/submission/IJT38877221/ICF247370-GMB253374-3i39d516p7am00000000/SIG-20250702_180917l7l2.jpeg", "SIG-20250702_180917l7l2.jpeg")</f>
        <v>SIG-20250702_180917l7l2.jpeg</v>
      </c>
      <c r="AV242" s="3" t="str">
        <f>HYPERLINK("https://www.google.com/maps/place/8.3226367%2C-11.7343117", "8.3226367,-11.7343117")</f>
        <v>8.3226367,-11.7343117</v>
      </c>
    </row>
    <row r="243" ht="15.75" customHeight="1">
      <c r="A243" s="1" t="s">
        <v>1396</v>
      </c>
      <c r="B243" s="1" t="s">
        <v>161</v>
      </c>
      <c r="C243" s="1" t="s">
        <v>1397</v>
      </c>
      <c r="D243" s="1" t="s">
        <v>1398</v>
      </c>
      <c r="E243" s="1" t="s">
        <v>1399</v>
      </c>
      <c r="F243" s="1" t="s">
        <v>64</v>
      </c>
      <c r="G243" s="1">
        <v>100.0</v>
      </c>
      <c r="H243" s="1" t="s">
        <v>50</v>
      </c>
      <c r="I243" s="1">
        <v>44.0</v>
      </c>
      <c r="J243" s="1">
        <v>25.0</v>
      </c>
      <c r="K243" s="1">
        <v>25.0</v>
      </c>
      <c r="L243" s="1">
        <v>19.0</v>
      </c>
      <c r="M243" s="1">
        <v>19.0</v>
      </c>
      <c r="N243" s="1" t="s">
        <v>51</v>
      </c>
      <c r="O243" s="1">
        <v>8.0</v>
      </c>
      <c r="P243" s="1">
        <v>4.0</v>
      </c>
      <c r="Q243" s="1">
        <v>4.0</v>
      </c>
      <c r="R243" s="1">
        <v>4.0</v>
      </c>
      <c r="S243" s="1">
        <v>4.0</v>
      </c>
      <c r="T243" s="1" t="s">
        <v>52</v>
      </c>
      <c r="U243" s="1">
        <v>11.0</v>
      </c>
      <c r="V243" s="1">
        <v>5.0</v>
      </c>
      <c r="W243" s="1">
        <v>5.0</v>
      </c>
      <c r="X243" s="1">
        <v>6.0</v>
      </c>
      <c r="Y243" s="1">
        <v>6.0</v>
      </c>
      <c r="Z243" s="1" t="s">
        <v>53</v>
      </c>
      <c r="AA243" s="1">
        <v>6.0</v>
      </c>
      <c r="AB243" s="1">
        <v>3.0</v>
      </c>
      <c r="AC243" s="1">
        <v>3.0</v>
      </c>
      <c r="AD243" s="1">
        <v>3.0</v>
      </c>
      <c r="AE243" s="1">
        <v>3.0</v>
      </c>
      <c r="AF243" s="1" t="s">
        <v>54</v>
      </c>
      <c r="AG243" s="1">
        <v>5.0</v>
      </c>
      <c r="AH243" s="1">
        <v>3.0</v>
      </c>
      <c r="AI243" s="1">
        <v>3.0</v>
      </c>
      <c r="AJ243" s="1">
        <v>2.0</v>
      </c>
      <c r="AK243" s="1">
        <v>2.0</v>
      </c>
      <c r="AL243" s="1">
        <v>74.0</v>
      </c>
      <c r="AM243" s="1" t="s">
        <v>55</v>
      </c>
      <c r="AN243" s="1">
        <v>26.0</v>
      </c>
      <c r="AO243" s="1">
        <v>26.0</v>
      </c>
      <c r="AP243" s="1" t="s">
        <v>1355</v>
      </c>
      <c r="AQ243" s="3" t="str">
        <f>HYPERLINK("https://icf.clappia.com/app/GMB253374/submission/SCI24573335/ICF247370-GMB253374-4c06m3al7jhi00000000/SIG-20250701_14091a9ljo.jpeg", "SIG-20250701_14091a9ljo.jpeg")</f>
        <v>SIG-20250701_14091a9ljo.jpeg</v>
      </c>
      <c r="AR243" s="1" t="s">
        <v>1356</v>
      </c>
      <c r="AS243" s="3" t="str">
        <f>HYPERLINK("https://icf.clappia.com/app/GMB253374/submission/SCI24573335/ICF247370-GMB253374-4bkfli70hp3g00000000/SIG-20250701_14101a0fbf.jpeg", "SIG-20250701_14101a0fbf.jpeg")</f>
        <v>SIG-20250701_14101a0fbf.jpeg</v>
      </c>
      <c r="AT243" s="1" t="s">
        <v>1357</v>
      </c>
      <c r="AU243" s="3" t="str">
        <f>HYPERLINK("https://icf.clappia.com/app/GMB253374/submission/SCI24573335/ICF247370-GMB253374-ac00608a1bh20000000/SIG-20250701_1412b39ae.jpeg", "SIG-20250701_1412b39ae.jpeg")</f>
        <v>SIG-20250701_1412b39ae.jpeg</v>
      </c>
      <c r="AV243" s="3" t="str">
        <f>HYPERLINK("https://www.google.com/maps/place/7.9902533%2C-11.6526883", "7.9902533,-11.6526883")</f>
        <v>7.9902533,-11.6526883</v>
      </c>
    </row>
    <row r="244" ht="15.75" customHeight="1">
      <c r="A244" s="1" t="s">
        <v>1400</v>
      </c>
      <c r="B244" s="1" t="s">
        <v>161</v>
      </c>
      <c r="C244" s="1" t="s">
        <v>1401</v>
      </c>
      <c r="D244" s="1" t="s">
        <v>1398</v>
      </c>
      <c r="E244" s="1" t="s">
        <v>1402</v>
      </c>
      <c r="F244" s="1" t="s">
        <v>64</v>
      </c>
      <c r="G244" s="1">
        <v>79.0</v>
      </c>
      <c r="H244" s="1" t="s">
        <v>50</v>
      </c>
      <c r="I244" s="1">
        <v>14.0</v>
      </c>
      <c r="J244" s="1">
        <v>8.0</v>
      </c>
      <c r="K244" s="1">
        <v>8.0</v>
      </c>
      <c r="L244" s="1">
        <v>6.0</v>
      </c>
      <c r="M244" s="1">
        <v>6.0</v>
      </c>
      <c r="N244" s="1" t="s">
        <v>51</v>
      </c>
      <c r="O244" s="1">
        <v>4.0</v>
      </c>
      <c r="P244" s="1">
        <v>2.0</v>
      </c>
      <c r="Q244" s="1">
        <v>2.0</v>
      </c>
      <c r="R244" s="1">
        <v>2.0</v>
      </c>
      <c r="S244" s="1">
        <v>2.0</v>
      </c>
      <c r="T244" s="1" t="s">
        <v>52</v>
      </c>
      <c r="U244" s="1">
        <v>5.0</v>
      </c>
      <c r="V244" s="1">
        <v>3.0</v>
      </c>
      <c r="W244" s="1">
        <v>3.0</v>
      </c>
      <c r="X244" s="1">
        <v>2.0</v>
      </c>
      <c r="Y244" s="1">
        <v>2.0</v>
      </c>
      <c r="Z244" s="1" t="s">
        <v>53</v>
      </c>
      <c r="AA244" s="1">
        <v>7.0</v>
      </c>
      <c r="AB244" s="1">
        <v>4.0</v>
      </c>
      <c r="AC244" s="1">
        <v>4.0</v>
      </c>
      <c r="AD244" s="1">
        <v>3.0</v>
      </c>
      <c r="AE244" s="1">
        <v>3.0</v>
      </c>
      <c r="AF244" s="1" t="s">
        <v>54</v>
      </c>
      <c r="AG244" s="1">
        <v>9.0</v>
      </c>
      <c r="AH244" s="1">
        <v>6.0</v>
      </c>
      <c r="AI244" s="1">
        <v>6.0</v>
      </c>
      <c r="AJ244" s="1">
        <v>3.0</v>
      </c>
      <c r="AK244" s="1">
        <v>3.0</v>
      </c>
      <c r="AL244" s="1">
        <v>39.0</v>
      </c>
      <c r="AM244" s="1" t="s">
        <v>55</v>
      </c>
      <c r="AN244" s="1">
        <v>40.0</v>
      </c>
      <c r="AO244" s="1">
        <v>40.0</v>
      </c>
      <c r="AP244" s="1" t="s">
        <v>1355</v>
      </c>
      <c r="AQ244" s="3" t="str">
        <f>HYPERLINK("https://icf.clappia.com/app/GMB253374/submission/QWK93535656/ICF247370-GMB253374-337j26e3346000000000/SIG-20250701_1235ncip6.jpeg", "SIG-20250701_1235ncip6.jpeg")</f>
        <v>SIG-20250701_1235ncip6.jpeg</v>
      </c>
      <c r="AR244" s="1" t="s">
        <v>1356</v>
      </c>
      <c r="AS244" s="3" t="str">
        <f>HYPERLINK("https://icf.clappia.com/app/GMB253374/submission/QWK93535656/ICF247370-GMB253374-4jm5k68ige7000000000/SIG-20250701_123615cd9n.jpeg", "SIG-20250701_123615cd9n.jpeg")</f>
        <v>SIG-20250701_123615cd9n.jpeg</v>
      </c>
      <c r="AT244" s="1" t="s">
        <v>1357</v>
      </c>
      <c r="AU244" s="3" t="str">
        <f>HYPERLINK("https://icf.clappia.com/app/GMB253374/submission/QWK93535656/ICF247370-GMB253374-3g315io2ba1800000000/SIG-20250701_123718ldio.jpeg", "SIG-20250701_123718ldio.jpeg")</f>
        <v>SIG-20250701_123718ldio.jpeg</v>
      </c>
      <c r="AV244" s="3" t="str">
        <f>HYPERLINK("https://www.google.com/maps/place/7.999085%2C-11.6934433", "7.999085,-11.6934433")</f>
        <v>7.999085,-11.6934433</v>
      </c>
    </row>
    <row r="245" ht="15.75" customHeight="1">
      <c r="A245" s="1" t="s">
        <v>1403</v>
      </c>
      <c r="B245" s="1" t="s">
        <v>161</v>
      </c>
      <c r="C245" s="1" t="s">
        <v>1404</v>
      </c>
      <c r="D245" s="1" t="s">
        <v>1398</v>
      </c>
      <c r="E245" s="1" t="s">
        <v>1405</v>
      </c>
      <c r="F245" s="1" t="s">
        <v>64</v>
      </c>
      <c r="G245" s="1">
        <v>100.0</v>
      </c>
      <c r="H245" s="1" t="s">
        <v>50</v>
      </c>
      <c r="I245" s="1">
        <v>65.0</v>
      </c>
      <c r="J245" s="1">
        <v>8.0</v>
      </c>
      <c r="K245" s="1">
        <v>8.0</v>
      </c>
      <c r="L245" s="1">
        <v>11.0</v>
      </c>
      <c r="M245" s="1">
        <v>11.0</v>
      </c>
      <c r="N245" s="1" t="s">
        <v>51</v>
      </c>
      <c r="O245" s="1">
        <v>16.0</v>
      </c>
      <c r="P245" s="1">
        <v>7.0</v>
      </c>
      <c r="Q245" s="1">
        <v>7.0</v>
      </c>
      <c r="R245" s="1">
        <v>9.0</v>
      </c>
      <c r="S245" s="1">
        <v>9.0</v>
      </c>
      <c r="T245" s="1" t="s">
        <v>52</v>
      </c>
      <c r="U245" s="1">
        <v>11.0</v>
      </c>
      <c r="V245" s="1">
        <v>6.0</v>
      </c>
      <c r="W245" s="1">
        <v>6.0</v>
      </c>
      <c r="X245" s="1">
        <v>5.0</v>
      </c>
      <c r="Y245" s="1">
        <v>5.0</v>
      </c>
      <c r="Z245" s="1" t="s">
        <v>53</v>
      </c>
      <c r="AA245" s="1">
        <v>13.0</v>
      </c>
      <c r="AB245" s="1">
        <v>7.0</v>
      </c>
      <c r="AC245" s="1">
        <v>7.0</v>
      </c>
      <c r="AD245" s="1">
        <v>6.0</v>
      </c>
      <c r="AE245" s="1">
        <v>6.0</v>
      </c>
      <c r="AF245" s="1" t="s">
        <v>54</v>
      </c>
      <c r="AG245" s="1">
        <v>6.0</v>
      </c>
      <c r="AH245" s="1">
        <v>1.0</v>
      </c>
      <c r="AI245" s="1">
        <v>1.0</v>
      </c>
      <c r="AJ245" s="1">
        <v>5.0</v>
      </c>
      <c r="AK245" s="1">
        <v>5.0</v>
      </c>
      <c r="AL245" s="1">
        <v>65.0</v>
      </c>
      <c r="AM245" s="1" t="s">
        <v>55</v>
      </c>
      <c r="AN245" s="1">
        <v>35.0</v>
      </c>
      <c r="AO245" s="1">
        <v>35.0</v>
      </c>
      <c r="AP245" s="1" t="s">
        <v>1355</v>
      </c>
      <c r="AQ245" s="3" t="str">
        <f>HYPERLINK("https://icf.clappia.com/app/GMB253374/submission/ALD59348923/ICF247370-GMB253374-579n161ndn0k00000000/SIG-20250701_1109abbco.jpeg", "SIG-20250701_1109abbco.jpeg")</f>
        <v>SIG-20250701_1109abbco.jpeg</v>
      </c>
      <c r="AR245" s="1" t="s">
        <v>1356</v>
      </c>
      <c r="AS245" s="3" t="str">
        <f>HYPERLINK("https://icf.clappia.com/app/GMB253374/submission/ALD59348923/ICF247370-GMB253374-2b1o57jpagn1a0000000/SIG-20250701_111119j81p.jpeg", "SIG-20250701_111119j81p.jpeg")</f>
        <v>SIG-20250701_111119j81p.jpeg</v>
      </c>
      <c r="AT245" s="1" t="s">
        <v>1357</v>
      </c>
      <c r="AU245" s="3" t="str">
        <f>HYPERLINK("https://icf.clappia.com/app/GMB253374/submission/ALD59348923/ICF247370-GMB253374-54oe1hpdd9ac00000000/SIG-20250701_111317f2ch.jpeg", "SIG-20250701_111317f2ch.jpeg")</f>
        <v>SIG-20250701_111317f2ch.jpeg</v>
      </c>
      <c r="AV245" s="3" t="str">
        <f>HYPERLINK("https://www.google.com/maps/place/8.00021%2C-11.6941967", "8.00021,-11.6941967")</f>
        <v>8.00021,-11.6941967</v>
      </c>
    </row>
    <row r="246" ht="15.75" customHeight="1">
      <c r="A246" s="1" t="s">
        <v>1406</v>
      </c>
      <c r="B246" s="1" t="s">
        <v>161</v>
      </c>
      <c r="C246" s="1" t="s">
        <v>1407</v>
      </c>
      <c r="D246" s="1" t="s">
        <v>1408</v>
      </c>
      <c r="E246" s="1" t="s">
        <v>1409</v>
      </c>
      <c r="F246" s="1" t="s">
        <v>64</v>
      </c>
      <c r="G246" s="1">
        <v>94.0</v>
      </c>
      <c r="H246" s="1" t="s">
        <v>50</v>
      </c>
      <c r="I246" s="1">
        <v>35.0</v>
      </c>
      <c r="J246" s="1">
        <v>25.0</v>
      </c>
      <c r="K246" s="1">
        <v>25.0</v>
      </c>
      <c r="L246" s="1">
        <v>10.0</v>
      </c>
      <c r="M246" s="1">
        <v>10.0</v>
      </c>
      <c r="N246" s="1" t="s">
        <v>51</v>
      </c>
      <c r="O246" s="1">
        <v>20.0</v>
      </c>
      <c r="P246" s="1">
        <v>12.0</v>
      </c>
      <c r="Q246" s="1">
        <v>12.0</v>
      </c>
      <c r="R246" s="1">
        <v>8.0</v>
      </c>
      <c r="S246" s="1">
        <v>8.0</v>
      </c>
      <c r="T246" s="1" t="s">
        <v>52</v>
      </c>
      <c r="U246" s="1">
        <v>15.0</v>
      </c>
      <c r="V246" s="1">
        <v>9.0</v>
      </c>
      <c r="W246" s="1">
        <v>9.0</v>
      </c>
      <c r="X246" s="1">
        <v>6.0</v>
      </c>
      <c r="Y246" s="1">
        <v>6.0</v>
      </c>
      <c r="Z246" s="1" t="s">
        <v>53</v>
      </c>
      <c r="AA246" s="1">
        <v>14.0</v>
      </c>
      <c r="AB246" s="1">
        <v>8.0</v>
      </c>
      <c r="AC246" s="1">
        <v>8.0</v>
      </c>
      <c r="AD246" s="1">
        <v>6.0</v>
      </c>
      <c r="AE246" s="1">
        <v>6.0</v>
      </c>
      <c r="AF246" s="1" t="s">
        <v>54</v>
      </c>
      <c r="AG246" s="1">
        <v>10.0</v>
      </c>
      <c r="AH246" s="1">
        <v>6.0</v>
      </c>
      <c r="AI246" s="1">
        <v>6.0</v>
      </c>
      <c r="AJ246" s="1">
        <v>4.0</v>
      </c>
      <c r="AK246" s="1">
        <v>4.0</v>
      </c>
      <c r="AL246" s="1">
        <v>94.0</v>
      </c>
      <c r="AM246" s="1" t="s">
        <v>55</v>
      </c>
      <c r="AN246" s="1" t="s">
        <v>55</v>
      </c>
      <c r="AO246" s="1" t="s">
        <v>55</v>
      </c>
      <c r="AP246" s="1" t="s">
        <v>1410</v>
      </c>
      <c r="AQ246" s="3" t="str">
        <f>HYPERLINK("https://icf.clappia.com/app/GMB253374/submission/SNA61350185/ICF247370-GMB253374-1em385pn17m000000000/SIG-20250630_154715na19.jpeg", "SIG-20250630_154715na19.jpeg")</f>
        <v>SIG-20250630_154715na19.jpeg</v>
      </c>
      <c r="AR246" s="1" t="s">
        <v>1356</v>
      </c>
      <c r="AS246" s="3" t="str">
        <f>HYPERLINK("https://icf.clappia.com/app/GMB253374/submission/SNA61350185/ICF247370-GMB253374-6bcfmc0ip2mg00000000/SIG-20250630_15485mpo9.jpeg", "SIG-20250630_15485mpo9.jpeg")</f>
        <v>SIG-20250630_15485mpo9.jpeg</v>
      </c>
      <c r="AT246" s="1" t="s">
        <v>1357</v>
      </c>
      <c r="AU246" s="3" t="str">
        <f>HYPERLINK("https://icf.clappia.com/app/GMB253374/submission/SNA61350185/ICF247370-GMB253374-m3354g9b70880000000/SIG-20250630_154812mdjg.jpeg", "SIG-20250630_154812mdjg.jpeg")</f>
        <v>SIG-20250630_154812mdjg.jpeg</v>
      </c>
      <c r="AV246" s="3" t="str">
        <f>HYPERLINK("https://www.google.com/maps/place/8.0141033%2C-11.675585", "8.0141033,-11.675585")</f>
        <v>8.0141033,-11.675585</v>
      </c>
    </row>
    <row r="247" ht="15.75" customHeight="1">
      <c r="A247" s="1" t="s">
        <v>1411</v>
      </c>
      <c r="B247" s="1" t="s">
        <v>161</v>
      </c>
      <c r="C247" s="1" t="s">
        <v>1412</v>
      </c>
      <c r="D247" s="1" t="s">
        <v>1408</v>
      </c>
      <c r="E247" s="1" t="s">
        <v>1413</v>
      </c>
      <c r="F247" s="1" t="s">
        <v>64</v>
      </c>
      <c r="G247" s="1">
        <v>351.0</v>
      </c>
      <c r="H247" s="1" t="s">
        <v>50</v>
      </c>
      <c r="I247" s="1">
        <v>70.0</v>
      </c>
      <c r="J247" s="1">
        <v>30.0</v>
      </c>
      <c r="K247" s="1">
        <v>30.0</v>
      </c>
      <c r="L247" s="1">
        <v>40.0</v>
      </c>
      <c r="M247" s="1">
        <v>40.0</v>
      </c>
      <c r="N247" s="1" t="s">
        <v>51</v>
      </c>
      <c r="O247" s="1">
        <v>55.0</v>
      </c>
      <c r="P247" s="1">
        <v>30.0</v>
      </c>
      <c r="Q247" s="1">
        <v>30.0</v>
      </c>
      <c r="R247" s="1">
        <v>25.0</v>
      </c>
      <c r="S247" s="1">
        <v>25.0</v>
      </c>
      <c r="T247" s="1" t="s">
        <v>52</v>
      </c>
      <c r="U247" s="1">
        <v>50.0</v>
      </c>
      <c r="V247" s="1">
        <v>30.0</v>
      </c>
      <c r="W247" s="1">
        <v>30.0</v>
      </c>
      <c r="X247" s="1">
        <v>20.0</v>
      </c>
      <c r="Y247" s="1">
        <v>20.0</v>
      </c>
      <c r="Z247" s="1" t="s">
        <v>53</v>
      </c>
      <c r="AA247" s="1">
        <v>45.0</v>
      </c>
      <c r="AB247" s="1">
        <v>25.0</v>
      </c>
      <c r="AC247" s="1">
        <v>25.0</v>
      </c>
      <c r="AD247" s="1">
        <v>20.0</v>
      </c>
      <c r="AE247" s="1">
        <v>20.0</v>
      </c>
      <c r="AF247" s="1" t="s">
        <v>54</v>
      </c>
      <c r="AG247" s="1">
        <v>30.0</v>
      </c>
      <c r="AH247" s="1">
        <v>20.0</v>
      </c>
      <c r="AI247" s="1">
        <v>20.0</v>
      </c>
      <c r="AJ247" s="1">
        <v>10.0</v>
      </c>
      <c r="AK247" s="1">
        <v>10.0</v>
      </c>
      <c r="AL247" s="1">
        <v>250.0</v>
      </c>
      <c r="AM247" s="1">
        <v>7.0</v>
      </c>
      <c r="AN247" s="1">
        <v>94.0</v>
      </c>
      <c r="AO247" s="1">
        <v>94.0</v>
      </c>
      <c r="AP247" s="1" t="s">
        <v>1410</v>
      </c>
      <c r="AQ247" s="3" t="str">
        <f>HYPERLINK("https://icf.clappia.com/app/GMB253374/submission/TVD76649133/ICF247370-GMB253374-35c11djapoki00000000/SIG-20250630_1506iclef.jpeg", "SIG-20250630_1506iclef.jpeg")</f>
        <v>SIG-20250630_1506iclef.jpeg</v>
      </c>
      <c r="AR247" s="1" t="s">
        <v>1414</v>
      </c>
      <c r="AS247" s="3" t="str">
        <f>HYPERLINK("https://icf.clappia.com/app/GMB253374/submission/TVD76649133/ICF247370-GMB253374-3oin953fkpg000000000/SIG-20250630_1506g1lic.jpeg", "SIG-20250630_1506g1lic.jpeg")</f>
        <v>SIG-20250630_1506g1lic.jpeg</v>
      </c>
      <c r="AT247" s="1" t="s">
        <v>1357</v>
      </c>
      <c r="AU247" s="3" t="str">
        <f>HYPERLINK("https://icf.clappia.com/app/GMB253374/submission/TVD76649133/ICF247370-GMB253374-2ipnfjfc71mc00000000/SIG-20250630_1507a7m57.jpeg", "SIG-20250630_1507a7m57.jpeg")</f>
        <v>SIG-20250630_1507a7m57.jpeg</v>
      </c>
      <c r="AV247" s="3" t="str">
        <f>HYPERLINK("https://www.google.com/maps/place/8.0141583%2C-11.6750967", "8.0141583,-11.6750967")</f>
        <v>8.0141583,-11.6750967</v>
      </c>
    </row>
    <row r="248" ht="15.75" customHeight="1">
      <c r="A248" s="1" t="s">
        <v>1415</v>
      </c>
      <c r="B248" s="1" t="s">
        <v>81</v>
      </c>
      <c r="C248" s="1" t="s">
        <v>1416</v>
      </c>
      <c r="D248" s="1" t="s">
        <v>1416</v>
      </c>
      <c r="E248" s="1" t="s">
        <v>1417</v>
      </c>
      <c r="F248" s="1" t="s">
        <v>49</v>
      </c>
      <c r="G248" s="1">
        <v>350.0</v>
      </c>
      <c r="H248" s="1" t="s">
        <v>50</v>
      </c>
      <c r="I248" s="1">
        <v>70.0</v>
      </c>
      <c r="J248" s="1">
        <v>30.0</v>
      </c>
      <c r="K248" s="1">
        <v>30.0</v>
      </c>
      <c r="L248" s="1">
        <v>40.0</v>
      </c>
      <c r="M248" s="1">
        <v>40.0</v>
      </c>
      <c r="N248" s="1" t="s">
        <v>51</v>
      </c>
      <c r="O248" s="1">
        <v>75.0</v>
      </c>
      <c r="P248" s="1">
        <v>30.0</v>
      </c>
      <c r="Q248" s="1">
        <v>30.0</v>
      </c>
      <c r="R248" s="1">
        <v>45.0</v>
      </c>
      <c r="S248" s="1">
        <v>45.0</v>
      </c>
      <c r="T248" s="1" t="s">
        <v>52</v>
      </c>
      <c r="U248" s="1">
        <v>72.0</v>
      </c>
      <c r="V248" s="1">
        <v>32.0</v>
      </c>
      <c r="W248" s="1">
        <v>32.0</v>
      </c>
      <c r="X248" s="1">
        <v>40.0</v>
      </c>
      <c r="Y248" s="1">
        <v>40.0</v>
      </c>
      <c r="Z248" s="1" t="s">
        <v>53</v>
      </c>
      <c r="AA248" s="1">
        <v>80.0</v>
      </c>
      <c r="AB248" s="1">
        <v>35.0</v>
      </c>
      <c r="AC248" s="1">
        <v>35.0</v>
      </c>
      <c r="AD248" s="1">
        <v>45.0</v>
      </c>
      <c r="AE248" s="1">
        <v>45.0</v>
      </c>
      <c r="AF248" s="1" t="s">
        <v>54</v>
      </c>
      <c r="AG248" s="1">
        <v>53.0</v>
      </c>
      <c r="AH248" s="1">
        <v>21.0</v>
      </c>
      <c r="AI248" s="1">
        <v>21.0</v>
      </c>
      <c r="AJ248" s="1">
        <v>32.0</v>
      </c>
      <c r="AK248" s="1">
        <v>32.0</v>
      </c>
      <c r="AL248" s="1">
        <v>350.0</v>
      </c>
      <c r="AM248" s="1" t="s">
        <v>55</v>
      </c>
      <c r="AN248" s="1" t="s">
        <v>55</v>
      </c>
      <c r="AO248" s="1" t="s">
        <v>55</v>
      </c>
      <c r="AP248" s="1" t="s">
        <v>1418</v>
      </c>
      <c r="AQ248" s="3" t="str">
        <f>HYPERLINK("https://icf.clappia.com/app/GMB253374/submission/MRK41065700/ICF247370-GMB253374-25ip1d9ek07cc0000000/SIG-20250702_17526liji.jpeg", "SIG-20250702_17526liji.jpeg")</f>
        <v>SIG-20250702_17526liji.jpeg</v>
      </c>
      <c r="AR248" s="1" t="s">
        <v>1419</v>
      </c>
      <c r="AS248" s="3" t="str">
        <f>HYPERLINK("https://icf.clappia.com/app/GMB253374/submission/MRK41065700/ICF247370-GMB253374-36869nbb704c00000000/SIG-20250702_1753c9po5.jpeg", "SIG-20250702_1753c9po5.jpeg")</f>
        <v>SIG-20250702_1753c9po5.jpeg</v>
      </c>
      <c r="AT248" s="1" t="s">
        <v>1420</v>
      </c>
      <c r="AU248" s="3" t="str">
        <f>HYPERLINK("https://icf.clappia.com/app/GMB253374/submission/MRK41065700/ICF247370-GMB253374-5ifiafh70he400000000/SIG-20250702_1753133i21.jpeg", "SIG-20250702_1753133i21.jpeg")</f>
        <v>SIG-20250702_1753133i21.jpeg</v>
      </c>
      <c r="AV248" s="3" t="str">
        <f>HYPERLINK("https://www.google.com/maps/place/7.96578%2C-11.7687833", "7.96578,-11.7687833")</f>
        <v>7.96578,-11.7687833</v>
      </c>
    </row>
    <row r="249" ht="15.75" customHeight="1">
      <c r="A249" s="1" t="s">
        <v>1421</v>
      </c>
      <c r="B249" s="1" t="s">
        <v>155</v>
      </c>
      <c r="C249" s="1" t="s">
        <v>1422</v>
      </c>
      <c r="D249" s="1" t="s">
        <v>1423</v>
      </c>
      <c r="E249" s="1" t="s">
        <v>1424</v>
      </c>
      <c r="F249" s="1" t="s">
        <v>64</v>
      </c>
      <c r="G249" s="1">
        <v>250.0</v>
      </c>
      <c r="H249" s="1" t="s">
        <v>50</v>
      </c>
      <c r="I249" s="1">
        <v>52.0</v>
      </c>
      <c r="J249" s="1">
        <v>24.0</v>
      </c>
      <c r="K249" s="1">
        <v>22.0</v>
      </c>
      <c r="L249" s="1">
        <v>28.0</v>
      </c>
      <c r="M249" s="1">
        <v>26.0</v>
      </c>
      <c r="N249" s="1" t="s">
        <v>51</v>
      </c>
      <c r="O249" s="1">
        <v>40.0</v>
      </c>
      <c r="P249" s="1">
        <v>24.0</v>
      </c>
      <c r="Q249" s="1">
        <v>20.0</v>
      </c>
      <c r="R249" s="1">
        <v>16.0</v>
      </c>
      <c r="S249" s="1">
        <v>16.0</v>
      </c>
      <c r="T249" s="1" t="s">
        <v>52</v>
      </c>
      <c r="U249" s="1">
        <v>34.0</v>
      </c>
      <c r="V249" s="1">
        <v>17.0</v>
      </c>
      <c r="W249" s="1">
        <v>14.0</v>
      </c>
      <c r="X249" s="1">
        <v>17.0</v>
      </c>
      <c r="Y249" s="1">
        <v>15.0</v>
      </c>
      <c r="Z249" s="1" t="s">
        <v>53</v>
      </c>
      <c r="AA249" s="1">
        <v>20.0</v>
      </c>
      <c r="AB249" s="1">
        <v>10.0</v>
      </c>
      <c r="AC249" s="1">
        <v>9.0</v>
      </c>
      <c r="AD249" s="1">
        <v>10.0</v>
      </c>
      <c r="AE249" s="1">
        <v>8.0</v>
      </c>
      <c r="AF249" s="1" t="s">
        <v>54</v>
      </c>
      <c r="AG249" s="1">
        <v>30.0</v>
      </c>
      <c r="AH249" s="1">
        <v>10.0</v>
      </c>
      <c r="AI249" s="1">
        <v>10.0</v>
      </c>
      <c r="AJ249" s="1">
        <v>20.0</v>
      </c>
      <c r="AK249" s="1">
        <v>18.0</v>
      </c>
      <c r="AL249" s="1">
        <v>158.0</v>
      </c>
      <c r="AM249" s="1" t="s">
        <v>55</v>
      </c>
      <c r="AN249" s="1">
        <v>92.0</v>
      </c>
      <c r="AO249" s="1">
        <v>92.0</v>
      </c>
      <c r="AP249" s="1" t="s">
        <v>629</v>
      </c>
      <c r="AQ249" s="3" t="str">
        <f>HYPERLINK("https://icf.clappia.com/app/GMB253374/submission/VAZ55223172/ICF247370-GMB253374-9kp8gnof46b20000000/SIG-20250702_1712igafe.jpeg", "SIG-20250702_1712igafe.jpeg")</f>
        <v>SIG-20250702_1712igafe.jpeg</v>
      </c>
      <c r="AR249" s="1" t="s">
        <v>631</v>
      </c>
      <c r="AS249" s="3" t="str">
        <f>HYPERLINK("https://icf.clappia.com/app/GMB253374/submission/VAZ55223172/ICF247370-GMB253374-6494jhbln71i00000000/SIG-20250702_171319ka3c.jpeg", "SIG-20250702_171319ka3c.jpeg")</f>
        <v>SIG-20250702_171319ka3c.jpeg</v>
      </c>
      <c r="AT249" s="1" t="s">
        <v>630</v>
      </c>
      <c r="AU249" s="3" t="str">
        <f>HYPERLINK("https://icf.clappia.com/app/GMB253374/submission/VAZ55223172/ICF247370-GMB253374-4onc41cf9j9600000000/SIG-20250702_1713567oe.jpeg", "SIG-20250702_1713567oe.jpeg")</f>
        <v>SIG-20250702_1713567oe.jpeg</v>
      </c>
      <c r="AV249" s="3" t="str">
        <f>HYPERLINK("https://www.google.com/maps/place/8.7599883%2C-11.955995", "8.7599883,-11.955995")</f>
        <v>8.7599883,-11.955995</v>
      </c>
    </row>
    <row r="250" ht="15.75" customHeight="1">
      <c r="A250" s="1" t="s">
        <v>1425</v>
      </c>
      <c r="B250" s="1" t="s">
        <v>167</v>
      </c>
      <c r="C250" s="1" t="s">
        <v>1426</v>
      </c>
      <c r="D250" s="1" t="s">
        <v>1426</v>
      </c>
      <c r="E250" s="1" t="s">
        <v>1427</v>
      </c>
      <c r="F250" s="1" t="s">
        <v>64</v>
      </c>
      <c r="G250" s="1">
        <v>150.0</v>
      </c>
      <c r="H250" s="1" t="s">
        <v>50</v>
      </c>
      <c r="I250" s="1">
        <v>56.0</v>
      </c>
      <c r="J250" s="1">
        <v>28.0</v>
      </c>
      <c r="K250" s="1">
        <v>28.0</v>
      </c>
      <c r="L250" s="1">
        <v>27.0</v>
      </c>
      <c r="M250" s="1">
        <v>27.0</v>
      </c>
      <c r="N250" s="1" t="s">
        <v>51</v>
      </c>
      <c r="O250" s="1">
        <v>5.0</v>
      </c>
      <c r="P250" s="1">
        <v>3.0</v>
      </c>
      <c r="Q250" s="1">
        <v>3.0</v>
      </c>
      <c r="R250" s="1">
        <v>2.0</v>
      </c>
      <c r="S250" s="1">
        <v>2.0</v>
      </c>
      <c r="T250" s="1" t="s">
        <v>52</v>
      </c>
      <c r="U250" s="1">
        <v>5.0</v>
      </c>
      <c r="V250" s="1">
        <v>1.0</v>
      </c>
      <c r="W250" s="1">
        <v>1.0</v>
      </c>
      <c r="X250" s="1">
        <v>4.0</v>
      </c>
      <c r="Y250" s="1">
        <v>4.0</v>
      </c>
      <c r="Z250" s="1" t="s">
        <v>53</v>
      </c>
      <c r="AA250" s="1">
        <v>11.0</v>
      </c>
      <c r="AB250" s="1">
        <v>6.0</v>
      </c>
      <c r="AC250" s="1">
        <v>6.0</v>
      </c>
      <c r="AD250" s="1">
        <v>5.0</v>
      </c>
      <c r="AE250" s="1">
        <v>5.0</v>
      </c>
      <c r="AF250" s="1" t="s">
        <v>54</v>
      </c>
      <c r="AG250" s="1">
        <v>6.0</v>
      </c>
      <c r="AH250" s="1">
        <v>1.0</v>
      </c>
      <c r="AI250" s="1">
        <v>1.0</v>
      </c>
      <c r="AJ250" s="1">
        <v>5.0</v>
      </c>
      <c r="AK250" s="1">
        <v>5.0</v>
      </c>
      <c r="AL250" s="1">
        <v>82.0</v>
      </c>
      <c r="AM250" s="1" t="s">
        <v>55</v>
      </c>
      <c r="AN250" s="1">
        <v>68.0</v>
      </c>
      <c r="AO250" s="1">
        <v>68.0</v>
      </c>
      <c r="AP250" s="1" t="s">
        <v>1428</v>
      </c>
      <c r="AQ250" s="3" t="str">
        <f>HYPERLINK("https://icf.clappia.com/app/GMB253374/submission/GCB84613020/ICF247370-GMB253374-1foi5b882pmic0000000/SIG-20250702_1519b0fnp.jpeg", "SIG-20250702_1519b0fnp.jpeg")</f>
        <v>SIG-20250702_1519b0fnp.jpeg</v>
      </c>
      <c r="AR250" s="1" t="s">
        <v>1429</v>
      </c>
      <c r="AS250" s="3" t="str">
        <f>HYPERLINK("https://icf.clappia.com/app/GMB253374/submission/GCB84613020/ICF247370-GMB253374-2e7lh56fj3f800000000/SIG-20250702_15211a820f.jpeg", "SIG-20250702_15211a820f.jpeg")</f>
        <v>SIG-20250702_15211a820f.jpeg</v>
      </c>
      <c r="AT250" s="1" t="s">
        <v>1430</v>
      </c>
      <c r="AU250" s="3" t="str">
        <f>HYPERLINK("https://icf.clappia.com/app/GMB253374/submission/GCB84613020/ICF247370-GMB253374-60mdhn7dep2000000000/SIG-20250702_1521md6ob.jpeg", "SIG-20250702_1521md6ob.jpeg")</f>
        <v>SIG-20250702_1521md6ob.jpeg</v>
      </c>
      <c r="AV250" s="3" t="str">
        <f>HYPERLINK("https://www.google.com/maps/place/7.7757299%2C-11.7258679", "7.7757299,-11.7258679")</f>
        <v>7.7757299,-11.7258679</v>
      </c>
    </row>
    <row r="251" ht="15.75" customHeight="1">
      <c r="A251" s="1" t="s">
        <v>1431</v>
      </c>
      <c r="B251" s="1" t="s">
        <v>60</v>
      </c>
      <c r="C251" s="1" t="s">
        <v>1432</v>
      </c>
      <c r="D251" s="1" t="s">
        <v>1432</v>
      </c>
      <c r="E251" s="1" t="s">
        <v>1433</v>
      </c>
      <c r="F251" s="1" t="s">
        <v>64</v>
      </c>
      <c r="G251" s="1">
        <v>258.0</v>
      </c>
      <c r="H251" s="1" t="s">
        <v>50</v>
      </c>
      <c r="I251" s="1">
        <v>30.0</v>
      </c>
      <c r="J251" s="1">
        <v>15.0</v>
      </c>
      <c r="K251" s="1">
        <v>15.0</v>
      </c>
      <c r="L251" s="1">
        <v>15.0</v>
      </c>
      <c r="M251" s="1">
        <v>15.0</v>
      </c>
      <c r="N251" s="1" t="s">
        <v>51</v>
      </c>
      <c r="O251" s="1">
        <v>54.0</v>
      </c>
      <c r="P251" s="1">
        <v>30.0</v>
      </c>
      <c r="Q251" s="1">
        <v>30.0</v>
      </c>
      <c r="R251" s="1">
        <v>24.0</v>
      </c>
      <c r="S251" s="1">
        <v>24.0</v>
      </c>
      <c r="T251" s="1" t="s">
        <v>52</v>
      </c>
      <c r="U251" s="1">
        <v>36.0</v>
      </c>
      <c r="V251" s="1">
        <v>20.0</v>
      </c>
      <c r="W251" s="1">
        <v>20.0</v>
      </c>
      <c r="X251" s="1">
        <v>16.0</v>
      </c>
      <c r="Y251" s="1">
        <v>16.0</v>
      </c>
      <c r="Z251" s="1" t="s">
        <v>53</v>
      </c>
      <c r="AA251" s="1">
        <v>52.0</v>
      </c>
      <c r="AB251" s="1">
        <v>22.0</v>
      </c>
      <c r="AC251" s="1">
        <v>22.0</v>
      </c>
      <c r="AD251" s="1">
        <v>30.0</v>
      </c>
      <c r="AE251" s="1">
        <v>30.0</v>
      </c>
      <c r="AF251" s="1" t="s">
        <v>54</v>
      </c>
      <c r="AG251" s="1">
        <v>55.0</v>
      </c>
      <c r="AH251" s="1">
        <v>30.0</v>
      </c>
      <c r="AI251" s="1">
        <v>30.0</v>
      </c>
      <c r="AJ251" s="1">
        <v>25.0</v>
      </c>
      <c r="AK251" s="1">
        <v>25.0</v>
      </c>
      <c r="AL251" s="1">
        <v>227.0</v>
      </c>
      <c r="AM251" s="1">
        <v>10.0</v>
      </c>
      <c r="AN251" s="1">
        <v>21.0</v>
      </c>
      <c r="AO251" s="1">
        <v>21.0</v>
      </c>
      <c r="AP251" s="1" t="s">
        <v>65</v>
      </c>
      <c r="AQ251" s="3" t="str">
        <f>HYPERLINK("https://icf.clappia.com/app/GMB253374/submission/MKW38930040/ICF247370-GMB253374-a1pjjl8ond7m0000000/SIG-20250702_1711150e1b.jpeg", "SIG-20250702_1711150e1b.jpeg")</f>
        <v>SIG-20250702_1711150e1b.jpeg</v>
      </c>
      <c r="AR251" s="1" t="s">
        <v>66</v>
      </c>
      <c r="AS251" s="3" t="str">
        <f>HYPERLINK("https://icf.clappia.com/app/GMB253374/submission/MKW38930040/ICF247370-GMB253374-4neia7l8ekmc00000000/SIG-20250702_1712cnheb.jpeg", "SIG-20250702_1712cnheb.jpeg")</f>
        <v>SIG-20250702_1712cnheb.jpeg</v>
      </c>
      <c r="AT251" s="1" t="s">
        <v>67</v>
      </c>
      <c r="AU251" s="3" t="str">
        <f>HYPERLINK("https://icf.clappia.com/app/GMB253374/submission/MKW38930040/ICF247370-GMB253374-2b4b5g6gl3loe0000000/SIG-20250702_1718mol8a.jpeg", "SIG-20250702_1718mol8a.jpeg")</f>
        <v>SIG-20250702_1718mol8a.jpeg</v>
      </c>
      <c r="AV251" s="3" t="str">
        <f>HYPERLINK("https://www.google.com/maps/place/8.9953333%2C-12.1121167", "8.9953333,-12.1121167")</f>
        <v>8.9953333,-12.1121167</v>
      </c>
    </row>
    <row r="252" ht="15.75" customHeight="1">
      <c r="A252" s="1" t="s">
        <v>1434</v>
      </c>
      <c r="B252" s="1" t="s">
        <v>356</v>
      </c>
      <c r="C252" s="1" t="s">
        <v>1435</v>
      </c>
      <c r="D252" s="1" t="s">
        <v>1435</v>
      </c>
      <c r="E252" s="1" t="s">
        <v>1436</v>
      </c>
      <c r="F252" s="1" t="s">
        <v>64</v>
      </c>
      <c r="G252" s="1">
        <v>85.0</v>
      </c>
      <c r="H252" s="1" t="s">
        <v>50</v>
      </c>
      <c r="I252" s="1">
        <v>40.0</v>
      </c>
      <c r="J252" s="1">
        <v>23.0</v>
      </c>
      <c r="K252" s="1">
        <v>23.0</v>
      </c>
      <c r="L252" s="1">
        <v>17.0</v>
      </c>
      <c r="M252" s="1">
        <v>17.0</v>
      </c>
      <c r="N252" s="1" t="s">
        <v>51</v>
      </c>
      <c r="O252" s="1">
        <v>12.0</v>
      </c>
      <c r="P252" s="1">
        <v>5.0</v>
      </c>
      <c r="Q252" s="1">
        <v>5.0</v>
      </c>
      <c r="R252" s="1">
        <v>7.0</v>
      </c>
      <c r="S252" s="1">
        <v>7.0</v>
      </c>
      <c r="T252" s="1" t="s">
        <v>52</v>
      </c>
      <c r="U252" s="1">
        <v>11.0</v>
      </c>
      <c r="V252" s="1">
        <v>5.0</v>
      </c>
      <c r="W252" s="1">
        <v>5.0</v>
      </c>
      <c r="X252" s="1">
        <v>6.0</v>
      </c>
      <c r="Y252" s="1">
        <v>6.0</v>
      </c>
      <c r="Z252" s="1" t="s">
        <v>53</v>
      </c>
      <c r="AA252" s="1">
        <v>11.0</v>
      </c>
      <c r="AB252" s="1">
        <v>6.0</v>
      </c>
      <c r="AC252" s="1">
        <v>6.0</v>
      </c>
      <c r="AD252" s="1">
        <v>5.0</v>
      </c>
      <c r="AE252" s="1">
        <v>5.0</v>
      </c>
      <c r="AF252" s="1" t="s">
        <v>54</v>
      </c>
      <c r="AG252" s="1">
        <v>11.0</v>
      </c>
      <c r="AH252" s="1">
        <v>3.0</v>
      </c>
      <c r="AI252" s="1">
        <v>2.0</v>
      </c>
      <c r="AJ252" s="1">
        <v>8.0</v>
      </c>
      <c r="AK252" s="1">
        <v>7.0</v>
      </c>
      <c r="AL252" s="1">
        <v>83.0</v>
      </c>
      <c r="AM252" s="1">
        <v>2.0</v>
      </c>
      <c r="AN252" s="1" t="s">
        <v>55</v>
      </c>
      <c r="AO252" s="1" t="s">
        <v>55</v>
      </c>
      <c r="AP252" s="1" t="s">
        <v>1437</v>
      </c>
      <c r="AQ252" s="3" t="str">
        <f>HYPERLINK("https://icf.clappia.com/app/GMB253374/submission/DYD51771977/ICF247370-GMB253374-646e6e7a8pia00000000/SIG-20250702_17074ggbk.jpeg", "SIG-20250702_17074ggbk.jpeg")</f>
        <v>SIG-20250702_17074ggbk.jpeg</v>
      </c>
      <c r="AR252" s="1" t="s">
        <v>1438</v>
      </c>
      <c r="AS252" s="3" t="str">
        <f>HYPERLINK("https://icf.clappia.com/app/GMB253374/submission/DYD51771977/ICF247370-GMB253374-6adag5diao0i00000000/SIG-20250702_1708135jgo.jpeg", "SIG-20250702_1708135jgo.jpeg")</f>
        <v>SIG-20250702_1708135jgo.jpeg</v>
      </c>
      <c r="AT252" s="1" t="s">
        <v>1439</v>
      </c>
      <c r="AU252" s="3" t="str">
        <f>HYPERLINK("https://icf.clappia.com/app/GMB253374/submission/DYD51771977/ICF247370-GMB253374-1leaelh8cl2800000000/SIG-20250702_1709216d0.jpeg", "SIG-20250702_1709216d0.jpeg")</f>
        <v>SIG-20250702_1709216d0.jpeg</v>
      </c>
      <c r="AV252" s="3" t="str">
        <f>HYPERLINK("https://www.google.com/maps/place/8.4167636%2C-11.667472", "8.4167636,-11.667472")</f>
        <v>8.4167636,-11.667472</v>
      </c>
    </row>
    <row r="253" ht="15.75" customHeight="1">
      <c r="A253" s="1" t="s">
        <v>1440</v>
      </c>
      <c r="B253" s="1" t="s">
        <v>142</v>
      </c>
      <c r="C253" s="1" t="s">
        <v>1441</v>
      </c>
      <c r="D253" s="1" t="s">
        <v>1442</v>
      </c>
      <c r="E253" s="1" t="s">
        <v>1443</v>
      </c>
      <c r="F253" s="1" t="s">
        <v>64</v>
      </c>
      <c r="G253" s="1">
        <v>166.0</v>
      </c>
      <c r="H253" s="1" t="s">
        <v>50</v>
      </c>
      <c r="I253" s="1">
        <v>61.0</v>
      </c>
      <c r="J253" s="1">
        <v>32.0</v>
      </c>
      <c r="K253" s="1">
        <v>32.0</v>
      </c>
      <c r="L253" s="1">
        <v>29.0</v>
      </c>
      <c r="M253" s="1">
        <v>29.0</v>
      </c>
      <c r="N253" s="1" t="s">
        <v>51</v>
      </c>
      <c r="O253" s="1">
        <v>42.0</v>
      </c>
      <c r="P253" s="1">
        <v>23.0</v>
      </c>
      <c r="Q253" s="1">
        <v>23.0</v>
      </c>
      <c r="R253" s="1">
        <v>19.0</v>
      </c>
      <c r="S253" s="1">
        <v>19.0</v>
      </c>
      <c r="T253" s="1" t="s">
        <v>52</v>
      </c>
      <c r="U253" s="1">
        <v>30.0</v>
      </c>
      <c r="V253" s="1">
        <v>14.0</v>
      </c>
      <c r="W253" s="1">
        <v>14.0</v>
      </c>
      <c r="X253" s="1">
        <v>16.0</v>
      </c>
      <c r="Y253" s="1">
        <v>16.0</v>
      </c>
      <c r="Z253" s="1" t="s">
        <v>53</v>
      </c>
      <c r="AA253" s="1">
        <v>20.0</v>
      </c>
      <c r="AB253" s="1">
        <v>11.0</v>
      </c>
      <c r="AC253" s="1">
        <v>11.0</v>
      </c>
      <c r="AD253" s="1">
        <v>9.0</v>
      </c>
      <c r="AE253" s="1">
        <v>9.0</v>
      </c>
      <c r="AF253" s="1" t="s">
        <v>54</v>
      </c>
      <c r="AG253" s="1">
        <v>13.0</v>
      </c>
      <c r="AH253" s="1">
        <v>6.0</v>
      </c>
      <c r="AI253" s="1">
        <v>6.0</v>
      </c>
      <c r="AJ253" s="1">
        <v>7.0</v>
      </c>
      <c r="AK253" s="1">
        <v>7.0</v>
      </c>
      <c r="AL253" s="1">
        <v>166.0</v>
      </c>
      <c r="AM253" s="1" t="s">
        <v>55</v>
      </c>
      <c r="AN253" s="1" t="s">
        <v>55</v>
      </c>
      <c r="AO253" s="1" t="s">
        <v>55</v>
      </c>
      <c r="AP253" s="1" t="s">
        <v>1444</v>
      </c>
      <c r="AQ253" s="3" t="str">
        <f>HYPERLINK("https://icf.clappia.com/app/GMB253374/submission/OCG34455897/ICF247370-GMB253374-2g3c7hjbijoe00000000/SIG-20250702_165513jmo1.jpeg", "SIG-20250702_165513jmo1.jpeg")</f>
        <v>SIG-20250702_165513jmo1.jpeg</v>
      </c>
      <c r="AR253" s="1" t="s">
        <v>1445</v>
      </c>
      <c r="AS253" s="3" t="str">
        <f>HYPERLINK("https://icf.clappia.com/app/GMB253374/submission/OCG34455897/ICF247370-GMB253374-2m3j92haebd400000000/SIG-20250702_16567kfep.jpeg", "SIG-20250702_16567kfep.jpeg")</f>
        <v>SIG-20250702_16567kfep.jpeg</v>
      </c>
      <c r="AT253" s="1" t="s">
        <v>1446</v>
      </c>
      <c r="AU253" s="3" t="str">
        <f>HYPERLINK("https://icf.clappia.com/app/GMB253374/submission/OCG34455897/ICF247370-GMB253374-274jcddodp5pg0000000/SIG-20250702_16571a1c1d.jpeg", "SIG-20250702_16571a1c1d.jpeg")</f>
        <v>SIG-20250702_16571a1c1d.jpeg</v>
      </c>
      <c r="AV253" s="3" t="str">
        <f>HYPERLINK("https://www.google.com/maps/place/7.7111407%2C-11.925714", "7.7111407,-11.925714")</f>
        <v>7.7111407,-11.925714</v>
      </c>
    </row>
    <row r="254" ht="15.75" customHeight="1">
      <c r="A254" s="1" t="s">
        <v>1447</v>
      </c>
      <c r="B254" s="1" t="s">
        <v>60</v>
      </c>
      <c r="C254" s="1" t="s">
        <v>1441</v>
      </c>
      <c r="D254" s="1" t="s">
        <v>1441</v>
      </c>
      <c r="E254" s="1" t="s">
        <v>1448</v>
      </c>
      <c r="F254" s="1" t="s">
        <v>64</v>
      </c>
      <c r="G254" s="1">
        <v>217.0</v>
      </c>
      <c r="H254" s="1" t="s">
        <v>50</v>
      </c>
      <c r="I254" s="1">
        <v>42.0</v>
      </c>
      <c r="J254" s="1">
        <v>19.0</v>
      </c>
      <c r="K254" s="1">
        <v>19.0</v>
      </c>
      <c r="L254" s="1">
        <v>23.0</v>
      </c>
      <c r="M254" s="1">
        <v>23.0</v>
      </c>
      <c r="N254" s="1" t="s">
        <v>51</v>
      </c>
      <c r="O254" s="1">
        <v>38.0</v>
      </c>
      <c r="P254" s="1">
        <v>18.0</v>
      </c>
      <c r="Q254" s="1">
        <v>18.0</v>
      </c>
      <c r="R254" s="1">
        <v>20.0</v>
      </c>
      <c r="S254" s="1">
        <v>20.0</v>
      </c>
      <c r="T254" s="1" t="s">
        <v>52</v>
      </c>
      <c r="U254" s="1">
        <v>48.0</v>
      </c>
      <c r="V254" s="1">
        <v>20.0</v>
      </c>
      <c r="W254" s="1">
        <v>20.0</v>
      </c>
      <c r="X254" s="1">
        <v>28.0</v>
      </c>
      <c r="Y254" s="1">
        <v>28.0</v>
      </c>
      <c r="Z254" s="1" t="s">
        <v>53</v>
      </c>
      <c r="AA254" s="1">
        <v>41.0</v>
      </c>
      <c r="AB254" s="1">
        <v>19.0</v>
      </c>
      <c r="AC254" s="1">
        <v>19.0</v>
      </c>
      <c r="AD254" s="1">
        <v>22.0</v>
      </c>
      <c r="AE254" s="1">
        <v>22.0</v>
      </c>
      <c r="AF254" s="1" t="s">
        <v>54</v>
      </c>
      <c r="AG254" s="1">
        <v>30.0</v>
      </c>
      <c r="AH254" s="1">
        <v>17.0</v>
      </c>
      <c r="AI254" s="1">
        <v>17.0</v>
      </c>
      <c r="AJ254" s="1">
        <v>13.0</v>
      </c>
      <c r="AK254" s="1">
        <v>13.0</v>
      </c>
      <c r="AL254" s="1">
        <v>199.0</v>
      </c>
      <c r="AM254" s="1" t="s">
        <v>55</v>
      </c>
      <c r="AN254" s="1">
        <v>18.0</v>
      </c>
      <c r="AO254" s="1">
        <v>18.0</v>
      </c>
      <c r="AP254" s="1" t="s">
        <v>1449</v>
      </c>
      <c r="AQ254" s="3" t="str">
        <f>HYPERLINK("https://icf.clappia.com/app/GMB253374/submission/NWX92810495/ICF247370-GMB253374-2e5f7k16pddo00000000/SIG-20250702_111517jdg9.jpeg", "SIG-20250702_111517jdg9.jpeg")</f>
        <v>SIG-20250702_111517jdg9.jpeg</v>
      </c>
      <c r="AR254" s="1" t="s">
        <v>1450</v>
      </c>
      <c r="AS254" s="3" t="str">
        <f>HYPERLINK("https://icf.clappia.com/app/GMB253374/submission/NWX92810495/ICF247370-GMB253374-12p2h78kpo7l20000000/SIG-20250702_11151406af.jpeg", "SIG-20250702_11151406af.jpeg")</f>
        <v>SIG-20250702_11151406af.jpeg</v>
      </c>
      <c r="AT254" s="1" t="s">
        <v>1451</v>
      </c>
      <c r="AU254" s="3" t="str">
        <f>HYPERLINK("https://icf.clappia.com/app/GMB253374/submission/NWX92810495/ICF247370-GMB253374-5kccdkbd72j600000000/SIG-20250702_165618coh7.jpeg", "SIG-20250702_165618coh7.jpeg")</f>
        <v>SIG-20250702_165618coh7.jpeg</v>
      </c>
      <c r="AV254" s="3" t="str">
        <f>HYPERLINK("https://www.google.com/maps/place/9.284422%2C-11.9545999", "9.284422,-11.9545999")</f>
        <v>9.284422,-11.9545999</v>
      </c>
    </row>
    <row r="255" ht="15.75" customHeight="1">
      <c r="A255" s="1" t="s">
        <v>1452</v>
      </c>
      <c r="B255" s="1" t="s">
        <v>349</v>
      </c>
      <c r="C255" s="1" t="s">
        <v>1453</v>
      </c>
      <c r="D255" s="1" t="s">
        <v>1453</v>
      </c>
      <c r="E255" s="1" t="s">
        <v>1454</v>
      </c>
      <c r="F255" s="1" t="s">
        <v>64</v>
      </c>
      <c r="G255" s="1">
        <v>200.0</v>
      </c>
      <c r="H255" s="1" t="s">
        <v>50</v>
      </c>
      <c r="I255" s="1">
        <v>32.0</v>
      </c>
      <c r="J255" s="1">
        <v>12.0</v>
      </c>
      <c r="K255" s="1">
        <v>12.0</v>
      </c>
      <c r="L255" s="1">
        <v>20.0</v>
      </c>
      <c r="M255" s="1">
        <v>20.0</v>
      </c>
      <c r="N255" s="1" t="s">
        <v>51</v>
      </c>
      <c r="O255" s="1">
        <v>40.0</v>
      </c>
      <c r="P255" s="1">
        <v>18.0</v>
      </c>
      <c r="Q255" s="1">
        <v>18.0</v>
      </c>
      <c r="R255" s="1">
        <v>22.0</v>
      </c>
      <c r="S255" s="1">
        <v>22.0</v>
      </c>
      <c r="T255" s="1" t="s">
        <v>52</v>
      </c>
      <c r="U255" s="1">
        <v>38.0</v>
      </c>
      <c r="V255" s="1">
        <v>17.0</v>
      </c>
      <c r="W255" s="1">
        <v>17.0</v>
      </c>
      <c r="X255" s="1">
        <v>21.0</v>
      </c>
      <c r="Y255" s="1">
        <v>21.0</v>
      </c>
      <c r="Z255" s="1" t="s">
        <v>53</v>
      </c>
      <c r="AA255" s="1">
        <v>22.0</v>
      </c>
      <c r="AB255" s="1">
        <v>9.0</v>
      </c>
      <c r="AC255" s="1">
        <v>9.0</v>
      </c>
      <c r="AD255" s="1">
        <v>13.0</v>
      </c>
      <c r="AE255" s="1">
        <v>13.0</v>
      </c>
      <c r="AF255" s="1" t="s">
        <v>54</v>
      </c>
      <c r="AG255" s="1">
        <v>19.0</v>
      </c>
      <c r="AH255" s="1">
        <v>8.0</v>
      </c>
      <c r="AI255" s="1">
        <v>8.0</v>
      </c>
      <c r="AJ255" s="1">
        <v>11.0</v>
      </c>
      <c r="AK255" s="1">
        <v>11.0</v>
      </c>
      <c r="AL255" s="1">
        <v>151.0</v>
      </c>
      <c r="AM255" s="1" t="s">
        <v>55</v>
      </c>
      <c r="AN255" s="1">
        <v>49.0</v>
      </c>
      <c r="AO255" s="1">
        <v>49.0</v>
      </c>
      <c r="AP255" s="1" t="s">
        <v>1455</v>
      </c>
      <c r="AQ255" s="3" t="str">
        <f>HYPERLINK("https://icf.clappia.com/app/GMB253374/submission/FEQ57912405/ICF247370-GMB253374-1oanofpg84b360000000/SIG-20250701_1309ghp5h.jpeg", "SIG-20250701_1309ghp5h.jpeg")</f>
        <v>SIG-20250701_1309ghp5h.jpeg</v>
      </c>
      <c r="AR255" s="1" t="s">
        <v>1456</v>
      </c>
      <c r="AS255" s="3" t="str">
        <f>HYPERLINK("https://icf.clappia.com/app/GMB253374/submission/FEQ57912405/ICF247370-GMB253374-iegpplaaj7li0000000/SIG-20250701_1310jeg9m.jpeg", "SIG-20250701_1310jeg9m.jpeg")</f>
        <v>SIG-20250701_1310jeg9m.jpeg</v>
      </c>
      <c r="AT255" s="1" t="s">
        <v>1457</v>
      </c>
      <c r="AU255" s="3" t="str">
        <f>HYPERLINK("https://icf.clappia.com/app/GMB253374/submission/FEQ57912405/ICF247370-GMB253374-4hm2h502170i00000000/SIG-20250701_131216i1ah.jpeg", "SIG-20250701_131216i1ah.jpeg")</f>
        <v>SIG-20250701_131216i1ah.jpeg</v>
      </c>
      <c r="AV255" s="3" t="str">
        <f>HYPERLINK("https://www.google.com/maps/place/8.9503431%2C-11.9821972", "8.9503431,-11.9821972")</f>
        <v>8.9503431,-11.9821972</v>
      </c>
    </row>
    <row r="256" ht="15.75" customHeight="1">
      <c r="A256" s="1" t="s">
        <v>1458</v>
      </c>
      <c r="B256" s="1" t="s">
        <v>302</v>
      </c>
      <c r="C256" s="1" t="s">
        <v>1453</v>
      </c>
      <c r="D256" s="1" t="s">
        <v>1453</v>
      </c>
      <c r="E256" s="1" t="s">
        <v>1459</v>
      </c>
      <c r="F256" s="1" t="s">
        <v>64</v>
      </c>
      <c r="G256" s="1">
        <v>300.0</v>
      </c>
      <c r="H256" s="1" t="s">
        <v>50</v>
      </c>
      <c r="I256" s="1">
        <v>59.0</v>
      </c>
      <c r="J256" s="1">
        <v>32.0</v>
      </c>
      <c r="K256" s="1">
        <v>27.0</v>
      </c>
      <c r="L256" s="1">
        <v>27.0</v>
      </c>
      <c r="M256" s="1">
        <v>22.0</v>
      </c>
      <c r="N256" s="1" t="s">
        <v>51</v>
      </c>
      <c r="O256" s="1">
        <v>46.0</v>
      </c>
      <c r="P256" s="1">
        <v>22.0</v>
      </c>
      <c r="Q256" s="1">
        <v>19.0</v>
      </c>
      <c r="R256" s="1">
        <v>24.0</v>
      </c>
      <c r="S256" s="1">
        <v>22.0</v>
      </c>
      <c r="T256" s="1" t="s">
        <v>52</v>
      </c>
      <c r="U256" s="1">
        <v>63.0</v>
      </c>
      <c r="V256" s="1">
        <v>31.0</v>
      </c>
      <c r="W256" s="1">
        <v>23.0</v>
      </c>
      <c r="X256" s="1">
        <v>32.0</v>
      </c>
      <c r="Y256" s="1">
        <v>30.0</v>
      </c>
      <c r="Z256" s="1" t="s">
        <v>53</v>
      </c>
      <c r="AA256" s="1">
        <v>66.0</v>
      </c>
      <c r="AB256" s="1">
        <v>33.0</v>
      </c>
      <c r="AC256" s="1">
        <v>26.0</v>
      </c>
      <c r="AD256" s="1">
        <v>33.0</v>
      </c>
      <c r="AE256" s="1">
        <v>27.0</v>
      </c>
      <c r="AF256" s="1" t="s">
        <v>54</v>
      </c>
      <c r="AG256" s="1">
        <v>52.0</v>
      </c>
      <c r="AH256" s="1">
        <v>32.0</v>
      </c>
      <c r="AI256" s="1">
        <v>21.0</v>
      </c>
      <c r="AJ256" s="1">
        <v>20.0</v>
      </c>
      <c r="AK256" s="1">
        <v>17.0</v>
      </c>
      <c r="AL256" s="1">
        <v>234.0</v>
      </c>
      <c r="AM256" s="1" t="s">
        <v>55</v>
      </c>
      <c r="AN256" s="1">
        <v>66.0</v>
      </c>
      <c r="AO256" s="1">
        <v>66.0</v>
      </c>
      <c r="AP256" s="1" t="s">
        <v>1460</v>
      </c>
      <c r="AQ256" s="3" t="str">
        <f>HYPERLINK("https://icf.clappia.com/app/GMB253374/submission/HYJ61251316/ICF247370-GMB253374-5360ijc5k56i00000000/SIG-20250702_1638a4pff.jpeg", "SIG-20250702_1638a4pff.jpeg")</f>
        <v>SIG-20250702_1638a4pff.jpeg</v>
      </c>
      <c r="AR256" s="1" t="s">
        <v>1461</v>
      </c>
      <c r="AS256" s="3" t="str">
        <f>HYPERLINK("https://icf.clappia.com/app/GMB253374/submission/HYJ61251316/ICF247370-GMB253374-14lb8n06k01120000000/SIG-20250702_1639oonbc.jpeg", "SIG-20250702_1639oonbc.jpeg")</f>
        <v>SIG-20250702_1639oonbc.jpeg</v>
      </c>
      <c r="AT256" s="1" t="s">
        <v>1462</v>
      </c>
      <c r="AU256" s="3" t="str">
        <f>HYPERLINK("https://icf.clappia.com/app/GMB253374/submission/HYJ61251316/ICF247370-GMB253374-34om2f74maag00000000/SIG-20250702_163910170p.jpeg", "SIG-20250702_163910170p.jpeg")</f>
        <v>SIG-20250702_163910170p.jpeg</v>
      </c>
      <c r="AV256" s="3" t="str">
        <f>HYPERLINK("https://www.google.com/maps/place/8.7791733%2C-12.043985", "8.7791733,-12.043985")</f>
        <v>8.7791733,-12.043985</v>
      </c>
    </row>
    <row r="257" ht="15.75" customHeight="1">
      <c r="A257" s="1" t="s">
        <v>1463</v>
      </c>
      <c r="B257" s="1" t="s">
        <v>60</v>
      </c>
      <c r="C257" s="1" t="s">
        <v>1464</v>
      </c>
      <c r="D257" s="1" t="s">
        <v>1464</v>
      </c>
      <c r="E257" s="1" t="s">
        <v>1465</v>
      </c>
      <c r="F257" s="1" t="s">
        <v>64</v>
      </c>
      <c r="G257" s="1">
        <v>236.0</v>
      </c>
      <c r="H257" s="1" t="s">
        <v>50</v>
      </c>
      <c r="I257" s="1">
        <v>79.0</v>
      </c>
      <c r="J257" s="1">
        <v>39.0</v>
      </c>
      <c r="K257" s="1">
        <v>23.0</v>
      </c>
      <c r="L257" s="1">
        <v>40.0</v>
      </c>
      <c r="M257" s="1">
        <v>24.0</v>
      </c>
      <c r="N257" s="1" t="s">
        <v>51</v>
      </c>
      <c r="O257" s="1">
        <v>76.0</v>
      </c>
      <c r="P257" s="1">
        <v>40.0</v>
      </c>
      <c r="Q257" s="1">
        <v>22.0</v>
      </c>
      <c r="R257" s="1">
        <v>36.0</v>
      </c>
      <c r="S257" s="1">
        <v>22.0</v>
      </c>
      <c r="T257" s="1" t="s">
        <v>52</v>
      </c>
      <c r="U257" s="1">
        <v>66.0</v>
      </c>
      <c r="V257" s="1">
        <v>32.0</v>
      </c>
      <c r="W257" s="1">
        <v>15.0</v>
      </c>
      <c r="X257" s="1">
        <v>34.0</v>
      </c>
      <c r="Y257" s="1">
        <v>11.0</v>
      </c>
      <c r="Z257" s="1" t="s">
        <v>53</v>
      </c>
      <c r="AA257" s="1">
        <v>58.0</v>
      </c>
      <c r="AB257" s="1">
        <v>30.0</v>
      </c>
      <c r="AC257" s="1">
        <v>21.0</v>
      </c>
      <c r="AD257" s="1">
        <v>28.0</v>
      </c>
      <c r="AE257" s="1">
        <v>24.0</v>
      </c>
      <c r="AF257" s="1" t="s">
        <v>54</v>
      </c>
      <c r="AG257" s="1">
        <v>78.0</v>
      </c>
      <c r="AH257" s="1">
        <v>36.0</v>
      </c>
      <c r="AI257" s="1">
        <v>28.0</v>
      </c>
      <c r="AJ257" s="1">
        <v>42.0</v>
      </c>
      <c r="AK257" s="1">
        <v>21.0</v>
      </c>
      <c r="AL257" s="1">
        <v>211.0</v>
      </c>
      <c r="AM257" s="1" t="s">
        <v>55</v>
      </c>
      <c r="AN257" s="1">
        <v>25.0</v>
      </c>
      <c r="AO257" s="1">
        <v>25.0</v>
      </c>
      <c r="AP257" s="1" t="s">
        <v>430</v>
      </c>
      <c r="AQ257" s="3" t="str">
        <f>HYPERLINK("https://icf.clappia.com/app/GMB253374/submission/OZW35071486/ICF247370-GMB253374-18i8l55f3im3a0000000/SIG-20250702_16469g4f0.jpeg", "SIG-20250702_16469g4f0.jpeg")</f>
        <v>SIG-20250702_16469g4f0.jpeg</v>
      </c>
      <c r="AR257" s="1" t="s">
        <v>431</v>
      </c>
      <c r="AS257" s="3" t="str">
        <f>HYPERLINK("https://icf.clappia.com/app/GMB253374/submission/OZW35071486/ICF247370-GMB253374-12fe417ip1dgk0000000/SIG-20250702_16516d8ma.jpeg", "SIG-20250702_16516d8ma.jpeg")</f>
        <v>SIG-20250702_16516d8ma.jpeg</v>
      </c>
      <c r="AT257" s="1" t="s">
        <v>432</v>
      </c>
      <c r="AU257" s="3" t="str">
        <f>HYPERLINK("https://icf.clappia.com/app/GMB253374/submission/OZW35071486/ICF247370-GMB253374-4kgjnfdkm0f800000000/SIG-20250702_16503fei1.jpeg", "SIG-20250702_16503fei1.jpeg")</f>
        <v>SIG-20250702_16503fei1.jpeg</v>
      </c>
      <c r="AV257" s="3" t="str">
        <f>HYPERLINK("https://www.google.com/maps/place/9.2685599%2C-11.9738012", "9.2685599,-11.9738012")</f>
        <v>9.2685599,-11.9738012</v>
      </c>
    </row>
    <row r="258" ht="15.75" customHeight="1">
      <c r="A258" s="1" t="s">
        <v>1466</v>
      </c>
      <c r="B258" s="1" t="s">
        <v>81</v>
      </c>
      <c r="C258" s="1" t="s">
        <v>1467</v>
      </c>
      <c r="D258" s="1" t="s">
        <v>1467</v>
      </c>
      <c r="E258" s="1" t="s">
        <v>1468</v>
      </c>
      <c r="F258" s="1" t="s">
        <v>64</v>
      </c>
      <c r="G258" s="1">
        <v>319.0</v>
      </c>
      <c r="H258" s="1" t="s">
        <v>50</v>
      </c>
      <c r="I258" s="1">
        <v>63.0</v>
      </c>
      <c r="J258" s="1">
        <v>29.0</v>
      </c>
      <c r="K258" s="1">
        <v>29.0</v>
      </c>
      <c r="L258" s="1">
        <v>34.0</v>
      </c>
      <c r="M258" s="1">
        <v>34.0</v>
      </c>
      <c r="N258" s="1" t="s">
        <v>51</v>
      </c>
      <c r="O258" s="1">
        <v>70.0</v>
      </c>
      <c r="P258" s="1">
        <v>30.0</v>
      </c>
      <c r="Q258" s="1">
        <v>30.0</v>
      </c>
      <c r="R258" s="1">
        <v>40.0</v>
      </c>
      <c r="S258" s="1">
        <v>40.0</v>
      </c>
      <c r="T258" s="1" t="s">
        <v>52</v>
      </c>
      <c r="U258" s="1">
        <v>62.0</v>
      </c>
      <c r="V258" s="1">
        <v>30.0</v>
      </c>
      <c r="W258" s="1">
        <v>30.0</v>
      </c>
      <c r="X258" s="1">
        <v>32.0</v>
      </c>
      <c r="Y258" s="1">
        <v>32.0</v>
      </c>
      <c r="Z258" s="1" t="s">
        <v>53</v>
      </c>
      <c r="AA258" s="1">
        <v>75.0</v>
      </c>
      <c r="AB258" s="1">
        <v>35.0</v>
      </c>
      <c r="AC258" s="1">
        <v>35.0</v>
      </c>
      <c r="AD258" s="1">
        <v>40.0</v>
      </c>
      <c r="AE258" s="1">
        <v>40.0</v>
      </c>
      <c r="AF258" s="1" t="s">
        <v>54</v>
      </c>
      <c r="AG258" s="1">
        <v>49.0</v>
      </c>
      <c r="AH258" s="1">
        <v>26.0</v>
      </c>
      <c r="AI258" s="1">
        <v>26.0</v>
      </c>
      <c r="AJ258" s="1">
        <v>23.0</v>
      </c>
      <c r="AK258" s="1">
        <v>23.0</v>
      </c>
      <c r="AL258" s="1">
        <v>319.0</v>
      </c>
      <c r="AM258" s="1" t="s">
        <v>55</v>
      </c>
      <c r="AN258" s="1" t="s">
        <v>55</v>
      </c>
      <c r="AO258" s="1" t="s">
        <v>55</v>
      </c>
      <c r="AP258" s="1" t="s">
        <v>1469</v>
      </c>
      <c r="AQ258" s="3" t="str">
        <f>HYPERLINK("https://icf.clappia.com/app/GMB253374/submission/QUN00357729/ICF247370-GMB253374-1dhdahigp6gee0000000/SIG-20250702_1642bg5lc.jpeg", "SIG-20250702_1642bg5lc.jpeg")</f>
        <v>SIG-20250702_1642bg5lc.jpeg</v>
      </c>
      <c r="AR258" s="1" t="s">
        <v>1470</v>
      </c>
      <c r="AS258" s="3" t="str">
        <f>HYPERLINK("https://icf.clappia.com/app/GMB253374/submission/QUN00357729/ICF247370-GMB253374-139h6heg85bao0000000/SIG-20250702_1642ih922.jpeg", "SIG-20250702_1642ih922.jpeg")</f>
        <v>SIG-20250702_1642ih922.jpeg</v>
      </c>
      <c r="AT258" s="1" t="s">
        <v>1471</v>
      </c>
      <c r="AU258" s="3" t="str">
        <f>HYPERLINK("https://icf.clappia.com/app/GMB253374/submission/QUN00357729/ICF247370-GMB253374-597eb1g8f78o00000000/SIG-20250702_1642fmmi8.jpeg", "SIG-20250702_1642fmmi8.jpeg")</f>
        <v>SIG-20250702_1642fmmi8.jpeg</v>
      </c>
      <c r="AV258" s="3" t="str">
        <f>HYPERLINK("https://www.google.com/maps/place/7.9672967%2C-11.7690267", "7.9672967,-11.7690267")</f>
        <v>7.9672967,-11.7690267</v>
      </c>
    </row>
    <row r="259" ht="15.75" customHeight="1">
      <c r="A259" s="1" t="s">
        <v>1472</v>
      </c>
      <c r="B259" s="1" t="s">
        <v>167</v>
      </c>
      <c r="C259" s="1" t="s">
        <v>1473</v>
      </c>
      <c r="D259" s="1" t="s">
        <v>1473</v>
      </c>
      <c r="E259" s="1" t="s">
        <v>1474</v>
      </c>
      <c r="F259" s="1" t="s">
        <v>64</v>
      </c>
      <c r="G259" s="1">
        <v>67.0</v>
      </c>
      <c r="H259" s="1" t="s">
        <v>50</v>
      </c>
      <c r="I259" s="1">
        <v>65.0</v>
      </c>
      <c r="J259" s="1">
        <v>31.0</v>
      </c>
      <c r="K259" s="1">
        <v>19.0</v>
      </c>
      <c r="L259" s="1">
        <v>34.0</v>
      </c>
      <c r="M259" s="1">
        <v>14.0</v>
      </c>
      <c r="N259" s="1" t="s">
        <v>51</v>
      </c>
      <c r="O259" s="1">
        <v>9.0</v>
      </c>
      <c r="P259" s="1">
        <v>5.0</v>
      </c>
      <c r="Q259" s="1">
        <v>5.0</v>
      </c>
      <c r="R259" s="1">
        <v>4.0</v>
      </c>
      <c r="S259" s="1">
        <v>4.0</v>
      </c>
      <c r="T259" s="1" t="s">
        <v>52</v>
      </c>
      <c r="U259" s="1">
        <v>10.0</v>
      </c>
      <c r="V259" s="1">
        <v>6.0</v>
      </c>
      <c r="W259" s="1">
        <v>6.0</v>
      </c>
      <c r="X259" s="1">
        <v>4.0</v>
      </c>
      <c r="Y259" s="1">
        <v>4.0</v>
      </c>
      <c r="Z259" s="1" t="s">
        <v>53</v>
      </c>
      <c r="AA259" s="1">
        <v>6.0</v>
      </c>
      <c r="AB259" s="1">
        <v>4.0</v>
      </c>
      <c r="AC259" s="1">
        <v>4.0</v>
      </c>
      <c r="AD259" s="1">
        <v>2.0</v>
      </c>
      <c r="AE259" s="1">
        <v>2.0</v>
      </c>
      <c r="AF259" s="1" t="s">
        <v>54</v>
      </c>
      <c r="AG259" s="1">
        <v>9.0</v>
      </c>
      <c r="AH259" s="1">
        <v>5.0</v>
      </c>
      <c r="AI259" s="1">
        <v>5.0</v>
      </c>
      <c r="AJ259" s="1">
        <v>4.0</v>
      </c>
      <c r="AK259" s="1">
        <v>4.0</v>
      </c>
      <c r="AL259" s="1">
        <v>67.0</v>
      </c>
      <c r="AM259" s="1" t="s">
        <v>55</v>
      </c>
      <c r="AN259" s="1" t="s">
        <v>55</v>
      </c>
      <c r="AO259" s="1" t="s">
        <v>55</v>
      </c>
      <c r="AP259" s="1" t="s">
        <v>1475</v>
      </c>
      <c r="AQ259" s="3" t="str">
        <f>HYPERLINK("https://icf.clappia.com/app/GMB253374/submission/RGY91818143/ICF247370-GMB253374-1bi26jflk6pn60000000/SIG-20250702_1636694l2.jpeg", "SIG-20250702_1636694l2.jpeg")</f>
        <v>SIG-20250702_1636694l2.jpeg</v>
      </c>
      <c r="AR259" s="1" t="s">
        <v>1476</v>
      </c>
      <c r="AS259" s="3" t="str">
        <f>HYPERLINK("https://icf.clappia.com/app/GMB253374/submission/RGY91818143/ICF247370-GMB253374-1o63f99fj44h60000000/SIG-20250702_1636o7kh4.jpeg", "SIG-20250702_1636o7kh4.jpeg")</f>
        <v>SIG-20250702_1636o7kh4.jpeg</v>
      </c>
      <c r="AT259" s="1" t="s">
        <v>1477</v>
      </c>
      <c r="AU259" s="3" t="str">
        <f>HYPERLINK("https://icf.clappia.com/app/GMB253374/submission/RGY91818143/ICF247370-GMB253374-22a3pjdcpk95a0000000/SIG-20250702_1640p9i00.jpeg", "SIG-20250702_1640p9i00.jpeg")</f>
        <v>SIG-20250702_1640p9i00.jpeg</v>
      </c>
      <c r="AV259" s="3" t="str">
        <f>HYPERLINK("https://www.google.com/maps/place/7.8790027%2C-11.781046", "7.8790027,-11.781046")</f>
        <v>7.8790027,-11.781046</v>
      </c>
    </row>
    <row r="260" ht="15.75" customHeight="1">
      <c r="A260" s="1" t="s">
        <v>1478</v>
      </c>
      <c r="B260" s="1" t="s">
        <v>167</v>
      </c>
      <c r="C260" s="1" t="s">
        <v>1479</v>
      </c>
      <c r="D260" s="1" t="s">
        <v>1479</v>
      </c>
      <c r="E260" s="1" t="s">
        <v>1480</v>
      </c>
      <c r="F260" s="1" t="s">
        <v>64</v>
      </c>
      <c r="G260" s="1">
        <v>189.0</v>
      </c>
      <c r="H260" s="1" t="s">
        <v>50</v>
      </c>
      <c r="I260" s="1">
        <v>50.0</v>
      </c>
      <c r="J260" s="1">
        <v>20.0</v>
      </c>
      <c r="K260" s="1">
        <v>20.0</v>
      </c>
      <c r="L260" s="1">
        <v>30.0</v>
      </c>
      <c r="M260" s="1">
        <v>30.0</v>
      </c>
      <c r="N260" s="1" t="s">
        <v>51</v>
      </c>
      <c r="O260" s="1">
        <v>35.0</v>
      </c>
      <c r="P260" s="1">
        <v>20.0</v>
      </c>
      <c r="Q260" s="1">
        <v>20.0</v>
      </c>
      <c r="R260" s="1">
        <v>15.0</v>
      </c>
      <c r="S260" s="1">
        <v>15.0</v>
      </c>
      <c r="T260" s="1" t="s">
        <v>52</v>
      </c>
      <c r="U260" s="1">
        <v>30.0</v>
      </c>
      <c r="V260" s="1">
        <v>18.0</v>
      </c>
      <c r="W260" s="1">
        <v>18.0</v>
      </c>
      <c r="X260" s="1">
        <v>12.0</v>
      </c>
      <c r="Y260" s="1">
        <v>12.0</v>
      </c>
      <c r="Z260" s="1" t="s">
        <v>53</v>
      </c>
      <c r="AA260" s="1">
        <v>37.0</v>
      </c>
      <c r="AB260" s="1">
        <v>20.0</v>
      </c>
      <c r="AC260" s="1">
        <v>20.0</v>
      </c>
      <c r="AD260" s="1">
        <v>17.0</v>
      </c>
      <c r="AE260" s="1">
        <v>15.0</v>
      </c>
      <c r="AF260" s="1" t="s">
        <v>54</v>
      </c>
      <c r="AG260" s="1">
        <v>37.0</v>
      </c>
      <c r="AH260" s="1">
        <v>15.0</v>
      </c>
      <c r="AI260" s="1">
        <v>13.0</v>
      </c>
      <c r="AJ260" s="1">
        <v>22.0</v>
      </c>
      <c r="AK260" s="1">
        <v>21.0</v>
      </c>
      <c r="AL260" s="1">
        <v>184.0</v>
      </c>
      <c r="AM260" s="1">
        <v>5.0</v>
      </c>
      <c r="AN260" s="1" t="s">
        <v>55</v>
      </c>
      <c r="AO260" s="1" t="s">
        <v>55</v>
      </c>
      <c r="AP260" s="1" t="s">
        <v>1481</v>
      </c>
      <c r="AQ260" s="3" t="str">
        <f>HYPERLINK("https://icf.clappia.com/app/GMB253374/submission/OHZ71672941/ICF247370-GMB253374-20633hfn56d0c0000000/SIG-20250702_14551149c3.jpeg", "SIG-20250702_14551149c3.jpeg")</f>
        <v>SIG-20250702_14551149c3.jpeg</v>
      </c>
      <c r="AR260" s="1" t="s">
        <v>657</v>
      </c>
      <c r="AS260" s="3" t="str">
        <f>HYPERLINK("https://icf.clappia.com/app/GMB253374/submission/OHZ71672941/ICF247370-GMB253374-5b4k376de6ac00000000/SIG-20250702_1455mnde7.jpeg", "SIG-20250702_1455mnde7.jpeg")</f>
        <v>SIG-20250702_1455mnde7.jpeg</v>
      </c>
      <c r="AT260" s="1" t="s">
        <v>659</v>
      </c>
      <c r="AU260" s="3" t="str">
        <f>HYPERLINK("https://icf.clappia.com/app/GMB253374/submission/OHZ71672941/ICF247370-GMB253374-65nk2cj1mab200000000/SIG-20250702_151649fho.jpeg", "SIG-20250702_151649fho.jpeg")</f>
        <v>SIG-20250702_151649fho.jpeg</v>
      </c>
      <c r="AV260" s="3" t="str">
        <f>HYPERLINK("https://www.google.com/maps/place/7.8779997%2C-11.7811201", "7.8779997,-11.7811201")</f>
        <v>7.8779997,-11.7811201</v>
      </c>
    </row>
    <row r="261" ht="15.75" customHeight="1">
      <c r="A261" s="1" t="s">
        <v>1482</v>
      </c>
      <c r="B261" s="1" t="s">
        <v>60</v>
      </c>
      <c r="C261" s="1" t="s">
        <v>1483</v>
      </c>
      <c r="D261" s="1" t="s">
        <v>1483</v>
      </c>
      <c r="E261" s="1" t="s">
        <v>1484</v>
      </c>
      <c r="F261" s="1" t="s">
        <v>64</v>
      </c>
      <c r="G261" s="1">
        <v>300.0</v>
      </c>
      <c r="H261" s="1" t="s">
        <v>50</v>
      </c>
      <c r="I261" s="1">
        <v>62.0</v>
      </c>
      <c r="J261" s="1">
        <v>22.0</v>
      </c>
      <c r="K261" s="1">
        <v>21.0</v>
      </c>
      <c r="L261" s="1">
        <v>40.0</v>
      </c>
      <c r="M261" s="1">
        <v>38.0</v>
      </c>
      <c r="N261" s="1" t="s">
        <v>51</v>
      </c>
      <c r="O261" s="1">
        <v>52.0</v>
      </c>
      <c r="P261" s="1">
        <v>23.0</v>
      </c>
      <c r="Q261" s="1">
        <v>22.0</v>
      </c>
      <c r="R261" s="1">
        <v>29.0</v>
      </c>
      <c r="S261" s="1">
        <v>29.0</v>
      </c>
      <c r="T261" s="1" t="s">
        <v>52</v>
      </c>
      <c r="U261" s="1">
        <v>55.0</v>
      </c>
      <c r="V261" s="1">
        <v>25.0</v>
      </c>
      <c r="W261" s="1">
        <v>24.0</v>
      </c>
      <c r="X261" s="1">
        <v>30.0</v>
      </c>
      <c r="Y261" s="1">
        <v>30.0</v>
      </c>
      <c r="Z261" s="1" t="s">
        <v>53</v>
      </c>
      <c r="AA261" s="1">
        <v>53.0</v>
      </c>
      <c r="AB261" s="1">
        <v>20.0</v>
      </c>
      <c r="AC261" s="1">
        <v>19.0</v>
      </c>
      <c r="AD261" s="1">
        <v>33.0</v>
      </c>
      <c r="AE261" s="1">
        <v>32.0</v>
      </c>
      <c r="AF261" s="1" t="s">
        <v>54</v>
      </c>
      <c r="AG261" s="1">
        <v>45.0</v>
      </c>
      <c r="AH261" s="1">
        <v>20.0</v>
      </c>
      <c r="AI261" s="1">
        <v>19.0</v>
      </c>
      <c r="AJ261" s="1">
        <v>25.0</v>
      </c>
      <c r="AK261" s="1">
        <v>25.0</v>
      </c>
      <c r="AL261" s="1">
        <v>259.0</v>
      </c>
      <c r="AM261" s="1" t="s">
        <v>523</v>
      </c>
      <c r="AN261" s="1">
        <v>41.0</v>
      </c>
      <c r="AO261" s="1">
        <v>41.0</v>
      </c>
      <c r="AP261" s="1" t="s">
        <v>480</v>
      </c>
      <c r="AQ261" s="3" t="str">
        <f>HYPERLINK("https://icf.clappia.com/app/GMB253374/submission/DAQ22431115/ICF247370-GMB253374-5o3cobd8jeao00000000/SIG-20250702_1610163b45.jpeg", "SIG-20250702_1610163b45.jpeg")</f>
        <v>SIG-20250702_1610163b45.jpeg</v>
      </c>
      <c r="AR261" s="1" t="s">
        <v>481</v>
      </c>
      <c r="AS261" s="3" t="str">
        <f>HYPERLINK("https://icf.clappia.com/app/GMB253374/submission/DAQ22431115/ICF247370-GMB253374-2cca476g0m3c00000000/SIG-20250702_161019canj.jpeg", "SIG-20250702_161019canj.jpeg")</f>
        <v>SIG-20250702_161019canj.jpeg</v>
      </c>
      <c r="AT261" s="1" t="s">
        <v>482</v>
      </c>
      <c r="AU261" s="3" t="str">
        <f>HYPERLINK("https://icf.clappia.com/app/GMB253374/submission/DAQ22431115/ICF247370-GMB253374-3k0m9lbj0dlo00000000/SIG-20250702_16101883p3.jpeg", "SIG-20250702_16101883p3.jpeg")</f>
        <v>SIG-20250702_16101883p3.jpeg</v>
      </c>
      <c r="AV261" s="3" t="str">
        <f>HYPERLINK("https://www.google.com/maps/place/9.1700967%2C-12.0158217", "9.1700967,-12.0158217")</f>
        <v>9.1700967,-12.0158217</v>
      </c>
    </row>
    <row r="262" ht="15.75" customHeight="1">
      <c r="A262" s="1" t="s">
        <v>1485</v>
      </c>
      <c r="B262" s="1" t="s">
        <v>342</v>
      </c>
      <c r="C262" s="1" t="s">
        <v>1486</v>
      </c>
      <c r="D262" s="1" t="s">
        <v>1486</v>
      </c>
      <c r="E262" s="1" t="s">
        <v>1487</v>
      </c>
      <c r="F262" s="1" t="s">
        <v>64</v>
      </c>
      <c r="G262" s="1">
        <v>250.0</v>
      </c>
      <c r="H262" s="1" t="s">
        <v>50</v>
      </c>
      <c r="I262" s="1">
        <v>29.0</v>
      </c>
      <c r="J262" s="1">
        <v>14.0</v>
      </c>
      <c r="K262" s="1">
        <v>12.0</v>
      </c>
      <c r="L262" s="1">
        <v>15.0</v>
      </c>
      <c r="M262" s="1">
        <v>13.0</v>
      </c>
      <c r="N262" s="1" t="s">
        <v>51</v>
      </c>
      <c r="O262" s="1">
        <v>30.0</v>
      </c>
      <c r="P262" s="1">
        <v>13.0</v>
      </c>
      <c r="Q262" s="1">
        <v>12.0</v>
      </c>
      <c r="R262" s="1">
        <v>17.0</v>
      </c>
      <c r="S262" s="1">
        <v>15.0</v>
      </c>
      <c r="T262" s="1" t="s">
        <v>52</v>
      </c>
      <c r="U262" s="1">
        <v>40.0</v>
      </c>
      <c r="V262" s="1">
        <v>18.0</v>
      </c>
      <c r="W262" s="1">
        <v>14.0</v>
      </c>
      <c r="X262" s="1">
        <v>22.0</v>
      </c>
      <c r="Y262" s="1">
        <v>17.0</v>
      </c>
      <c r="Z262" s="1" t="s">
        <v>53</v>
      </c>
      <c r="AA262" s="1">
        <v>58.0</v>
      </c>
      <c r="AB262" s="1">
        <v>25.0</v>
      </c>
      <c r="AC262" s="1">
        <v>19.0</v>
      </c>
      <c r="AD262" s="1">
        <v>33.0</v>
      </c>
      <c r="AE262" s="1">
        <v>22.0</v>
      </c>
      <c r="AF262" s="1" t="s">
        <v>54</v>
      </c>
      <c r="AG262" s="1">
        <v>64.0</v>
      </c>
      <c r="AH262" s="1">
        <v>31.0</v>
      </c>
      <c r="AI262" s="1">
        <v>30.0</v>
      </c>
      <c r="AJ262" s="1">
        <v>33.0</v>
      </c>
      <c r="AK262" s="1">
        <v>30.0</v>
      </c>
      <c r="AL262" s="1">
        <v>184.0</v>
      </c>
      <c r="AM262" s="1" t="s">
        <v>55</v>
      </c>
      <c r="AN262" s="1">
        <v>66.0</v>
      </c>
      <c r="AO262" s="1">
        <v>66.0</v>
      </c>
      <c r="AP262" s="1" t="s">
        <v>1469</v>
      </c>
      <c r="AQ262" s="3" t="str">
        <f>HYPERLINK("https://icf.clappia.com/app/GMB253374/submission/MER13790156/ICF247370-GMB253374-461a0mocaa4a00000000/SIG-20250702_1553ghi9d.jpeg", "SIG-20250702_1553ghi9d.jpeg")</f>
        <v>SIG-20250702_1553ghi9d.jpeg</v>
      </c>
      <c r="AR262" s="1" t="s">
        <v>1488</v>
      </c>
      <c r="AS262" s="3" t="str">
        <f>HYPERLINK("https://icf.clappia.com/app/GMB253374/submission/MER13790156/ICF247370-GMB253374-9e1165lc9kog0000000/SIG-20250702_1553f3cp0.jpeg", "SIG-20250702_1553f3cp0.jpeg")</f>
        <v>SIG-20250702_1553f3cp0.jpeg</v>
      </c>
      <c r="AT262" s="1" t="s">
        <v>1489</v>
      </c>
      <c r="AU262" s="3" t="str">
        <f>HYPERLINK("https://icf.clappia.com/app/GMB253374/submission/MER13790156/ICF247370-GMB253374-2h2o9oplead200000000/SIG-20250702_1555bn5od.jpeg", "SIG-20250702_1555bn5od.jpeg")</f>
        <v>SIG-20250702_1555bn5od.jpeg</v>
      </c>
      <c r="AV262" s="3" t="str">
        <f>HYPERLINK("https://www.google.com/maps/place/9.09332%2C-12.0890183", "9.09332,-12.0890183")</f>
        <v>9.09332,-12.0890183</v>
      </c>
    </row>
    <row r="263" ht="15.75" customHeight="1">
      <c r="A263" s="1" t="s">
        <v>1490</v>
      </c>
      <c r="B263" s="1" t="s">
        <v>528</v>
      </c>
      <c r="C263" s="1" t="s">
        <v>1491</v>
      </c>
      <c r="D263" s="1" t="s">
        <v>1492</v>
      </c>
      <c r="E263" s="1" t="s">
        <v>1493</v>
      </c>
      <c r="F263" s="1" t="s">
        <v>64</v>
      </c>
      <c r="G263" s="1">
        <v>100.0</v>
      </c>
      <c r="H263" s="1" t="s">
        <v>50</v>
      </c>
      <c r="I263" s="1">
        <v>23.0</v>
      </c>
      <c r="J263" s="1">
        <v>10.0</v>
      </c>
      <c r="K263" s="1">
        <v>10.0</v>
      </c>
      <c r="L263" s="1">
        <v>13.0</v>
      </c>
      <c r="M263" s="1">
        <v>13.0</v>
      </c>
      <c r="N263" s="1" t="s">
        <v>51</v>
      </c>
      <c r="O263" s="1">
        <v>16.0</v>
      </c>
      <c r="P263" s="1">
        <v>6.0</v>
      </c>
      <c r="Q263" s="1">
        <v>6.0</v>
      </c>
      <c r="R263" s="1">
        <v>4.0</v>
      </c>
      <c r="S263" s="1">
        <v>4.0</v>
      </c>
      <c r="T263" s="1" t="s">
        <v>52</v>
      </c>
      <c r="U263" s="1">
        <v>15.0</v>
      </c>
      <c r="V263" s="1">
        <v>11.0</v>
      </c>
      <c r="W263" s="1">
        <v>11.0</v>
      </c>
      <c r="X263" s="1">
        <v>4.0</v>
      </c>
      <c r="Y263" s="1">
        <v>4.0</v>
      </c>
      <c r="Z263" s="1" t="s">
        <v>53</v>
      </c>
      <c r="AA263" s="1">
        <v>23.0</v>
      </c>
      <c r="AB263" s="1">
        <v>10.0</v>
      </c>
      <c r="AC263" s="1">
        <v>10.0</v>
      </c>
      <c r="AD263" s="1">
        <v>13.0</v>
      </c>
      <c r="AE263" s="1">
        <v>13.0</v>
      </c>
      <c r="AF263" s="1" t="s">
        <v>54</v>
      </c>
      <c r="AG263" s="1">
        <v>20.0</v>
      </c>
      <c r="AH263" s="1">
        <v>6.0</v>
      </c>
      <c r="AI263" s="1">
        <v>6.0</v>
      </c>
      <c r="AJ263" s="1">
        <v>4.0</v>
      </c>
      <c r="AK263" s="1">
        <v>4.0</v>
      </c>
      <c r="AL263" s="1">
        <v>81.0</v>
      </c>
      <c r="AM263" s="1">
        <v>5.0</v>
      </c>
      <c r="AN263" s="1">
        <v>14.0</v>
      </c>
      <c r="AO263" s="1">
        <v>14.0</v>
      </c>
      <c r="AP263" s="1" t="s">
        <v>738</v>
      </c>
      <c r="AQ263" s="3" t="str">
        <f>HYPERLINK("https://icf.clappia.com/app/GMB253374/submission/EMK71360919/ICF247370-GMB253374-4g0hhnmf306800000000/SIG-20250702_1543oc089.jpeg", "SIG-20250702_1543oc089.jpeg")</f>
        <v>SIG-20250702_1543oc089.jpeg</v>
      </c>
      <c r="AR263" s="1" t="s">
        <v>739</v>
      </c>
      <c r="AS263" s="3" t="str">
        <f>HYPERLINK("https://icf.clappia.com/app/GMB253374/submission/EMK71360919/ICF247370-GMB253374-69043m2o0mka00000000/SIG-20250702_1543i6m3e.jpeg", "SIG-20250702_1543i6m3e.jpeg")</f>
        <v>SIG-20250702_1543i6m3e.jpeg</v>
      </c>
      <c r="AT263" s="1" t="s">
        <v>740</v>
      </c>
      <c r="AU263" s="3" t="str">
        <f>HYPERLINK("https://icf.clappia.com/app/GMB253374/submission/EMK71360919/ICF247370-GMB253374-3h4h04nfldbe00000000/SIG-20250702_1544m34ml.jpeg", "SIG-20250702_1544m34ml.jpeg")</f>
        <v>SIG-20250702_1544m34ml.jpeg</v>
      </c>
      <c r="AV263" s="3" t="str">
        <f>HYPERLINK("https://www.google.com/maps/place/7.8258483%2C-11.5093067", "7.8258483,-11.5093067")</f>
        <v>7.8258483,-11.5093067</v>
      </c>
    </row>
    <row r="264" ht="15.75" customHeight="1">
      <c r="A264" s="1" t="s">
        <v>1494</v>
      </c>
      <c r="B264" s="1" t="s">
        <v>81</v>
      </c>
      <c r="C264" s="1" t="s">
        <v>1492</v>
      </c>
      <c r="D264" s="1" t="s">
        <v>1492</v>
      </c>
      <c r="E264" s="1" t="s">
        <v>1495</v>
      </c>
      <c r="F264" s="1" t="s">
        <v>64</v>
      </c>
      <c r="G264" s="1">
        <v>330.0</v>
      </c>
      <c r="H264" s="1" t="s">
        <v>50</v>
      </c>
      <c r="I264" s="1" t="s">
        <v>55</v>
      </c>
      <c r="J264" s="1" t="s">
        <v>55</v>
      </c>
      <c r="K264" s="1" t="s">
        <v>55</v>
      </c>
      <c r="L264" s="1" t="s">
        <v>55</v>
      </c>
      <c r="M264" s="1" t="s">
        <v>55</v>
      </c>
      <c r="N264" s="1" t="s">
        <v>51</v>
      </c>
      <c r="O264" s="1" t="s">
        <v>55</v>
      </c>
      <c r="P264" s="1" t="s">
        <v>55</v>
      </c>
      <c r="Q264" s="1" t="s">
        <v>55</v>
      </c>
      <c r="R264" s="1" t="s">
        <v>55</v>
      </c>
      <c r="S264" s="1" t="s">
        <v>55</v>
      </c>
      <c r="T264" s="1" t="s">
        <v>52</v>
      </c>
      <c r="U264" s="1" t="s">
        <v>55</v>
      </c>
      <c r="V264" s="1" t="s">
        <v>55</v>
      </c>
      <c r="W264" s="1" t="s">
        <v>55</v>
      </c>
      <c r="X264" s="1" t="s">
        <v>55</v>
      </c>
      <c r="Y264" s="1" t="s">
        <v>55</v>
      </c>
      <c r="Z264" s="1" t="s">
        <v>53</v>
      </c>
      <c r="AA264" s="1">
        <v>136.0</v>
      </c>
      <c r="AB264" s="1">
        <v>66.0</v>
      </c>
      <c r="AC264" s="1">
        <v>64.0</v>
      </c>
      <c r="AD264" s="1">
        <v>70.0</v>
      </c>
      <c r="AE264" s="1">
        <v>68.0</v>
      </c>
      <c r="AF264" s="1" t="s">
        <v>54</v>
      </c>
      <c r="AG264" s="1">
        <v>144.0</v>
      </c>
      <c r="AH264" s="1">
        <v>68.0</v>
      </c>
      <c r="AI264" s="1">
        <v>65.0</v>
      </c>
      <c r="AJ264" s="1">
        <v>76.0</v>
      </c>
      <c r="AK264" s="1">
        <v>73.0</v>
      </c>
      <c r="AL264" s="1">
        <v>270.0</v>
      </c>
      <c r="AM264" s="1">
        <v>10.0</v>
      </c>
      <c r="AN264" s="1">
        <v>50.0</v>
      </c>
      <c r="AO264" s="1">
        <v>50.0</v>
      </c>
      <c r="AP264" s="1" t="s">
        <v>1496</v>
      </c>
      <c r="AQ264" s="3" t="str">
        <f>HYPERLINK("https://icf.clappia.com/app/GMB253374/submission/XTY55055269/ICF247370-GMB253374-6b0fn74a23go00000000/SIG-20250702_1551926c6.jpeg", "SIG-20250702_1551926c6.jpeg")</f>
        <v>SIG-20250702_1551926c6.jpeg</v>
      </c>
      <c r="AR264" s="1" t="s">
        <v>1497</v>
      </c>
      <c r="AS264" s="3" t="str">
        <f>HYPERLINK("https://icf.clappia.com/app/GMB253374/submission/XTY55055269/ICF247370-GMB253374-3c9eaon0dhla00000000/SIG-20250702_1553pd0m.jpeg", "SIG-20250702_1553pd0m.jpeg")</f>
        <v>SIG-20250702_1553pd0m.jpeg</v>
      </c>
      <c r="AT264" s="1" t="s">
        <v>1498</v>
      </c>
      <c r="AU264" s="3" t="str">
        <f>HYPERLINK("https://icf.clappia.com/app/GMB253374/submission/XTY55055269/ICF247370-GMB253374-5481kbmejeec00000000/SIG-20250702_15541acfhe.jpeg", "SIG-20250702_15541acfhe.jpeg")</f>
        <v>SIG-20250702_15541acfhe.jpeg</v>
      </c>
      <c r="AV264" s="3" t="str">
        <f>HYPERLINK("https://www.google.com/maps/place/7.962791%2C-11.7262238", "7.962791,-11.7262238")</f>
        <v>7.962791,-11.7262238</v>
      </c>
    </row>
    <row r="265" ht="15.75" customHeight="1">
      <c r="A265" s="1" t="s">
        <v>1499</v>
      </c>
      <c r="B265" s="1" t="s">
        <v>349</v>
      </c>
      <c r="C265" s="1" t="s">
        <v>1500</v>
      </c>
      <c r="D265" s="1" t="s">
        <v>1500</v>
      </c>
      <c r="E265" s="1" t="s">
        <v>1501</v>
      </c>
      <c r="F265" s="1" t="s">
        <v>64</v>
      </c>
      <c r="G265" s="1">
        <v>112.0</v>
      </c>
      <c r="H265" s="1" t="s">
        <v>50</v>
      </c>
      <c r="I265" s="1">
        <v>49.0</v>
      </c>
      <c r="J265" s="1">
        <v>12.0</v>
      </c>
      <c r="K265" s="1">
        <v>12.0</v>
      </c>
      <c r="L265" s="1">
        <v>37.0</v>
      </c>
      <c r="M265" s="1">
        <v>37.0</v>
      </c>
      <c r="N265" s="1" t="s">
        <v>51</v>
      </c>
      <c r="O265" s="1">
        <v>25.0</v>
      </c>
      <c r="P265" s="1">
        <v>10.0</v>
      </c>
      <c r="Q265" s="1">
        <v>10.0</v>
      </c>
      <c r="R265" s="1">
        <v>15.0</v>
      </c>
      <c r="S265" s="1">
        <v>15.0</v>
      </c>
      <c r="T265" s="1" t="s">
        <v>52</v>
      </c>
      <c r="U265" s="1">
        <v>26.0</v>
      </c>
      <c r="V265" s="1">
        <v>11.0</v>
      </c>
      <c r="W265" s="1">
        <v>11.0</v>
      </c>
      <c r="X265" s="1">
        <v>15.0</v>
      </c>
      <c r="Y265" s="1">
        <v>15.0</v>
      </c>
      <c r="Z265" s="1" t="s">
        <v>53</v>
      </c>
      <c r="AA265" s="1">
        <v>7.0</v>
      </c>
      <c r="AB265" s="1">
        <v>5.0</v>
      </c>
      <c r="AC265" s="1">
        <v>5.0</v>
      </c>
      <c r="AD265" s="1">
        <v>2.0</v>
      </c>
      <c r="AE265" s="1">
        <v>2.0</v>
      </c>
      <c r="AF265" s="1" t="s">
        <v>54</v>
      </c>
      <c r="AG265" s="1">
        <v>5.0</v>
      </c>
      <c r="AH265" s="1">
        <v>4.0</v>
      </c>
      <c r="AI265" s="1">
        <v>4.0</v>
      </c>
      <c r="AJ265" s="1">
        <v>1.0</v>
      </c>
      <c r="AK265" s="1">
        <v>1.0</v>
      </c>
      <c r="AL265" s="1">
        <v>112.0</v>
      </c>
      <c r="AM265" s="1" t="s">
        <v>55</v>
      </c>
      <c r="AN265" s="1" t="s">
        <v>55</v>
      </c>
      <c r="AO265" s="1" t="s">
        <v>55</v>
      </c>
      <c r="AP265" s="1" t="s">
        <v>424</v>
      </c>
      <c r="AQ265" s="3" t="str">
        <f>HYPERLINK("https://icf.clappia.com/app/GMB253374/submission/OSJ31661691/ICF247370-GMB253374-31im8o6dichk00000000/SIG-20250702_15521958mf.jpeg", "SIG-20250702_15521958mf.jpeg")</f>
        <v>SIG-20250702_15521958mf.jpeg</v>
      </c>
      <c r="AR265" s="1" t="s">
        <v>425</v>
      </c>
      <c r="AS265" s="3" t="str">
        <f>HYPERLINK("https://icf.clappia.com/app/GMB253374/submission/OSJ31661691/ICF247370-GMB253374-21klbgn3k78oo0000000/SIG-20250702_1553ak8jd.jpeg", "SIG-20250702_1553ak8jd.jpeg")</f>
        <v>SIG-20250702_1553ak8jd.jpeg</v>
      </c>
      <c r="AT265" s="1" t="s">
        <v>426</v>
      </c>
      <c r="AU265" s="3" t="str">
        <f>HYPERLINK("https://icf.clappia.com/app/GMB253374/submission/OSJ31661691/ICF247370-GMB253374-323emhn95i9800000000/SIG-20250702_15541ahg6k.jpeg", "SIG-20250702_15541ahg6k.jpeg")</f>
        <v>SIG-20250702_15541ahg6k.jpeg</v>
      </c>
      <c r="AV265" s="3" t="str">
        <f>HYPERLINK("https://www.google.com/maps/place/9.0263417%2C-11.98815", "9.0263417,-11.98815")</f>
        <v>9.0263417,-11.98815</v>
      </c>
    </row>
    <row r="266" ht="15.75" customHeight="1">
      <c r="A266" s="1" t="s">
        <v>1502</v>
      </c>
      <c r="B266" s="1" t="s">
        <v>81</v>
      </c>
      <c r="C266" s="1" t="s">
        <v>1503</v>
      </c>
      <c r="D266" s="1" t="s">
        <v>1503</v>
      </c>
      <c r="E266" s="1" t="s">
        <v>1504</v>
      </c>
      <c r="F266" s="1" t="s">
        <v>49</v>
      </c>
      <c r="G266" s="1">
        <v>100.0</v>
      </c>
      <c r="H266" s="1" t="s">
        <v>50</v>
      </c>
      <c r="I266" s="1">
        <v>11.0</v>
      </c>
      <c r="J266" s="1">
        <v>6.0</v>
      </c>
      <c r="K266" s="1">
        <v>4.0</v>
      </c>
      <c r="L266" s="1">
        <v>5.0</v>
      </c>
      <c r="M266" s="1">
        <v>5.0</v>
      </c>
      <c r="N266" s="1" t="s">
        <v>51</v>
      </c>
      <c r="O266" s="1">
        <v>6.0</v>
      </c>
      <c r="P266" s="1">
        <v>4.0</v>
      </c>
      <c r="Q266" s="1">
        <v>1.0</v>
      </c>
      <c r="R266" s="1">
        <v>2.0</v>
      </c>
      <c r="S266" s="1">
        <v>2.0</v>
      </c>
      <c r="T266" s="1" t="s">
        <v>52</v>
      </c>
      <c r="U266" s="1">
        <v>7.0</v>
      </c>
      <c r="V266" s="1" t="s">
        <v>55</v>
      </c>
      <c r="W266" s="1" t="s">
        <v>55</v>
      </c>
      <c r="X266" s="1">
        <v>7.0</v>
      </c>
      <c r="Y266" s="1">
        <v>7.0</v>
      </c>
      <c r="Z266" s="1" t="s">
        <v>53</v>
      </c>
      <c r="AA266" s="1">
        <v>5.0</v>
      </c>
      <c r="AB266" s="1">
        <v>2.0</v>
      </c>
      <c r="AC266" s="1">
        <v>1.0</v>
      </c>
      <c r="AD266" s="1">
        <v>3.0</v>
      </c>
      <c r="AE266" s="1">
        <v>3.0</v>
      </c>
      <c r="AF266" s="1" t="s">
        <v>54</v>
      </c>
      <c r="AG266" s="1">
        <v>8.0</v>
      </c>
      <c r="AH266" s="1">
        <v>3.0</v>
      </c>
      <c r="AI266" s="1">
        <v>2.0</v>
      </c>
      <c r="AJ266" s="1">
        <v>5.0</v>
      </c>
      <c r="AK266" s="1">
        <v>2.0</v>
      </c>
      <c r="AL266" s="1">
        <v>27.0</v>
      </c>
      <c r="AM266" s="1">
        <v>10.0</v>
      </c>
      <c r="AN266" s="1">
        <v>63.0</v>
      </c>
      <c r="AO266" s="1">
        <v>63.0</v>
      </c>
      <c r="AP266" s="1" t="s">
        <v>1505</v>
      </c>
      <c r="AQ266" s="3" t="str">
        <f>HYPERLINK("https://icf.clappia.com/app/GMB253374/submission/BLQ64279829/ICF247370-GMB253374-36fn4gnn74je00000000/SIG-20250701_10448eb88.jpeg", "SIG-20250701_10448eb88.jpeg")</f>
        <v>SIG-20250701_10448eb88.jpeg</v>
      </c>
      <c r="AR266" s="1" t="s">
        <v>1506</v>
      </c>
      <c r="AS266" s="3" t="str">
        <f>HYPERLINK("https://icf.clappia.com/app/GMB253374/submission/BLQ64279829/ICF247370-GMB253374-5dj930eafck800000000/SIG-20250701_1045ka16p.jpeg", "SIG-20250701_1045ka16p.jpeg")</f>
        <v>SIG-20250701_1045ka16p.jpeg</v>
      </c>
      <c r="AT266" s="1" t="s">
        <v>1507</v>
      </c>
      <c r="AU266" s="3" t="str">
        <f>HYPERLINK("https://icf.clappia.com/app/GMB253374/submission/BLQ64279829/ICF247370-GMB253374-5f387mfkl2ce00000000/SIG-20250702_0857175037.jpeg", "SIG-20250702_0857175037.jpeg")</f>
        <v>SIG-20250702_0857175037.jpeg</v>
      </c>
      <c r="AV266" s="3" t="str">
        <f>HYPERLINK("https://www.google.com/maps/place/7.9489056%2C-11.7557673", "7.9489056,-11.7557673")</f>
        <v>7.9489056,-11.7557673</v>
      </c>
    </row>
    <row r="267" ht="15.75" customHeight="1">
      <c r="A267" s="1" t="s">
        <v>1508</v>
      </c>
      <c r="B267" s="1" t="s">
        <v>155</v>
      </c>
      <c r="C267" s="1" t="s">
        <v>1509</v>
      </c>
      <c r="D267" s="1" t="s">
        <v>1509</v>
      </c>
      <c r="E267" s="1" t="s">
        <v>1510</v>
      </c>
      <c r="F267" s="1" t="s">
        <v>64</v>
      </c>
      <c r="G267" s="1">
        <v>29.0</v>
      </c>
      <c r="H267" s="1" t="s">
        <v>50</v>
      </c>
      <c r="I267" s="1">
        <v>13.0</v>
      </c>
      <c r="J267" s="1">
        <v>7.0</v>
      </c>
      <c r="K267" s="1">
        <v>7.0</v>
      </c>
      <c r="L267" s="1">
        <v>6.0</v>
      </c>
      <c r="M267" s="1">
        <v>6.0</v>
      </c>
      <c r="N267" s="1" t="s">
        <v>51</v>
      </c>
      <c r="O267" s="1">
        <v>3.0</v>
      </c>
      <c r="P267" s="1">
        <v>2.0</v>
      </c>
      <c r="Q267" s="1">
        <v>2.0</v>
      </c>
      <c r="R267" s="1">
        <v>1.0</v>
      </c>
      <c r="S267" s="1">
        <v>1.0</v>
      </c>
      <c r="T267" s="1" t="s">
        <v>52</v>
      </c>
      <c r="U267" s="1">
        <v>7.0</v>
      </c>
      <c r="V267" s="1">
        <v>3.0</v>
      </c>
      <c r="W267" s="1">
        <v>3.0</v>
      </c>
      <c r="X267" s="1">
        <v>4.0</v>
      </c>
      <c r="Y267" s="1">
        <v>4.0</v>
      </c>
      <c r="Z267" s="1" t="s">
        <v>53</v>
      </c>
      <c r="AA267" s="1">
        <v>3.0</v>
      </c>
      <c r="AB267" s="1" t="s">
        <v>55</v>
      </c>
      <c r="AC267" s="1" t="s">
        <v>55</v>
      </c>
      <c r="AD267" s="1">
        <v>3.0</v>
      </c>
      <c r="AE267" s="1">
        <v>3.0</v>
      </c>
      <c r="AF267" s="1" t="s">
        <v>54</v>
      </c>
      <c r="AG267" s="1">
        <v>3.0</v>
      </c>
      <c r="AH267" s="1">
        <v>3.0</v>
      </c>
      <c r="AI267" s="1">
        <v>3.0</v>
      </c>
      <c r="AJ267" s="1" t="s">
        <v>55</v>
      </c>
      <c r="AK267" s="1" t="s">
        <v>55</v>
      </c>
      <c r="AL267" s="1">
        <v>29.0</v>
      </c>
      <c r="AM267" s="1" t="s">
        <v>55</v>
      </c>
      <c r="AN267" s="1" t="s">
        <v>55</v>
      </c>
      <c r="AO267" s="1" t="s">
        <v>55</v>
      </c>
      <c r="AP267" s="1" t="s">
        <v>1511</v>
      </c>
      <c r="AQ267" s="3" t="str">
        <f>HYPERLINK("https://icf.clappia.com/app/GMB253374/submission/GMX81717446/ICF247370-GMB253374-1c43gg655n13m0000000/SIG-20250702_154818op6.jpeg", "SIG-20250702_154818op6.jpeg")</f>
        <v>SIG-20250702_154818op6.jpeg</v>
      </c>
      <c r="AR267" s="1" t="s">
        <v>1512</v>
      </c>
      <c r="AS267" s="3" t="str">
        <f>HYPERLINK("https://icf.clappia.com/app/GMB253374/submission/GMX81717446/ICF247370-GMB253374-639ebmpmj9k000000000/SIG-20250702_1550bkdlb.jpeg", "SIG-20250702_1550bkdlb.jpeg")</f>
        <v>SIG-20250702_1550bkdlb.jpeg</v>
      </c>
      <c r="AT267" s="1" t="s">
        <v>1513</v>
      </c>
      <c r="AU267" s="3" t="str">
        <f>HYPERLINK("https://icf.clappia.com/app/GMB253374/submission/GMX81717446/ICF247370-GMB253374-db1cii3hemko0000000/SIG-20250702_1551163960.jpeg", "SIG-20250702_1551163960.jpeg")</f>
        <v>SIG-20250702_1551163960.jpeg</v>
      </c>
      <c r="AV267" s="3" t="str">
        <f>HYPERLINK("https://www.google.com/maps/place/8.7352578%2C-11.9521033", "8.7352578,-11.9521033")</f>
        <v>8.7352578,-11.9521033</v>
      </c>
    </row>
    <row r="268" ht="15.75" customHeight="1">
      <c r="A268" s="1" t="s">
        <v>1514</v>
      </c>
      <c r="B268" s="1" t="s">
        <v>81</v>
      </c>
      <c r="C268" s="1" t="s">
        <v>1515</v>
      </c>
      <c r="D268" s="1" t="s">
        <v>1515</v>
      </c>
      <c r="E268" s="1" t="s">
        <v>1516</v>
      </c>
      <c r="F268" s="1" t="s">
        <v>64</v>
      </c>
      <c r="G268" s="1">
        <v>153.0</v>
      </c>
      <c r="H268" s="1" t="s">
        <v>50</v>
      </c>
      <c r="I268" s="1">
        <v>28.0</v>
      </c>
      <c r="J268" s="1">
        <v>17.0</v>
      </c>
      <c r="K268" s="1">
        <v>17.0</v>
      </c>
      <c r="L268" s="1">
        <v>11.0</v>
      </c>
      <c r="M268" s="1">
        <v>11.0</v>
      </c>
      <c r="N268" s="1" t="s">
        <v>51</v>
      </c>
      <c r="O268" s="1">
        <v>26.0</v>
      </c>
      <c r="P268" s="1">
        <v>14.0</v>
      </c>
      <c r="Q268" s="1">
        <v>14.0</v>
      </c>
      <c r="R268" s="1">
        <v>12.0</v>
      </c>
      <c r="S268" s="1">
        <v>12.0</v>
      </c>
      <c r="T268" s="1" t="s">
        <v>52</v>
      </c>
      <c r="U268" s="1">
        <v>24.0</v>
      </c>
      <c r="V268" s="1">
        <v>14.0</v>
      </c>
      <c r="W268" s="1">
        <v>14.0</v>
      </c>
      <c r="X268" s="1">
        <v>10.0</v>
      </c>
      <c r="Y268" s="1">
        <v>10.0</v>
      </c>
      <c r="Z268" s="1" t="s">
        <v>53</v>
      </c>
      <c r="AA268" s="1">
        <v>22.0</v>
      </c>
      <c r="AB268" s="1">
        <v>10.0</v>
      </c>
      <c r="AC268" s="1">
        <v>10.0</v>
      </c>
      <c r="AD268" s="1">
        <v>12.0</v>
      </c>
      <c r="AE268" s="1">
        <v>12.0</v>
      </c>
      <c r="AF268" s="1" t="s">
        <v>54</v>
      </c>
      <c r="AG268" s="1">
        <v>52.0</v>
      </c>
      <c r="AH268" s="1">
        <v>28.0</v>
      </c>
      <c r="AI268" s="1">
        <v>28.0</v>
      </c>
      <c r="AJ268" s="1">
        <v>24.0</v>
      </c>
      <c r="AK268" s="1">
        <v>24.0</v>
      </c>
      <c r="AL268" s="1">
        <v>152.0</v>
      </c>
      <c r="AM268" s="1" t="s">
        <v>55</v>
      </c>
      <c r="AN268" s="1">
        <v>1.0</v>
      </c>
      <c r="AO268" s="1">
        <v>1.0</v>
      </c>
      <c r="AP268" s="1" t="s">
        <v>1517</v>
      </c>
      <c r="AQ268" s="3" t="str">
        <f>HYPERLINK("https://icf.clappia.com/app/GMB253374/submission/TJI90063278/ICF247370-GMB253374-1o5d1c9d1pc5m0000000/SIG-20250701_1125166akd.jpeg", "SIG-20250701_1125166akd.jpeg")</f>
        <v>SIG-20250701_1125166akd.jpeg</v>
      </c>
      <c r="AR268" s="1" t="s">
        <v>1518</v>
      </c>
      <c r="AS268" s="3" t="str">
        <f>HYPERLINK("https://icf.clappia.com/app/GMB253374/submission/TJI90063278/ICF247370-GMB253374-2mklmmcl8oka00000000/SIG-20250701_1125eip2n.jpeg", "SIG-20250701_1125eip2n.jpeg")</f>
        <v>SIG-20250701_1125eip2n.jpeg</v>
      </c>
      <c r="AT268" s="1" t="s">
        <v>1519</v>
      </c>
      <c r="AU268" s="3" t="str">
        <f>HYPERLINK("https://icf.clappia.com/app/GMB253374/submission/TJI90063278/ICF247370-GMB253374-2bgbpm7llao7a0000000/SIG-20250701_1124135m98.jpeg", "SIG-20250701_1124135m98.jpeg")</f>
        <v>SIG-20250701_1124135m98.jpeg</v>
      </c>
      <c r="AV268" s="3" t="str">
        <f>HYPERLINK("https://www.google.com/maps/place/7.9489056%2C-11.7557673", "7.9489056,-11.7557673")</f>
        <v>7.9489056,-11.7557673</v>
      </c>
    </row>
    <row r="269" ht="15.75" customHeight="1">
      <c r="A269" s="1" t="s">
        <v>1520</v>
      </c>
      <c r="B269" s="1" t="s">
        <v>1521</v>
      </c>
      <c r="C269" s="1" t="s">
        <v>1522</v>
      </c>
      <c r="D269" s="1" t="s">
        <v>1522</v>
      </c>
      <c r="E269" s="1" t="s">
        <v>1523</v>
      </c>
      <c r="F269" s="1" t="s">
        <v>64</v>
      </c>
      <c r="G269" s="1">
        <v>250.0</v>
      </c>
      <c r="H269" s="1" t="s">
        <v>50</v>
      </c>
      <c r="I269" s="1">
        <v>59.0</v>
      </c>
      <c r="J269" s="1">
        <v>30.0</v>
      </c>
      <c r="K269" s="1">
        <v>30.0</v>
      </c>
      <c r="L269" s="1">
        <v>29.0</v>
      </c>
      <c r="M269" s="1">
        <v>29.0</v>
      </c>
      <c r="N269" s="1" t="s">
        <v>51</v>
      </c>
      <c r="O269" s="1">
        <v>40.0</v>
      </c>
      <c r="P269" s="1">
        <v>16.0</v>
      </c>
      <c r="Q269" s="1">
        <v>15.0</v>
      </c>
      <c r="R269" s="1">
        <v>24.0</v>
      </c>
      <c r="S269" s="1">
        <v>24.0</v>
      </c>
      <c r="T269" s="1" t="s">
        <v>52</v>
      </c>
      <c r="U269" s="1">
        <v>34.0</v>
      </c>
      <c r="V269" s="1">
        <v>22.0</v>
      </c>
      <c r="W269" s="1">
        <v>22.0</v>
      </c>
      <c r="X269" s="1">
        <v>12.0</v>
      </c>
      <c r="Y269" s="1">
        <v>12.0</v>
      </c>
      <c r="Z269" s="1" t="s">
        <v>53</v>
      </c>
      <c r="AA269" s="1">
        <v>34.0</v>
      </c>
      <c r="AB269" s="1">
        <v>15.0</v>
      </c>
      <c r="AC269" s="1">
        <v>15.0</v>
      </c>
      <c r="AD269" s="1">
        <v>19.0</v>
      </c>
      <c r="AE269" s="1">
        <v>19.0</v>
      </c>
      <c r="AF269" s="1" t="s">
        <v>54</v>
      </c>
      <c r="AG269" s="1">
        <v>35.0</v>
      </c>
      <c r="AH269" s="1">
        <v>19.0</v>
      </c>
      <c r="AI269" s="1">
        <v>19.0</v>
      </c>
      <c r="AJ269" s="1">
        <v>16.0</v>
      </c>
      <c r="AK269" s="1">
        <v>16.0</v>
      </c>
      <c r="AL269" s="1">
        <v>201.0</v>
      </c>
      <c r="AM269" s="1">
        <v>9.0</v>
      </c>
      <c r="AN269" s="1">
        <v>40.0</v>
      </c>
      <c r="AO269" s="1">
        <v>40.0</v>
      </c>
      <c r="AP269" s="1" t="s">
        <v>1524</v>
      </c>
      <c r="AQ269" s="3" t="str">
        <f>HYPERLINK("https://icf.clappia.com/app/GMB253374/submission/HFK68298608/ICF247370-GMB253374-1n8c35d29dh520000000/SIG-20250702_15379dg73.jpeg", "SIG-20250702_15379dg73.jpeg")</f>
        <v>SIG-20250702_15379dg73.jpeg</v>
      </c>
      <c r="AR269" s="1" t="s">
        <v>1525</v>
      </c>
      <c r="AS269" s="3" t="str">
        <f>HYPERLINK("https://icf.clappia.com/app/GMB253374/submission/HFK68298608/ICF247370-GMB253374-10clo3ankglnm0000000/SIG-20250702_15383a3ji.jpeg", "SIG-20250702_15383a3ji.jpeg")</f>
        <v>SIG-20250702_15383a3ji.jpeg</v>
      </c>
      <c r="AT269" s="1" t="s">
        <v>1526</v>
      </c>
      <c r="AU269" s="3" t="str">
        <f>HYPERLINK("https://icf.clappia.com/app/GMB253374/submission/HFK68298608/ICF247370-GMB253374-323dbg6b42m400000000/SIG-20250702_1539jae04.jpeg", "SIG-20250702_1539jae04.jpeg")</f>
        <v>SIG-20250702_1539jae04.jpeg</v>
      </c>
      <c r="AV269" s="3" t="str">
        <f>HYPERLINK("https://www.google.com/maps/place/8.1166818%2C-11.8576313", "8.1166818,-11.8576313")</f>
        <v>8.1166818,-11.8576313</v>
      </c>
    </row>
    <row r="270" ht="15.75" customHeight="1">
      <c r="A270" s="1" t="s">
        <v>1527</v>
      </c>
      <c r="B270" s="1" t="s">
        <v>155</v>
      </c>
      <c r="C270" s="1" t="s">
        <v>1528</v>
      </c>
      <c r="D270" s="1" t="s">
        <v>1529</v>
      </c>
      <c r="E270" s="1" t="s">
        <v>1530</v>
      </c>
      <c r="F270" s="1" t="s">
        <v>64</v>
      </c>
      <c r="G270" s="1">
        <v>62.0</v>
      </c>
      <c r="H270" s="1" t="s">
        <v>50</v>
      </c>
      <c r="I270" s="1">
        <v>25.0</v>
      </c>
      <c r="J270" s="1">
        <v>11.0</v>
      </c>
      <c r="K270" s="1">
        <v>11.0</v>
      </c>
      <c r="L270" s="1">
        <v>14.0</v>
      </c>
      <c r="M270" s="1">
        <v>14.0</v>
      </c>
      <c r="N270" s="1" t="s">
        <v>51</v>
      </c>
      <c r="O270" s="1">
        <v>11.0</v>
      </c>
      <c r="P270" s="1">
        <v>5.0</v>
      </c>
      <c r="Q270" s="1">
        <v>5.0</v>
      </c>
      <c r="R270" s="1">
        <v>6.0</v>
      </c>
      <c r="S270" s="1">
        <v>6.0</v>
      </c>
      <c r="T270" s="1" t="s">
        <v>52</v>
      </c>
      <c r="U270" s="1">
        <v>12.0</v>
      </c>
      <c r="V270" s="1">
        <v>7.0</v>
      </c>
      <c r="W270" s="1">
        <v>7.0</v>
      </c>
      <c r="X270" s="1">
        <v>5.0</v>
      </c>
      <c r="Y270" s="1">
        <v>5.0</v>
      </c>
      <c r="Z270" s="1" t="s">
        <v>53</v>
      </c>
      <c r="AA270" s="1">
        <v>9.0</v>
      </c>
      <c r="AB270" s="1">
        <v>4.0</v>
      </c>
      <c r="AC270" s="1">
        <v>4.0</v>
      </c>
      <c r="AD270" s="1">
        <v>5.0</v>
      </c>
      <c r="AE270" s="1">
        <v>5.0</v>
      </c>
      <c r="AF270" s="1" t="s">
        <v>54</v>
      </c>
      <c r="AG270" s="1">
        <v>5.0</v>
      </c>
      <c r="AH270" s="1">
        <v>3.0</v>
      </c>
      <c r="AI270" s="1">
        <v>3.0</v>
      </c>
      <c r="AJ270" s="1">
        <v>2.0</v>
      </c>
      <c r="AK270" s="1">
        <v>2.0</v>
      </c>
      <c r="AL270" s="1">
        <v>62.0</v>
      </c>
      <c r="AM270" s="1" t="s">
        <v>55</v>
      </c>
      <c r="AN270" s="1" t="s">
        <v>55</v>
      </c>
      <c r="AO270" s="1" t="s">
        <v>55</v>
      </c>
      <c r="AP270" s="1" t="s">
        <v>1531</v>
      </c>
      <c r="AQ270" s="3" t="str">
        <f>HYPERLINK("https://icf.clappia.com/app/GMB253374/submission/RQX92935357/ICF247370-GMB253374-3g1bcoofj0ak00000000/SIG-20250702_1312116nkh.jpeg", "SIG-20250702_1312116nkh.jpeg")</f>
        <v>SIG-20250702_1312116nkh.jpeg</v>
      </c>
      <c r="AR270" s="1" t="s">
        <v>1532</v>
      </c>
      <c r="AS270" s="3" t="str">
        <f>HYPERLINK("https://icf.clappia.com/app/GMB253374/submission/RQX92935357/ICF247370-GMB253374-1immljf045n8c0000000/SIG-20250702_131210fce7.jpeg", "SIG-20250702_131210fce7.jpeg")</f>
        <v>SIG-20250702_131210fce7.jpeg</v>
      </c>
      <c r="AT270" s="1" t="s">
        <v>1533</v>
      </c>
      <c r="AU270" s="3" t="str">
        <f>HYPERLINK("https://icf.clappia.com/app/GMB253374/submission/RQX92935357/ICF247370-GMB253374-2elh1i3mp5j600000000/SIG-20250702_1312hlkdc.jpeg", "SIG-20250702_1312hlkdc.jpeg")</f>
        <v>SIG-20250702_1312hlkdc.jpeg</v>
      </c>
      <c r="AV270" s="3" t="str">
        <f>HYPERLINK("https://www.google.com/maps/place/8.80607%2C-11.92756", "8.80607,-11.92756")</f>
        <v>8.80607,-11.92756</v>
      </c>
    </row>
    <row r="271" ht="15.75" customHeight="1">
      <c r="A271" s="1" t="s">
        <v>1534</v>
      </c>
      <c r="B271" s="1" t="s">
        <v>189</v>
      </c>
      <c r="C271" s="1" t="s">
        <v>1535</v>
      </c>
      <c r="D271" s="1" t="s">
        <v>1535</v>
      </c>
      <c r="E271" s="1" t="s">
        <v>1536</v>
      </c>
      <c r="F271" s="1" t="s">
        <v>64</v>
      </c>
      <c r="G271" s="1">
        <v>356.0</v>
      </c>
      <c r="H271" s="1" t="s">
        <v>50</v>
      </c>
      <c r="I271" s="1">
        <v>70.0</v>
      </c>
      <c r="J271" s="1">
        <v>34.0</v>
      </c>
      <c r="K271" s="1">
        <v>34.0</v>
      </c>
      <c r="L271" s="1">
        <v>36.0</v>
      </c>
      <c r="M271" s="1">
        <v>36.0</v>
      </c>
      <c r="N271" s="1" t="s">
        <v>51</v>
      </c>
      <c r="O271" s="1">
        <v>96.0</v>
      </c>
      <c r="P271" s="1">
        <v>46.0</v>
      </c>
      <c r="Q271" s="1">
        <v>46.0</v>
      </c>
      <c r="R271" s="1">
        <v>50.0</v>
      </c>
      <c r="S271" s="1">
        <v>50.0</v>
      </c>
      <c r="T271" s="1" t="s">
        <v>52</v>
      </c>
      <c r="U271" s="1">
        <v>69.0</v>
      </c>
      <c r="V271" s="1">
        <v>33.0</v>
      </c>
      <c r="W271" s="1">
        <v>33.0</v>
      </c>
      <c r="X271" s="1">
        <v>36.0</v>
      </c>
      <c r="Y271" s="1">
        <v>36.0</v>
      </c>
      <c r="Z271" s="1" t="s">
        <v>53</v>
      </c>
      <c r="AA271" s="1">
        <v>66.0</v>
      </c>
      <c r="AB271" s="1">
        <v>40.0</v>
      </c>
      <c r="AC271" s="1">
        <v>40.0</v>
      </c>
      <c r="AD271" s="1">
        <v>26.0</v>
      </c>
      <c r="AE271" s="1">
        <v>26.0</v>
      </c>
      <c r="AF271" s="1" t="s">
        <v>54</v>
      </c>
      <c r="AG271" s="1">
        <v>55.0</v>
      </c>
      <c r="AH271" s="1">
        <v>30.0</v>
      </c>
      <c r="AI271" s="1">
        <v>30.0</v>
      </c>
      <c r="AJ271" s="1">
        <v>25.0</v>
      </c>
      <c r="AK271" s="1">
        <v>25.0</v>
      </c>
      <c r="AL271" s="1">
        <v>356.0</v>
      </c>
      <c r="AM271" s="1" t="s">
        <v>55</v>
      </c>
      <c r="AN271" s="1" t="s">
        <v>55</v>
      </c>
      <c r="AO271" s="1" t="s">
        <v>55</v>
      </c>
      <c r="AP271" s="1" t="s">
        <v>223</v>
      </c>
      <c r="AQ271" s="3" t="str">
        <f>HYPERLINK("https://icf.clappia.com/app/GMB253374/submission/XYW04006885/ICF247370-GMB253374-3ob6oihihdj000000000/SIG-20250702_102772nkd.jpeg", "SIG-20250702_102772nkd.jpeg")</f>
        <v>SIG-20250702_102772nkd.jpeg</v>
      </c>
      <c r="AR271" s="1" t="s">
        <v>1537</v>
      </c>
      <c r="AS271" s="3" t="str">
        <f>HYPERLINK("https://icf.clappia.com/app/GMB253374/submission/XYW04006885/ICF247370-GMB253374-52pbc28f5goe00000000/SIG-20250702_1244g1b8m.jpeg", "SIG-20250702_1244g1b8m.jpeg")</f>
        <v>SIG-20250702_1244g1b8m.jpeg</v>
      </c>
      <c r="AT271" s="1" t="s">
        <v>1538</v>
      </c>
      <c r="AU271" s="3" t="str">
        <f>HYPERLINK("https://icf.clappia.com/app/GMB253374/submission/XYW04006885/ICF247370-GMB253374-32eahf8m8hpa00000000/SIG-20250702_124417283o.jpeg", "SIG-20250702_124417283o.jpeg")</f>
        <v>SIG-20250702_124417283o.jpeg</v>
      </c>
      <c r="AV271" s="3" t="str">
        <f>HYPERLINK("https://www.google.com/maps/place/8.900553%2C-12.0345225", "8.900553,-12.0345225")</f>
        <v>8.900553,-12.0345225</v>
      </c>
    </row>
    <row r="272" ht="15.75" customHeight="1">
      <c r="A272" s="1" t="s">
        <v>1539</v>
      </c>
      <c r="B272" s="1" t="s">
        <v>81</v>
      </c>
      <c r="C272" s="1" t="s">
        <v>1540</v>
      </c>
      <c r="D272" s="1" t="s">
        <v>1540</v>
      </c>
      <c r="E272" s="1" t="s">
        <v>1541</v>
      </c>
      <c r="F272" s="1" t="s">
        <v>64</v>
      </c>
      <c r="G272" s="1">
        <v>92.0</v>
      </c>
      <c r="H272" s="1" t="s">
        <v>50</v>
      </c>
      <c r="I272" s="1">
        <v>18.0</v>
      </c>
      <c r="J272" s="1">
        <v>8.0</v>
      </c>
      <c r="K272" s="1">
        <v>8.0</v>
      </c>
      <c r="L272" s="1">
        <v>10.0</v>
      </c>
      <c r="M272" s="1">
        <v>10.0</v>
      </c>
      <c r="N272" s="1" t="s">
        <v>51</v>
      </c>
      <c r="O272" s="1">
        <v>20.0</v>
      </c>
      <c r="P272" s="1">
        <v>5.0</v>
      </c>
      <c r="Q272" s="1">
        <v>5.0</v>
      </c>
      <c r="R272" s="1">
        <v>15.0</v>
      </c>
      <c r="S272" s="1">
        <v>15.0</v>
      </c>
      <c r="T272" s="1" t="s">
        <v>52</v>
      </c>
      <c r="U272" s="1">
        <v>29.0</v>
      </c>
      <c r="V272" s="1">
        <v>13.0</v>
      </c>
      <c r="W272" s="1">
        <v>13.0</v>
      </c>
      <c r="X272" s="1">
        <v>16.0</v>
      </c>
      <c r="Y272" s="1">
        <v>16.0</v>
      </c>
      <c r="Z272" s="1" t="s">
        <v>53</v>
      </c>
      <c r="AA272" s="1">
        <v>15.0</v>
      </c>
      <c r="AB272" s="1">
        <v>5.0</v>
      </c>
      <c r="AC272" s="1">
        <v>5.0</v>
      </c>
      <c r="AD272" s="1">
        <v>10.0</v>
      </c>
      <c r="AE272" s="1">
        <v>10.0</v>
      </c>
      <c r="AF272" s="1" t="s">
        <v>54</v>
      </c>
      <c r="AG272" s="1">
        <v>10.0</v>
      </c>
      <c r="AH272" s="1">
        <v>4.0</v>
      </c>
      <c r="AI272" s="1">
        <v>4.0</v>
      </c>
      <c r="AJ272" s="1">
        <v>6.0</v>
      </c>
      <c r="AK272" s="1">
        <v>6.0</v>
      </c>
      <c r="AL272" s="1">
        <v>92.0</v>
      </c>
      <c r="AM272" s="1" t="s">
        <v>55</v>
      </c>
      <c r="AN272" s="1" t="s">
        <v>55</v>
      </c>
      <c r="AO272" s="1" t="s">
        <v>55</v>
      </c>
      <c r="AP272" s="1" t="s">
        <v>1542</v>
      </c>
      <c r="AQ272" s="3" t="str">
        <f>HYPERLINK("https://icf.clappia.com/app/GMB253374/submission/YQJ28660291/ICF247370-GMB253374-41edlbfc7om000000000/SIG-20250702_15339c6ko.jpeg", "SIG-20250702_15339c6ko.jpeg")</f>
        <v>SIG-20250702_15339c6ko.jpeg</v>
      </c>
      <c r="AR272" s="1" t="s">
        <v>1470</v>
      </c>
      <c r="AS272" s="3" t="str">
        <f>HYPERLINK("https://icf.clappia.com/app/GMB253374/submission/YQJ28660291/ICF247370-GMB253374-5c02oai8c2ig00000000/SIG-20250702_15346aeki.jpeg", "SIG-20250702_15346aeki.jpeg")</f>
        <v>SIG-20250702_15346aeki.jpeg</v>
      </c>
      <c r="AT272" s="1" t="s">
        <v>1543</v>
      </c>
      <c r="AU272" s="3" t="str">
        <f>HYPERLINK("https://icf.clappia.com/app/GMB253374/submission/YQJ28660291/ICF247370-GMB253374-5ai2nj4enc3a00000000/SIG-20250702_1534cl05b.jpeg", "SIG-20250702_1534cl05b.jpeg")</f>
        <v>SIG-20250702_1534cl05b.jpeg</v>
      </c>
      <c r="AV272" s="3" t="str">
        <f>HYPERLINK("https://www.google.com/maps/place/7.9653167%2C-11.767645", "7.9653167,-11.767645")</f>
        <v>7.9653167,-11.767645</v>
      </c>
    </row>
    <row r="273" ht="15.75" customHeight="1">
      <c r="A273" s="1" t="s">
        <v>1544</v>
      </c>
      <c r="B273" s="1" t="s">
        <v>155</v>
      </c>
      <c r="C273" s="1" t="s">
        <v>1545</v>
      </c>
      <c r="D273" s="1" t="s">
        <v>1545</v>
      </c>
      <c r="E273" s="1" t="s">
        <v>1546</v>
      </c>
      <c r="F273" s="1" t="s">
        <v>64</v>
      </c>
      <c r="G273" s="1">
        <v>100.0</v>
      </c>
      <c r="H273" s="1" t="s">
        <v>50</v>
      </c>
      <c r="I273" s="1">
        <v>32.0</v>
      </c>
      <c r="J273" s="1">
        <v>15.0</v>
      </c>
      <c r="K273" s="1">
        <v>11.0</v>
      </c>
      <c r="L273" s="1">
        <v>17.0</v>
      </c>
      <c r="M273" s="1">
        <v>16.0</v>
      </c>
      <c r="N273" s="1" t="s">
        <v>51</v>
      </c>
      <c r="O273" s="1">
        <v>15.0</v>
      </c>
      <c r="P273" s="1">
        <v>9.0</v>
      </c>
      <c r="Q273" s="1">
        <v>8.0</v>
      </c>
      <c r="R273" s="1">
        <v>6.0</v>
      </c>
      <c r="S273" s="1">
        <v>4.0</v>
      </c>
      <c r="T273" s="1" t="s">
        <v>52</v>
      </c>
      <c r="U273" s="1">
        <v>18.0</v>
      </c>
      <c r="V273" s="1">
        <v>8.0</v>
      </c>
      <c r="W273" s="1">
        <v>5.0</v>
      </c>
      <c r="X273" s="1">
        <v>10.0</v>
      </c>
      <c r="Y273" s="1">
        <v>8.0</v>
      </c>
      <c r="Z273" s="1" t="s">
        <v>53</v>
      </c>
      <c r="AA273" s="1">
        <v>12.0</v>
      </c>
      <c r="AB273" s="1">
        <v>7.0</v>
      </c>
      <c r="AC273" s="1">
        <v>6.0</v>
      </c>
      <c r="AD273" s="1">
        <v>5.0</v>
      </c>
      <c r="AE273" s="1">
        <v>3.0</v>
      </c>
      <c r="AF273" s="1" t="s">
        <v>54</v>
      </c>
      <c r="AG273" s="1">
        <v>10.0</v>
      </c>
      <c r="AH273" s="1">
        <v>6.0</v>
      </c>
      <c r="AI273" s="1">
        <v>6.0</v>
      </c>
      <c r="AJ273" s="1">
        <v>4.0</v>
      </c>
      <c r="AK273" s="1">
        <v>4.0</v>
      </c>
      <c r="AL273" s="1">
        <v>71.0</v>
      </c>
      <c r="AM273" s="1" t="s">
        <v>55</v>
      </c>
      <c r="AN273" s="1">
        <v>29.0</v>
      </c>
      <c r="AO273" s="1">
        <v>29.0</v>
      </c>
      <c r="AP273" s="1" t="s">
        <v>1547</v>
      </c>
      <c r="AQ273" s="3" t="str">
        <f>HYPERLINK("https://icf.clappia.com/app/GMB253374/submission/UFL21678095/ICF247370-GMB253374-426b89no19ji00000000/SIG-20250702_1530ka13.jpeg", "SIG-20250702_1530ka13.jpeg")</f>
        <v>SIG-20250702_1530ka13.jpeg</v>
      </c>
      <c r="AR273" s="1" t="s">
        <v>1512</v>
      </c>
      <c r="AS273" s="3" t="str">
        <f>HYPERLINK("https://icf.clappia.com/app/GMB253374/submission/UFL21678095/ICF247370-GMB253374-n1hocnchhdo40000000/SIG-20250702_15319am29.jpeg", "SIG-20250702_15319am29.jpeg")</f>
        <v>SIG-20250702_15319am29.jpeg</v>
      </c>
      <c r="AT273" s="1" t="s">
        <v>1548</v>
      </c>
      <c r="AU273" s="3" t="str">
        <f>HYPERLINK("https://icf.clappia.com/app/GMB253374/submission/UFL21678095/ICF247370-GMB253374-4g6ggjacon5o00000000/SIG-20250702_1531f82f1.jpeg", "SIG-20250702_1531f82f1.jpeg")</f>
        <v>SIG-20250702_1531f82f1.jpeg</v>
      </c>
      <c r="AV273" s="3" t="str">
        <f>HYPERLINK("https://www.google.com/maps/place/8.7875917%2C-11.9092967", "8.7875917,-11.9092967")</f>
        <v>8.7875917,-11.9092967</v>
      </c>
    </row>
    <row r="274" ht="15.75" customHeight="1">
      <c r="A274" s="1" t="s">
        <v>1549</v>
      </c>
      <c r="B274" s="1" t="s">
        <v>189</v>
      </c>
      <c r="C274" s="1" t="s">
        <v>1550</v>
      </c>
      <c r="D274" s="1" t="s">
        <v>1550</v>
      </c>
      <c r="E274" s="1" t="s">
        <v>1551</v>
      </c>
      <c r="F274" s="1" t="s">
        <v>64</v>
      </c>
      <c r="G274" s="1">
        <v>300.0</v>
      </c>
      <c r="H274" s="1" t="s">
        <v>50</v>
      </c>
      <c r="I274" s="1">
        <v>45.0</v>
      </c>
      <c r="J274" s="1">
        <v>20.0</v>
      </c>
      <c r="K274" s="1">
        <v>18.0</v>
      </c>
      <c r="L274" s="1">
        <v>25.0</v>
      </c>
      <c r="M274" s="1">
        <v>22.0</v>
      </c>
      <c r="N274" s="1" t="s">
        <v>51</v>
      </c>
      <c r="O274" s="1">
        <v>28.0</v>
      </c>
      <c r="P274" s="1">
        <v>14.0</v>
      </c>
      <c r="Q274" s="1">
        <v>12.0</v>
      </c>
      <c r="R274" s="1">
        <v>14.0</v>
      </c>
      <c r="S274" s="1">
        <v>13.0</v>
      </c>
      <c r="T274" s="1" t="s">
        <v>52</v>
      </c>
      <c r="U274" s="1">
        <v>27.0</v>
      </c>
      <c r="V274" s="1">
        <v>14.0</v>
      </c>
      <c r="W274" s="1">
        <v>14.0</v>
      </c>
      <c r="X274" s="1">
        <v>13.0</v>
      </c>
      <c r="Y274" s="1">
        <v>13.0</v>
      </c>
      <c r="Z274" s="1" t="s">
        <v>53</v>
      </c>
      <c r="AA274" s="1">
        <v>30.0</v>
      </c>
      <c r="AB274" s="1">
        <v>18.0</v>
      </c>
      <c r="AC274" s="1">
        <v>15.0</v>
      </c>
      <c r="AD274" s="1">
        <v>12.0</v>
      </c>
      <c r="AE274" s="1">
        <v>12.0</v>
      </c>
      <c r="AF274" s="1" t="s">
        <v>54</v>
      </c>
      <c r="AG274" s="1">
        <v>24.0</v>
      </c>
      <c r="AH274" s="1">
        <v>15.0</v>
      </c>
      <c r="AI274" s="1">
        <v>15.0</v>
      </c>
      <c r="AJ274" s="1">
        <v>9.0</v>
      </c>
      <c r="AK274" s="1">
        <v>9.0</v>
      </c>
      <c r="AL274" s="1">
        <v>143.0</v>
      </c>
      <c r="AM274" s="1" t="s">
        <v>55</v>
      </c>
      <c r="AN274" s="1">
        <v>157.0</v>
      </c>
      <c r="AO274" s="1">
        <v>157.0</v>
      </c>
      <c r="AP274" s="1" t="s">
        <v>1552</v>
      </c>
      <c r="AQ274" s="3" t="str">
        <f>HYPERLINK("https://icf.clappia.com/app/GMB253374/submission/QNI02852578/ICF247370-GMB253374-1on8fn6bn0pla0000000/SIG-20250702_1313d3978.jpeg", "SIG-20250702_1313d3978.jpeg")</f>
        <v>SIG-20250702_1313d3978.jpeg</v>
      </c>
      <c r="AR274" s="1" t="s">
        <v>1553</v>
      </c>
      <c r="AS274" s="3" t="str">
        <f>HYPERLINK("https://icf.clappia.com/app/GMB253374/submission/QNI02852578/ICF247370-GMB253374-4m8ig75h9elc00000000/SIG-20250702_124116mdff.jpeg", "SIG-20250702_124116mdff.jpeg")</f>
        <v>SIG-20250702_124116mdff.jpeg</v>
      </c>
      <c r="AT274" s="1" t="s">
        <v>1554</v>
      </c>
      <c r="AU274" s="3" t="str">
        <f>HYPERLINK("https://icf.clappia.com/app/GMB253374/submission/QNI02852578/ICF247370-GMB253374-61h16l3gm24i00000000/SIG-20250702_14422jkl5.jpeg", "SIG-20250702_14422jkl5.jpeg")</f>
        <v>SIG-20250702_14422jkl5.jpeg</v>
      </c>
      <c r="AV274" s="3" t="str">
        <f>HYPERLINK("https://www.google.com/maps/place/8.890838%2C-12.0364194", "8.890838,-12.0364194")</f>
        <v>8.890838,-12.0364194</v>
      </c>
    </row>
    <row r="275" ht="15.75" customHeight="1">
      <c r="A275" s="1" t="s">
        <v>1555</v>
      </c>
      <c r="B275" s="1" t="s">
        <v>155</v>
      </c>
      <c r="C275" s="1" t="s">
        <v>1556</v>
      </c>
      <c r="D275" s="1" t="s">
        <v>1556</v>
      </c>
      <c r="E275" s="1" t="s">
        <v>1557</v>
      </c>
      <c r="F275" s="1" t="s">
        <v>49</v>
      </c>
      <c r="G275" s="1">
        <v>135.0</v>
      </c>
      <c r="H275" s="1" t="s">
        <v>50</v>
      </c>
      <c r="I275" s="1">
        <v>35.0</v>
      </c>
      <c r="J275" s="1">
        <v>17.0</v>
      </c>
      <c r="K275" s="1">
        <v>16.0</v>
      </c>
      <c r="L275" s="1">
        <v>18.0</v>
      </c>
      <c r="M275" s="1">
        <v>15.0</v>
      </c>
      <c r="N275" s="1" t="s">
        <v>51</v>
      </c>
      <c r="O275" s="1">
        <v>33.0</v>
      </c>
      <c r="P275" s="1">
        <v>15.0</v>
      </c>
      <c r="Q275" s="1">
        <v>14.0</v>
      </c>
      <c r="R275" s="1">
        <v>18.0</v>
      </c>
      <c r="S275" s="1">
        <v>17.0</v>
      </c>
      <c r="T275" s="1" t="s">
        <v>52</v>
      </c>
      <c r="U275" s="1">
        <v>30.0</v>
      </c>
      <c r="V275" s="1">
        <v>14.0</v>
      </c>
      <c r="W275" s="1">
        <v>13.0</v>
      </c>
      <c r="X275" s="1">
        <v>16.0</v>
      </c>
      <c r="Y275" s="1">
        <v>15.0</v>
      </c>
      <c r="Z275" s="1" t="s">
        <v>53</v>
      </c>
      <c r="AA275" s="1">
        <v>27.0</v>
      </c>
      <c r="AB275" s="1">
        <v>13.0</v>
      </c>
      <c r="AC275" s="1">
        <v>12.0</v>
      </c>
      <c r="AD275" s="1">
        <v>14.0</v>
      </c>
      <c r="AE275" s="1">
        <v>13.0</v>
      </c>
      <c r="AF275" s="1" t="s">
        <v>54</v>
      </c>
      <c r="AG275" s="1">
        <v>18.0</v>
      </c>
      <c r="AH275" s="1">
        <v>10.0</v>
      </c>
      <c r="AI275" s="1">
        <v>9.0</v>
      </c>
      <c r="AJ275" s="1">
        <v>8.0</v>
      </c>
      <c r="AK275" s="1">
        <v>8.0</v>
      </c>
      <c r="AL275" s="1">
        <v>132.0</v>
      </c>
      <c r="AM275" s="1" t="s">
        <v>55</v>
      </c>
      <c r="AN275" s="1">
        <v>3.0</v>
      </c>
      <c r="AO275" s="1">
        <v>3.0</v>
      </c>
      <c r="AP275" s="1" t="s">
        <v>629</v>
      </c>
      <c r="AQ275" s="3" t="str">
        <f>HYPERLINK("https://icf.clappia.com/app/GMB253374/submission/XCI33302573/ICF247370-GMB253374-4c3onhkdlgji00000000/SIG-20250702_152214bhc1.jpeg", "SIG-20250702_152214bhc1.jpeg")</f>
        <v>SIG-20250702_152214bhc1.jpeg</v>
      </c>
      <c r="AR275" s="1" t="s">
        <v>631</v>
      </c>
      <c r="AS275" s="3" t="str">
        <f>HYPERLINK("https://icf.clappia.com/app/GMB253374/submission/XCI33302573/ICF247370-GMB253374-53pinohefl6e00000000/SIG-20250702_1523a9flf.jpeg", "SIG-20250702_1523a9flf.jpeg")</f>
        <v>SIG-20250702_1523a9flf.jpeg</v>
      </c>
      <c r="AT275" s="1" t="s">
        <v>630</v>
      </c>
      <c r="AU275" s="3" t="str">
        <f>HYPERLINK("https://icf.clappia.com/app/GMB253374/submission/XCI33302573/ICF247370-GMB253374-3m7ecb7kg00a00000000/SIG-20250702_1523m81n8.jpeg", "SIG-20250702_1523m81n8.jpeg")</f>
        <v>SIG-20250702_1523m81n8.jpeg</v>
      </c>
      <c r="AV275" s="3" t="str">
        <f>HYPERLINK("https://www.google.com/maps/place/8.7455983%2C-11.9448333", "8.7455983,-11.9448333")</f>
        <v>8.7455983,-11.9448333</v>
      </c>
    </row>
    <row r="276" ht="15.75" customHeight="1">
      <c r="A276" s="1" t="s">
        <v>1558</v>
      </c>
      <c r="B276" s="1" t="s">
        <v>349</v>
      </c>
      <c r="C276" s="1" t="s">
        <v>1559</v>
      </c>
      <c r="D276" s="1" t="s">
        <v>1559</v>
      </c>
      <c r="E276" s="1" t="s">
        <v>1560</v>
      </c>
      <c r="F276" s="1" t="s">
        <v>64</v>
      </c>
      <c r="G276" s="1">
        <v>39.0</v>
      </c>
      <c r="H276" s="1" t="s">
        <v>50</v>
      </c>
      <c r="I276" s="1">
        <v>14.0</v>
      </c>
      <c r="J276" s="1">
        <v>8.0</v>
      </c>
      <c r="K276" s="1">
        <v>8.0</v>
      </c>
      <c r="L276" s="1">
        <v>6.0</v>
      </c>
      <c r="M276" s="1">
        <v>6.0</v>
      </c>
      <c r="N276" s="1" t="s">
        <v>51</v>
      </c>
      <c r="O276" s="1">
        <v>8.0</v>
      </c>
      <c r="P276" s="1">
        <v>3.0</v>
      </c>
      <c r="Q276" s="1">
        <v>3.0</v>
      </c>
      <c r="R276" s="1">
        <v>5.0</v>
      </c>
      <c r="S276" s="1">
        <v>5.0</v>
      </c>
      <c r="T276" s="1" t="s">
        <v>52</v>
      </c>
      <c r="U276" s="1">
        <v>9.0</v>
      </c>
      <c r="V276" s="1">
        <v>4.0</v>
      </c>
      <c r="W276" s="1">
        <v>4.0</v>
      </c>
      <c r="X276" s="1">
        <v>5.0</v>
      </c>
      <c r="Y276" s="1">
        <v>5.0</v>
      </c>
      <c r="Z276" s="1" t="s">
        <v>53</v>
      </c>
      <c r="AA276" s="1">
        <v>3.0</v>
      </c>
      <c r="AB276" s="1">
        <v>1.0</v>
      </c>
      <c r="AC276" s="1">
        <v>1.0</v>
      </c>
      <c r="AD276" s="1">
        <v>2.0</v>
      </c>
      <c r="AE276" s="1">
        <v>2.0</v>
      </c>
      <c r="AF276" s="1" t="s">
        <v>54</v>
      </c>
      <c r="AG276" s="1">
        <v>5.0</v>
      </c>
      <c r="AH276" s="1">
        <v>2.0</v>
      </c>
      <c r="AI276" s="1">
        <v>2.0</v>
      </c>
      <c r="AJ276" s="1">
        <v>3.0</v>
      </c>
      <c r="AK276" s="1">
        <v>3.0</v>
      </c>
      <c r="AL276" s="1">
        <v>39.0</v>
      </c>
      <c r="AM276" s="1" t="s">
        <v>55</v>
      </c>
      <c r="AN276" s="1" t="s">
        <v>55</v>
      </c>
      <c r="AO276" s="1" t="s">
        <v>55</v>
      </c>
      <c r="AP276" s="1" t="s">
        <v>1561</v>
      </c>
      <c r="AQ276" s="3" t="str">
        <f>HYPERLINK("https://icf.clappia.com/app/GMB253374/submission/OLK56079613/ICF247370-GMB253374-4p4ej568656k00000000/SIG-20250702_151718oc2a.jpeg", "SIG-20250702_151718oc2a.jpeg")</f>
        <v>SIG-20250702_151718oc2a.jpeg</v>
      </c>
      <c r="AR276" s="1" t="s">
        <v>1562</v>
      </c>
      <c r="AS276" s="3" t="str">
        <f>HYPERLINK("https://icf.clappia.com/app/GMB253374/submission/OLK56079613/ICF247370-GMB253374-j4p0iafh9dne0000000/SIG-20250702_1518foc56.jpeg", "SIG-20250702_1518foc56.jpeg")</f>
        <v>SIG-20250702_1518foc56.jpeg</v>
      </c>
      <c r="AT276" s="1" t="s">
        <v>1563</v>
      </c>
      <c r="AU276" s="3" t="str">
        <f>HYPERLINK("https://icf.clappia.com/app/GMB253374/submission/OLK56079613/ICF247370-GMB253374-5m122jd8gn6000000000/SIG-20250702_1519i085a.jpeg", "SIG-20250702_1519i085a.jpeg")</f>
        <v>SIG-20250702_1519i085a.jpeg</v>
      </c>
      <c r="AV276" s="3" t="str">
        <f>HYPERLINK("https://www.google.com/maps/place/8.9795876%2C-12.097947", "8.9795876,-12.097947")</f>
        <v>8.9795876,-12.097947</v>
      </c>
    </row>
    <row r="277" ht="15.75" customHeight="1">
      <c r="A277" s="1" t="s">
        <v>1564</v>
      </c>
      <c r="B277" s="1" t="s">
        <v>60</v>
      </c>
      <c r="C277" s="1" t="s">
        <v>1565</v>
      </c>
      <c r="D277" s="1" t="s">
        <v>1565</v>
      </c>
      <c r="E277" s="1" t="s">
        <v>1566</v>
      </c>
      <c r="F277" s="1" t="s">
        <v>64</v>
      </c>
      <c r="G277" s="1">
        <v>208.0</v>
      </c>
      <c r="H277" s="1" t="s">
        <v>50</v>
      </c>
      <c r="I277" s="1">
        <v>52.0</v>
      </c>
      <c r="J277" s="1">
        <v>20.0</v>
      </c>
      <c r="K277" s="1">
        <v>20.0</v>
      </c>
      <c r="L277" s="1">
        <v>32.0</v>
      </c>
      <c r="M277" s="1">
        <v>32.0</v>
      </c>
      <c r="N277" s="1" t="s">
        <v>51</v>
      </c>
      <c r="O277" s="1">
        <v>48.0</v>
      </c>
      <c r="P277" s="1">
        <v>22.0</v>
      </c>
      <c r="Q277" s="1">
        <v>22.0</v>
      </c>
      <c r="R277" s="1">
        <v>26.0</v>
      </c>
      <c r="S277" s="1">
        <v>26.0</v>
      </c>
      <c r="T277" s="1" t="s">
        <v>52</v>
      </c>
      <c r="U277" s="1">
        <v>32.0</v>
      </c>
      <c r="V277" s="1">
        <v>18.0</v>
      </c>
      <c r="W277" s="1">
        <v>18.0</v>
      </c>
      <c r="X277" s="1">
        <v>14.0</v>
      </c>
      <c r="Y277" s="1">
        <v>14.0</v>
      </c>
      <c r="Z277" s="1" t="s">
        <v>53</v>
      </c>
      <c r="AA277" s="1">
        <v>35.0</v>
      </c>
      <c r="AB277" s="1">
        <v>18.0</v>
      </c>
      <c r="AC277" s="1">
        <v>18.0</v>
      </c>
      <c r="AD277" s="1">
        <v>17.0</v>
      </c>
      <c r="AE277" s="1">
        <v>17.0</v>
      </c>
      <c r="AF277" s="1" t="s">
        <v>54</v>
      </c>
      <c r="AG277" s="1">
        <v>27.0</v>
      </c>
      <c r="AH277" s="1">
        <v>14.0</v>
      </c>
      <c r="AI277" s="1">
        <v>14.0</v>
      </c>
      <c r="AJ277" s="1">
        <v>13.0</v>
      </c>
      <c r="AK277" s="1">
        <v>13.0</v>
      </c>
      <c r="AL277" s="1">
        <v>194.0</v>
      </c>
      <c r="AM277" s="1" t="s">
        <v>55</v>
      </c>
      <c r="AN277" s="1">
        <v>14.0</v>
      </c>
      <c r="AO277" s="1">
        <v>14.0</v>
      </c>
      <c r="AP277" s="1" t="s">
        <v>1567</v>
      </c>
      <c r="AQ277" s="3" t="str">
        <f>HYPERLINK("https://icf.clappia.com/app/GMB253374/submission/HIR69795051/ICF247370-GMB253374-41974m5plk2g00000000/SIG-20250701_1207157o72.jpeg", "SIG-20250701_1207157o72.jpeg")</f>
        <v>SIG-20250701_1207157o72.jpeg</v>
      </c>
      <c r="AR277" s="1" t="s">
        <v>1568</v>
      </c>
      <c r="AS277" s="3" t="str">
        <f>HYPERLINK("https://icf.clappia.com/app/GMB253374/submission/HIR69795051/ICF247370-GMB253374-28ednmi1fmn8e0000000/SIG-20250701_120813oml0.jpeg", "SIG-20250701_120813oml0.jpeg")</f>
        <v>SIG-20250701_120813oml0.jpeg</v>
      </c>
      <c r="AT277" s="1" t="s">
        <v>1569</v>
      </c>
      <c r="AU277" s="3" t="str">
        <f>HYPERLINK("https://icf.clappia.com/app/GMB253374/submission/HIR69795051/ICF247370-GMB253374-6aa95ee3eece00000000/SIG-20250701_1209cdhho.jpeg", "SIG-20250701_1209cdhho.jpeg")</f>
        <v>SIG-20250701_1209cdhho.jpeg</v>
      </c>
      <c r="AV277" s="3" t="str">
        <f>HYPERLINK("https://www.google.com/maps/place/7.862465%2C-11.75234", "7.862465,-11.75234")</f>
        <v>7.862465,-11.75234</v>
      </c>
    </row>
    <row r="278" ht="15.75" customHeight="1">
      <c r="A278" s="1" t="s">
        <v>1570</v>
      </c>
      <c r="B278" s="1" t="s">
        <v>528</v>
      </c>
      <c r="C278" s="1" t="s">
        <v>1571</v>
      </c>
      <c r="D278" s="1" t="s">
        <v>1571</v>
      </c>
      <c r="E278" s="1" t="s">
        <v>1572</v>
      </c>
      <c r="F278" s="1" t="s">
        <v>64</v>
      </c>
      <c r="G278" s="1">
        <v>236.0</v>
      </c>
      <c r="H278" s="1" t="s">
        <v>50</v>
      </c>
      <c r="I278" s="1">
        <v>29.0</v>
      </c>
      <c r="J278" s="1">
        <v>15.0</v>
      </c>
      <c r="K278" s="1">
        <v>15.0</v>
      </c>
      <c r="L278" s="1">
        <v>14.0</v>
      </c>
      <c r="M278" s="1">
        <v>14.0</v>
      </c>
      <c r="N278" s="1" t="s">
        <v>51</v>
      </c>
      <c r="O278" s="1">
        <v>29.0</v>
      </c>
      <c r="P278" s="1">
        <v>17.0</v>
      </c>
      <c r="Q278" s="1">
        <v>17.0</v>
      </c>
      <c r="R278" s="1">
        <v>12.0</v>
      </c>
      <c r="S278" s="1">
        <v>12.0</v>
      </c>
      <c r="T278" s="1" t="s">
        <v>52</v>
      </c>
      <c r="U278" s="1">
        <v>29.0</v>
      </c>
      <c r="V278" s="1">
        <v>11.0</v>
      </c>
      <c r="W278" s="1">
        <v>11.0</v>
      </c>
      <c r="X278" s="1">
        <v>18.0</v>
      </c>
      <c r="Y278" s="1">
        <v>18.0</v>
      </c>
      <c r="Z278" s="1" t="s">
        <v>53</v>
      </c>
      <c r="AA278" s="1">
        <v>29.0</v>
      </c>
      <c r="AB278" s="1">
        <v>14.0</v>
      </c>
      <c r="AC278" s="1">
        <v>14.0</v>
      </c>
      <c r="AD278" s="1">
        <v>15.0</v>
      </c>
      <c r="AE278" s="1">
        <v>15.0</v>
      </c>
      <c r="AF278" s="1" t="s">
        <v>54</v>
      </c>
      <c r="AG278" s="1">
        <v>29.0</v>
      </c>
      <c r="AH278" s="1">
        <v>12.0</v>
      </c>
      <c r="AI278" s="1">
        <v>12.0</v>
      </c>
      <c r="AJ278" s="1">
        <v>17.0</v>
      </c>
      <c r="AK278" s="1">
        <v>17.0</v>
      </c>
      <c r="AL278" s="1">
        <v>145.0</v>
      </c>
      <c r="AM278" s="1" t="s">
        <v>55</v>
      </c>
      <c r="AN278" s="1">
        <v>91.0</v>
      </c>
      <c r="AO278" s="1">
        <v>91.0</v>
      </c>
      <c r="AP278" s="1" t="s">
        <v>1573</v>
      </c>
      <c r="AQ278" s="3" t="str">
        <f>HYPERLINK("https://icf.clappia.com/app/GMB253374/submission/CVI95618177/ICF247370-GMB253374-3e8jai7dd26e00000000/SIG-20250702_15091270lj.jpeg", "SIG-20250702_15091270lj.jpeg")</f>
        <v>SIG-20250702_15091270lj.jpeg</v>
      </c>
      <c r="AR278" s="1" t="s">
        <v>1574</v>
      </c>
      <c r="AS278" s="3" t="str">
        <f>HYPERLINK("https://icf.clappia.com/app/GMB253374/submission/CVI95618177/ICF247370-GMB253374-4flhlimpdelo00000000/SIG-20250702_1509l9cpd.jpeg", "SIG-20250702_1509l9cpd.jpeg")</f>
        <v>SIG-20250702_1509l9cpd.jpeg</v>
      </c>
      <c r="AT278" s="1" t="s">
        <v>1575</v>
      </c>
      <c r="AU278" s="3" t="str">
        <f>HYPERLINK("https://icf.clappia.com/app/GMB253374/submission/CVI95618177/ICF247370-GMB253374-3m5dfnpcif1o00000000/SIG-20250702_151016nlgf.jpeg", "SIG-20250702_151016nlgf.jpeg")</f>
        <v>SIG-20250702_151016nlgf.jpeg</v>
      </c>
      <c r="AV278" s="3" t="str">
        <f>HYPERLINK("https://www.google.com/maps/place/7.7113589%2C-11.6942556", "7.7113589,-11.6942556")</f>
        <v>7.7113589,-11.6942556</v>
      </c>
    </row>
    <row r="279" ht="15.75" customHeight="1">
      <c r="A279" s="1" t="s">
        <v>1576</v>
      </c>
      <c r="B279" s="1" t="s">
        <v>167</v>
      </c>
      <c r="C279" s="1" t="s">
        <v>1577</v>
      </c>
      <c r="D279" s="1" t="s">
        <v>1577</v>
      </c>
      <c r="E279" s="1" t="s">
        <v>1578</v>
      </c>
      <c r="F279" s="1" t="s">
        <v>64</v>
      </c>
      <c r="G279" s="1">
        <v>185.0</v>
      </c>
      <c r="H279" s="1" t="s">
        <v>50</v>
      </c>
      <c r="I279" s="1">
        <v>24.0</v>
      </c>
      <c r="J279" s="1">
        <v>10.0</v>
      </c>
      <c r="K279" s="1">
        <v>10.0</v>
      </c>
      <c r="L279" s="1">
        <v>14.0</v>
      </c>
      <c r="M279" s="1">
        <v>14.0</v>
      </c>
      <c r="N279" s="1" t="s">
        <v>51</v>
      </c>
      <c r="O279" s="1">
        <v>18.0</v>
      </c>
      <c r="P279" s="1">
        <v>10.0</v>
      </c>
      <c r="Q279" s="1">
        <v>10.0</v>
      </c>
      <c r="R279" s="1">
        <v>8.0</v>
      </c>
      <c r="S279" s="1">
        <v>8.0</v>
      </c>
      <c r="T279" s="1" t="s">
        <v>52</v>
      </c>
      <c r="U279" s="1">
        <v>16.0</v>
      </c>
      <c r="V279" s="1">
        <v>5.0</v>
      </c>
      <c r="W279" s="1">
        <v>5.0</v>
      </c>
      <c r="X279" s="1">
        <v>11.0</v>
      </c>
      <c r="Y279" s="1">
        <v>11.0</v>
      </c>
      <c r="Z279" s="1" t="s">
        <v>53</v>
      </c>
      <c r="AA279" s="1">
        <v>19.0</v>
      </c>
      <c r="AB279" s="1">
        <v>11.0</v>
      </c>
      <c r="AC279" s="1">
        <v>11.0</v>
      </c>
      <c r="AD279" s="1">
        <v>8.0</v>
      </c>
      <c r="AE279" s="1">
        <v>8.0</v>
      </c>
      <c r="AF279" s="1" t="s">
        <v>54</v>
      </c>
      <c r="AG279" s="1">
        <v>18.0</v>
      </c>
      <c r="AH279" s="1">
        <v>8.0</v>
      </c>
      <c r="AI279" s="1">
        <v>8.0</v>
      </c>
      <c r="AJ279" s="1">
        <v>10.0</v>
      </c>
      <c r="AK279" s="1">
        <v>10.0</v>
      </c>
      <c r="AL279" s="1">
        <v>95.0</v>
      </c>
      <c r="AM279" s="1" t="s">
        <v>55</v>
      </c>
      <c r="AN279" s="1">
        <v>90.0</v>
      </c>
      <c r="AO279" s="1">
        <v>90.0</v>
      </c>
      <c r="AP279" s="1" t="s">
        <v>1579</v>
      </c>
      <c r="AQ279" s="3" t="str">
        <f>HYPERLINK("https://icf.clappia.com/app/GMB253374/submission/EYO73026285/ICF247370-GMB253374-5m80lpll8ij200000000/SIG-20250702_1503l94c2.jpeg", "SIG-20250702_1503l94c2.jpeg")</f>
        <v>SIG-20250702_1503l94c2.jpeg</v>
      </c>
      <c r="AR279" s="1" t="s">
        <v>1580</v>
      </c>
      <c r="AS279" s="3" t="str">
        <f>HYPERLINK("https://icf.clappia.com/app/GMB253374/submission/EYO73026285/ICF247370-GMB253374-69jee3ijcam800000000/SIG-20250702_1505i3n89.jpeg", "SIG-20250702_1505i3n89.jpeg")</f>
        <v>SIG-20250702_1505i3n89.jpeg</v>
      </c>
      <c r="AT279" s="1" t="s">
        <v>1581</v>
      </c>
      <c r="AU279" s="3" t="str">
        <f>HYPERLINK("https://icf.clappia.com/app/GMB253374/submission/EYO73026285/ICF247370-GMB253374-o4e87f7129eg0000000/SIG-20250702_150416abgd.jpeg", "SIG-20250702_150416abgd.jpeg")</f>
        <v>SIG-20250702_150416abgd.jpeg</v>
      </c>
      <c r="AV279" s="3" t="str">
        <f>HYPERLINK("https://www.google.com/maps/place/7.8626367%2C-11.7512167", "7.8626367,-11.7512167")</f>
        <v>7.8626367,-11.7512167</v>
      </c>
    </row>
    <row r="280" ht="15.75" customHeight="1">
      <c r="A280" s="1" t="s">
        <v>1582</v>
      </c>
      <c r="B280" s="1" t="s">
        <v>536</v>
      </c>
      <c r="C280" s="1" t="s">
        <v>1583</v>
      </c>
      <c r="D280" s="1" t="s">
        <v>1583</v>
      </c>
      <c r="E280" s="2" t="s">
        <v>1584</v>
      </c>
      <c r="F280" s="1" t="s">
        <v>64</v>
      </c>
      <c r="G280" s="1">
        <v>200.0</v>
      </c>
      <c r="H280" s="1" t="s">
        <v>50</v>
      </c>
      <c r="I280" s="1">
        <v>50.0</v>
      </c>
      <c r="J280" s="1">
        <v>30.0</v>
      </c>
      <c r="K280" s="1">
        <v>25.0</v>
      </c>
      <c r="L280" s="1">
        <v>20.0</v>
      </c>
      <c r="M280" s="1">
        <v>20.0</v>
      </c>
      <c r="N280" s="1" t="s">
        <v>51</v>
      </c>
      <c r="O280" s="1">
        <v>50.0</v>
      </c>
      <c r="P280" s="1">
        <v>20.0</v>
      </c>
      <c r="Q280" s="1">
        <v>20.0</v>
      </c>
      <c r="R280" s="1">
        <v>30.0</v>
      </c>
      <c r="S280" s="1">
        <v>23.0</v>
      </c>
      <c r="T280" s="1" t="s">
        <v>52</v>
      </c>
      <c r="U280" s="1">
        <v>48.0</v>
      </c>
      <c r="V280" s="1">
        <v>20.0</v>
      </c>
      <c r="W280" s="1">
        <v>20.0</v>
      </c>
      <c r="X280" s="1">
        <v>28.0</v>
      </c>
      <c r="Y280" s="1">
        <v>28.0</v>
      </c>
      <c r="Z280" s="1" t="s">
        <v>53</v>
      </c>
      <c r="AA280" s="1">
        <v>55.0</v>
      </c>
      <c r="AB280" s="1">
        <v>25.0</v>
      </c>
      <c r="AC280" s="1">
        <v>20.0</v>
      </c>
      <c r="AD280" s="1">
        <v>30.0</v>
      </c>
      <c r="AE280" s="1">
        <v>27.0</v>
      </c>
      <c r="AF280" s="1" t="s">
        <v>54</v>
      </c>
      <c r="AG280" s="1">
        <v>45.0</v>
      </c>
      <c r="AH280" s="1">
        <v>20.0</v>
      </c>
      <c r="AI280" s="1">
        <v>7.0</v>
      </c>
      <c r="AJ280" s="1">
        <v>25.0</v>
      </c>
      <c r="AK280" s="1">
        <v>10.0</v>
      </c>
      <c r="AL280" s="1">
        <v>200.0</v>
      </c>
      <c r="AM280" s="1" t="s">
        <v>55</v>
      </c>
      <c r="AN280" s="1" t="s">
        <v>55</v>
      </c>
      <c r="AO280" s="1" t="s">
        <v>55</v>
      </c>
      <c r="AP280" s="1" t="s">
        <v>1585</v>
      </c>
      <c r="AQ280" s="3" t="str">
        <f>HYPERLINK("https://icf.clappia.com/app/GMB253374/submission/YUR91269124/ICF247370-GMB253374-4nkk1ea0kbk400000000/SIG-20250702_1506a312d.jpeg", "SIG-20250702_1506a312d.jpeg")</f>
        <v>SIG-20250702_1506a312d.jpeg</v>
      </c>
      <c r="AR280" s="1" t="s">
        <v>1586</v>
      </c>
      <c r="AS280" s="3" t="str">
        <f>HYPERLINK("https://icf.clappia.com/app/GMB253374/submission/YUR91269124/ICF247370-GMB253374-75g4pe444i860000000/SIG-20250702_1146jmffo.jpeg", "SIG-20250702_1146jmffo.jpeg")</f>
        <v>SIG-20250702_1146jmffo.jpeg</v>
      </c>
      <c r="AT280" s="1" t="s">
        <v>1587</v>
      </c>
      <c r="AU280" s="3" t="str">
        <f>HYPERLINK("https://icf.clappia.com/app/GMB253374/submission/YUR91269124/ICF247370-GMB253374-hh5jo89lb8l60000000/SIG-20250702_1147138kb.jpeg", "SIG-20250702_1147138kb.jpeg")</f>
        <v>SIG-20250702_1147138kb.jpeg</v>
      </c>
      <c r="AV280" s="3" t="str">
        <f>HYPERLINK("https://www.google.com/maps/place/9.22841%2C-12.00051", "9.22841,-12.00051")</f>
        <v>9.22841,-12.00051</v>
      </c>
    </row>
    <row r="281" ht="15.75" customHeight="1">
      <c r="A281" s="1" t="s">
        <v>1588</v>
      </c>
      <c r="B281" s="1" t="s">
        <v>536</v>
      </c>
      <c r="C281" s="1" t="s">
        <v>1583</v>
      </c>
      <c r="D281" s="1" t="s">
        <v>1583</v>
      </c>
      <c r="E281" s="1" t="s">
        <v>1589</v>
      </c>
      <c r="F281" s="1" t="s">
        <v>64</v>
      </c>
      <c r="G281" s="1">
        <v>200.0</v>
      </c>
      <c r="H281" s="1" t="s">
        <v>50</v>
      </c>
      <c r="I281" s="1">
        <v>50.0</v>
      </c>
      <c r="J281" s="1">
        <v>30.0</v>
      </c>
      <c r="K281" s="1">
        <v>25.0</v>
      </c>
      <c r="L281" s="1">
        <v>20.0</v>
      </c>
      <c r="M281" s="1">
        <v>20.0</v>
      </c>
      <c r="N281" s="1" t="s">
        <v>51</v>
      </c>
      <c r="O281" s="1">
        <v>50.0</v>
      </c>
      <c r="P281" s="1">
        <v>20.0</v>
      </c>
      <c r="Q281" s="1">
        <v>20.0</v>
      </c>
      <c r="R281" s="1">
        <v>30.0</v>
      </c>
      <c r="S281" s="1">
        <v>23.0</v>
      </c>
      <c r="T281" s="1" t="s">
        <v>52</v>
      </c>
      <c r="U281" s="1">
        <v>48.0</v>
      </c>
      <c r="V281" s="1">
        <v>20.0</v>
      </c>
      <c r="W281" s="1">
        <v>20.0</v>
      </c>
      <c r="X281" s="1">
        <v>28.0</v>
      </c>
      <c r="Y281" s="1">
        <v>28.0</v>
      </c>
      <c r="Z281" s="1" t="s">
        <v>53</v>
      </c>
      <c r="AA281" s="1">
        <v>55.0</v>
      </c>
      <c r="AB281" s="1">
        <v>25.0</v>
      </c>
      <c r="AC281" s="1">
        <v>20.0</v>
      </c>
      <c r="AD281" s="1">
        <v>30.0</v>
      </c>
      <c r="AE281" s="1">
        <v>27.0</v>
      </c>
      <c r="AF281" s="1" t="s">
        <v>54</v>
      </c>
      <c r="AG281" s="1">
        <v>45.0</v>
      </c>
      <c r="AH281" s="1">
        <v>20.0</v>
      </c>
      <c r="AI281" s="1">
        <v>7.0</v>
      </c>
      <c r="AJ281" s="1">
        <v>25.0</v>
      </c>
      <c r="AK281" s="1">
        <v>10.0</v>
      </c>
      <c r="AL281" s="1">
        <v>200.0</v>
      </c>
      <c r="AM281" s="1" t="s">
        <v>55</v>
      </c>
      <c r="AN281" s="1" t="s">
        <v>55</v>
      </c>
      <c r="AO281" s="1" t="s">
        <v>55</v>
      </c>
      <c r="AP281" s="1" t="s">
        <v>1590</v>
      </c>
      <c r="AQ281" s="3" t="str">
        <f>HYPERLINK("https://icf.clappia.com/app/GMB253374/submission/TSN48687952/ICF247370-GMB253374-55oa48lkg5co00000000/SIG-20250702_15061821ka.jpeg", "SIG-20250702_15061821ka.jpeg")</f>
        <v>SIG-20250702_15061821ka.jpeg</v>
      </c>
      <c r="AR281" s="1" t="s">
        <v>1591</v>
      </c>
      <c r="AS281" s="3" t="str">
        <f>HYPERLINK("https://icf.clappia.com/app/GMB253374/submission/TSN48687952/ICF247370-GMB253374-34khdnjjm1n200000000/SIG-20250702_1203135hd0.jpeg", "SIG-20250702_1203135hd0.jpeg")</f>
        <v>SIG-20250702_1203135hd0.jpeg</v>
      </c>
      <c r="AT281" s="1" t="s">
        <v>1592</v>
      </c>
      <c r="AU281" s="3" t="str">
        <f>HYPERLINK("https://icf.clappia.com/app/GMB253374/submission/TSN48687952/ICF247370-GMB253374-1l277di3f0mi40000000/SIG-20250702_1208aecmd.jpeg", "SIG-20250702_1208aecmd.jpeg")</f>
        <v>SIG-20250702_1208aecmd.jpeg</v>
      </c>
      <c r="AV281" s="3" t="str">
        <f>HYPERLINK("https://www.google.com/maps/place/9.2419772%2C-11.9827801", "9.2419772,-11.9827801")</f>
        <v>9.2419772,-11.9827801</v>
      </c>
    </row>
    <row r="282" ht="15.75" customHeight="1">
      <c r="A282" s="1" t="s">
        <v>1593</v>
      </c>
      <c r="B282" s="1" t="s">
        <v>335</v>
      </c>
      <c r="C282" s="1" t="s">
        <v>1594</v>
      </c>
      <c r="D282" s="1" t="s">
        <v>1594</v>
      </c>
      <c r="E282" s="1" t="s">
        <v>1595</v>
      </c>
      <c r="F282" s="1" t="s">
        <v>64</v>
      </c>
      <c r="G282" s="1">
        <v>110.0</v>
      </c>
      <c r="H282" s="1" t="s">
        <v>50</v>
      </c>
      <c r="I282" s="1">
        <v>36.0</v>
      </c>
      <c r="J282" s="1">
        <v>18.0</v>
      </c>
      <c r="K282" s="1">
        <v>18.0</v>
      </c>
      <c r="L282" s="1">
        <v>18.0</v>
      </c>
      <c r="M282" s="1">
        <v>18.0</v>
      </c>
      <c r="N282" s="1" t="s">
        <v>51</v>
      </c>
      <c r="O282" s="1">
        <v>35.0</v>
      </c>
      <c r="P282" s="1">
        <v>15.0</v>
      </c>
      <c r="Q282" s="1">
        <v>15.0</v>
      </c>
      <c r="R282" s="1">
        <v>20.0</v>
      </c>
      <c r="S282" s="1">
        <v>20.0</v>
      </c>
      <c r="T282" s="1" t="s">
        <v>52</v>
      </c>
      <c r="U282" s="1">
        <v>10.0</v>
      </c>
      <c r="V282" s="1">
        <v>5.0</v>
      </c>
      <c r="W282" s="1">
        <v>5.0</v>
      </c>
      <c r="X282" s="1">
        <v>5.0</v>
      </c>
      <c r="Y282" s="1">
        <v>5.0</v>
      </c>
      <c r="Z282" s="1" t="s">
        <v>53</v>
      </c>
      <c r="AA282" s="1">
        <v>6.0</v>
      </c>
      <c r="AB282" s="1">
        <v>5.0</v>
      </c>
      <c r="AC282" s="1">
        <v>5.0</v>
      </c>
      <c r="AD282" s="1">
        <v>1.0</v>
      </c>
      <c r="AE282" s="1">
        <v>1.0</v>
      </c>
      <c r="AF282" s="1" t="s">
        <v>54</v>
      </c>
      <c r="AG282" s="1">
        <v>8.0</v>
      </c>
      <c r="AH282" s="1">
        <v>5.0</v>
      </c>
      <c r="AI282" s="1">
        <v>5.0</v>
      </c>
      <c r="AJ282" s="1">
        <v>3.0</v>
      </c>
      <c r="AK282" s="1">
        <v>3.0</v>
      </c>
      <c r="AL282" s="1">
        <v>95.0</v>
      </c>
      <c r="AM282" s="1">
        <v>10.0</v>
      </c>
      <c r="AN282" s="1">
        <v>5.0</v>
      </c>
      <c r="AO282" s="1">
        <v>5.0</v>
      </c>
      <c r="AP282" s="1" t="s">
        <v>340</v>
      </c>
      <c r="AQ282" s="3" t="str">
        <f>HYPERLINK("https://icf.clappia.com/app/GMB253374/submission/DFQ85198156/ICF247370-GMB253374-5a973l3d1coi00000000/SIG-20250702_130015f508.jpeg", "SIG-20250702_130015f508.jpeg")</f>
        <v>SIG-20250702_130015f508.jpeg</v>
      </c>
      <c r="AR282" s="1" t="s">
        <v>1369</v>
      </c>
      <c r="AS282" s="3" t="str">
        <f>HYPERLINK("https://icf.clappia.com/app/GMB253374/submission/DFQ85198156/ICF247370-GMB253374-3k20jh0g214e00000000/SIG-20250702_13011a1b9m.jpeg", "SIG-20250702_13011a1b9m.jpeg")</f>
        <v>SIG-20250702_13011a1b9m.jpeg</v>
      </c>
      <c r="AT282" s="1" t="s">
        <v>338</v>
      </c>
      <c r="AU282" s="3" t="str">
        <f>HYPERLINK("https://icf.clappia.com/app/GMB253374/submission/DFQ85198156/ICF247370-GMB253374-390ie3jog6do00000000/SIG-20250702_1302mh7fm.jpeg", "SIG-20250702_1302mh7fm.jpeg")</f>
        <v>SIG-20250702_1302mh7fm.jpeg</v>
      </c>
      <c r="AV282" s="3" t="str">
        <f>HYPERLINK("https://www.google.com/maps/place/8.1581917%2C-11.5980117", "8.1581917,-11.5980117")</f>
        <v>8.1581917,-11.5980117</v>
      </c>
    </row>
    <row r="283" ht="15.75" customHeight="1">
      <c r="A283" s="1" t="s">
        <v>1596</v>
      </c>
      <c r="B283" s="1" t="s">
        <v>81</v>
      </c>
      <c r="C283" s="1" t="s">
        <v>1597</v>
      </c>
      <c r="D283" s="1" t="s">
        <v>1594</v>
      </c>
      <c r="E283" s="1" t="s">
        <v>1598</v>
      </c>
      <c r="F283" s="1" t="s">
        <v>64</v>
      </c>
      <c r="G283" s="1">
        <v>150.0</v>
      </c>
      <c r="H283" s="1" t="s">
        <v>50</v>
      </c>
      <c r="I283" s="1">
        <v>46.0</v>
      </c>
      <c r="J283" s="1">
        <v>28.0</v>
      </c>
      <c r="K283" s="1">
        <v>28.0</v>
      </c>
      <c r="L283" s="1">
        <v>18.0</v>
      </c>
      <c r="M283" s="1">
        <v>18.0</v>
      </c>
      <c r="N283" s="1" t="s">
        <v>51</v>
      </c>
      <c r="O283" s="1">
        <v>54.0</v>
      </c>
      <c r="P283" s="1">
        <v>26.0</v>
      </c>
      <c r="Q283" s="1">
        <v>26.0</v>
      </c>
      <c r="R283" s="1">
        <v>28.0</v>
      </c>
      <c r="S283" s="1">
        <v>28.0</v>
      </c>
      <c r="T283" s="1" t="s">
        <v>52</v>
      </c>
      <c r="U283" s="1">
        <v>30.0</v>
      </c>
      <c r="V283" s="1">
        <v>15.0</v>
      </c>
      <c r="W283" s="1">
        <v>15.0</v>
      </c>
      <c r="X283" s="1">
        <v>15.0</v>
      </c>
      <c r="Y283" s="1">
        <v>15.0</v>
      </c>
      <c r="Z283" s="1" t="s">
        <v>53</v>
      </c>
      <c r="AA283" s="1" t="s">
        <v>55</v>
      </c>
      <c r="AB283" s="1" t="s">
        <v>55</v>
      </c>
      <c r="AC283" s="1" t="s">
        <v>55</v>
      </c>
      <c r="AD283" s="1" t="s">
        <v>55</v>
      </c>
      <c r="AE283" s="1" t="s">
        <v>55</v>
      </c>
      <c r="AF283" s="1" t="s">
        <v>54</v>
      </c>
      <c r="AG283" s="1" t="s">
        <v>55</v>
      </c>
      <c r="AH283" s="1" t="s">
        <v>55</v>
      </c>
      <c r="AI283" s="1" t="s">
        <v>55</v>
      </c>
      <c r="AJ283" s="1" t="s">
        <v>55</v>
      </c>
      <c r="AK283" s="1" t="s">
        <v>55</v>
      </c>
      <c r="AL283" s="1">
        <v>130.0</v>
      </c>
      <c r="AM283" s="1" t="s">
        <v>55</v>
      </c>
      <c r="AN283" s="1">
        <v>20.0</v>
      </c>
      <c r="AO283" s="1">
        <v>20.0</v>
      </c>
      <c r="AP283" s="1" t="s">
        <v>1599</v>
      </c>
      <c r="AQ283" s="3" t="str">
        <f>HYPERLINK("https://icf.clappia.com/app/GMB253374/submission/IFI54033633/ICF247370-GMB253374-839keak28c440000000/SIG-20250630_11562f91h.jpeg", "SIG-20250630_11562f91h.jpeg")</f>
        <v>SIG-20250630_11562f91h.jpeg</v>
      </c>
      <c r="AR283" s="1" t="s">
        <v>1600</v>
      </c>
      <c r="AS283" s="3" t="str">
        <f>HYPERLINK("https://icf.clappia.com/app/GMB253374/submission/IFI54033633/ICF247370-GMB253374-3pgo7bli557e00000000/SIG-20250630_11575oip5.jpeg", "SIG-20250630_11575oip5.jpeg")</f>
        <v>SIG-20250630_11575oip5.jpeg</v>
      </c>
      <c r="AT283" s="1" t="s">
        <v>1601</v>
      </c>
      <c r="AU283" s="3" t="str">
        <f>HYPERLINK("https://icf.clappia.com/app/GMB253374/submission/IFI54033633/ICF247370-GMB253374-53nj7hafcjcg00000000/SIG-20250630_1209132o53.jpeg", "SIG-20250630_1209132o53.jpeg")</f>
        <v>SIG-20250630_1209132o53.jpeg</v>
      </c>
      <c r="AV283" s="3" t="str">
        <f>HYPERLINK("https://www.google.com/maps/place/7.9473983%2C-11.7531917", "7.9473983,-11.7531917")</f>
        <v>7.9473983,-11.7531917</v>
      </c>
    </row>
    <row r="284" ht="15.75" customHeight="1">
      <c r="A284" s="1" t="s">
        <v>1602</v>
      </c>
      <c r="B284" s="1" t="s">
        <v>81</v>
      </c>
      <c r="C284" s="1" t="s">
        <v>1603</v>
      </c>
      <c r="D284" s="1" t="s">
        <v>1603</v>
      </c>
      <c r="E284" s="1" t="s">
        <v>1604</v>
      </c>
      <c r="F284" s="1" t="s">
        <v>64</v>
      </c>
      <c r="G284" s="1">
        <v>353.0</v>
      </c>
      <c r="H284" s="1" t="s">
        <v>50</v>
      </c>
      <c r="I284" s="1">
        <v>59.0</v>
      </c>
      <c r="J284" s="1">
        <v>29.0</v>
      </c>
      <c r="K284" s="1">
        <v>29.0</v>
      </c>
      <c r="L284" s="1">
        <v>30.0</v>
      </c>
      <c r="M284" s="1">
        <v>28.0</v>
      </c>
      <c r="N284" s="1" t="s">
        <v>51</v>
      </c>
      <c r="O284" s="1">
        <v>74.0</v>
      </c>
      <c r="P284" s="1">
        <v>35.0</v>
      </c>
      <c r="Q284" s="1">
        <v>34.0</v>
      </c>
      <c r="R284" s="1">
        <v>39.0</v>
      </c>
      <c r="S284" s="1">
        <v>38.0</v>
      </c>
      <c r="T284" s="1" t="s">
        <v>52</v>
      </c>
      <c r="U284" s="1">
        <v>74.0</v>
      </c>
      <c r="V284" s="1">
        <v>33.0</v>
      </c>
      <c r="W284" s="1">
        <v>33.0</v>
      </c>
      <c r="X284" s="1">
        <v>41.0</v>
      </c>
      <c r="Y284" s="1">
        <v>40.0</v>
      </c>
      <c r="Z284" s="1" t="s">
        <v>53</v>
      </c>
      <c r="AA284" s="1">
        <v>67.0</v>
      </c>
      <c r="AB284" s="1">
        <v>32.0</v>
      </c>
      <c r="AC284" s="1">
        <v>32.0</v>
      </c>
      <c r="AD284" s="1">
        <v>35.0</v>
      </c>
      <c r="AE284" s="1">
        <v>33.0</v>
      </c>
      <c r="AF284" s="1" t="s">
        <v>54</v>
      </c>
      <c r="AG284" s="1">
        <v>79.0</v>
      </c>
      <c r="AH284" s="1">
        <v>32.0</v>
      </c>
      <c r="AI284" s="1">
        <v>32.0</v>
      </c>
      <c r="AJ284" s="1">
        <v>47.0</v>
      </c>
      <c r="AK284" s="1">
        <v>47.0</v>
      </c>
      <c r="AL284" s="1">
        <v>346.0</v>
      </c>
      <c r="AM284" s="1" t="s">
        <v>55</v>
      </c>
      <c r="AN284" s="1">
        <v>7.0</v>
      </c>
      <c r="AO284" s="1">
        <v>7.0</v>
      </c>
      <c r="AP284" s="1" t="s">
        <v>1605</v>
      </c>
      <c r="AQ284" s="3" t="str">
        <f>HYPERLINK("https://icf.clappia.com/app/GMB253374/submission/CJF48419468/ICF247370-GMB253374-66ik2kepglh200000000/SIG-20250702_1457e1g2k.jpeg", "SIG-20250702_1457e1g2k.jpeg")</f>
        <v>SIG-20250702_1457e1g2k.jpeg</v>
      </c>
      <c r="AR284" s="1" t="s">
        <v>1606</v>
      </c>
      <c r="AS284" s="3" t="str">
        <f>HYPERLINK("https://icf.clappia.com/app/GMB253374/submission/CJF48419468/ICF247370-GMB253374-6aplk40j3l6600000000/SIG-20250702_1458547o9.jpeg", "SIG-20250702_1458547o9.jpeg")</f>
        <v>SIG-20250702_1458547o9.jpeg</v>
      </c>
      <c r="AT284" s="1" t="s">
        <v>1607</v>
      </c>
      <c r="AU284" s="3" t="str">
        <f>HYPERLINK("https://icf.clappia.com/app/GMB253374/submission/CJF48419468/ICF247370-GMB253374-1p951cj8ejp680000000/SIG-20250702_1459150cil.jpeg", "SIG-20250702_1459150cil.jpeg")</f>
        <v>SIG-20250702_1459150cil.jpeg</v>
      </c>
      <c r="AV284" s="3" t="str">
        <f>HYPERLINK("https://www.google.com/maps/place/7.9579038%2C-11.7578134", "7.9579038,-11.7578134")</f>
        <v>7.9579038,-11.7578134</v>
      </c>
    </row>
    <row r="285" ht="15.75" customHeight="1">
      <c r="A285" s="1" t="s">
        <v>1608</v>
      </c>
      <c r="B285" s="1" t="s">
        <v>161</v>
      </c>
      <c r="C285" s="1" t="s">
        <v>1609</v>
      </c>
      <c r="D285" s="1" t="s">
        <v>1609</v>
      </c>
      <c r="E285" s="1" t="s">
        <v>1610</v>
      </c>
      <c r="F285" s="1" t="s">
        <v>64</v>
      </c>
      <c r="G285" s="1">
        <v>80.0</v>
      </c>
      <c r="H285" s="1" t="s">
        <v>50</v>
      </c>
      <c r="I285" s="1" t="s">
        <v>55</v>
      </c>
      <c r="J285" s="1" t="s">
        <v>55</v>
      </c>
      <c r="K285" s="1" t="s">
        <v>55</v>
      </c>
      <c r="L285" s="1" t="s">
        <v>55</v>
      </c>
      <c r="M285" s="1" t="s">
        <v>55</v>
      </c>
      <c r="N285" s="1" t="s">
        <v>51</v>
      </c>
      <c r="O285" s="1" t="s">
        <v>55</v>
      </c>
      <c r="P285" s="1" t="s">
        <v>55</v>
      </c>
      <c r="Q285" s="1" t="s">
        <v>55</v>
      </c>
      <c r="R285" s="1" t="s">
        <v>55</v>
      </c>
      <c r="S285" s="1" t="s">
        <v>55</v>
      </c>
      <c r="T285" s="1" t="s">
        <v>52</v>
      </c>
      <c r="U285" s="1" t="s">
        <v>55</v>
      </c>
      <c r="V285" s="1" t="s">
        <v>55</v>
      </c>
      <c r="W285" s="1" t="s">
        <v>55</v>
      </c>
      <c r="X285" s="1" t="s">
        <v>55</v>
      </c>
      <c r="Y285" s="1" t="s">
        <v>55</v>
      </c>
      <c r="Z285" s="1" t="s">
        <v>53</v>
      </c>
      <c r="AA285" s="1">
        <v>50.0</v>
      </c>
      <c r="AB285" s="1">
        <v>30.0</v>
      </c>
      <c r="AC285" s="1">
        <v>30.0</v>
      </c>
      <c r="AD285" s="1">
        <v>20.0</v>
      </c>
      <c r="AE285" s="1">
        <v>20.0</v>
      </c>
      <c r="AF285" s="1" t="s">
        <v>54</v>
      </c>
      <c r="AG285" s="1">
        <v>30.0</v>
      </c>
      <c r="AH285" s="1">
        <v>14.0</v>
      </c>
      <c r="AI285" s="1">
        <v>14.0</v>
      </c>
      <c r="AJ285" s="1">
        <v>16.0</v>
      </c>
      <c r="AK285" s="1">
        <v>16.0</v>
      </c>
      <c r="AL285" s="1">
        <v>80.0</v>
      </c>
      <c r="AM285" s="1" t="s">
        <v>55</v>
      </c>
      <c r="AN285" s="1" t="s">
        <v>55</v>
      </c>
      <c r="AO285" s="1" t="s">
        <v>55</v>
      </c>
      <c r="AP285" s="1" t="s">
        <v>956</v>
      </c>
      <c r="AQ285" s="3" t="str">
        <f>HYPERLINK("https://icf.clappia.com/app/GMB253374/submission/UJW83936610/ICF247370-GMB253374-4lgbpe6814g600000000/SIG-20250702_145535efd.jpeg", "SIG-20250702_145535efd.jpeg")</f>
        <v>SIG-20250702_145535efd.jpeg</v>
      </c>
      <c r="AR285" s="1" t="s">
        <v>957</v>
      </c>
      <c r="AS285" s="3" t="str">
        <f>HYPERLINK("https://icf.clappia.com/app/GMB253374/submission/UJW83936610/ICF247370-GMB253374-65aoe473edi200000000/SIG-20250702_1456jdidh.jpeg", "SIG-20250702_1456jdidh.jpeg")</f>
        <v>SIG-20250702_1456jdidh.jpeg</v>
      </c>
      <c r="AT285" s="1" t="s">
        <v>1611</v>
      </c>
      <c r="AU285" s="3" t="str">
        <f>HYPERLINK("https://icf.clappia.com/app/GMB253374/submission/UJW83936610/ICF247370-GMB253374-3c7mjpk409jc00000000/SIG-20250702_1457ich8p.jpeg", "SIG-20250702_1457ich8p.jpeg")</f>
        <v>SIG-20250702_1457ich8p.jpeg</v>
      </c>
      <c r="AV285" s="3" t="str">
        <f>HYPERLINK("https://www.google.com/maps/place/7.98692%2C-11.5695983", "7.98692,-11.5695983")</f>
        <v>7.98692,-11.5695983</v>
      </c>
    </row>
    <row r="286" ht="15.75" customHeight="1">
      <c r="A286" s="1" t="s">
        <v>1612</v>
      </c>
      <c r="B286" s="1" t="s">
        <v>142</v>
      </c>
      <c r="C286" s="1" t="s">
        <v>1613</v>
      </c>
      <c r="D286" s="1" t="s">
        <v>1613</v>
      </c>
      <c r="E286" s="1" t="s">
        <v>1614</v>
      </c>
      <c r="F286" s="1" t="s">
        <v>64</v>
      </c>
      <c r="G286" s="1">
        <v>165.0</v>
      </c>
      <c r="H286" s="1" t="s">
        <v>50</v>
      </c>
      <c r="I286" s="1">
        <v>50.0</v>
      </c>
      <c r="J286" s="1">
        <v>20.0</v>
      </c>
      <c r="K286" s="1">
        <v>20.0</v>
      </c>
      <c r="L286" s="1">
        <v>30.0</v>
      </c>
      <c r="M286" s="1">
        <v>30.0</v>
      </c>
      <c r="N286" s="1" t="s">
        <v>51</v>
      </c>
      <c r="O286" s="1">
        <v>35.0</v>
      </c>
      <c r="P286" s="1">
        <v>15.0</v>
      </c>
      <c r="Q286" s="1">
        <v>15.0</v>
      </c>
      <c r="R286" s="1">
        <v>20.0</v>
      </c>
      <c r="S286" s="1">
        <v>20.0</v>
      </c>
      <c r="T286" s="1" t="s">
        <v>52</v>
      </c>
      <c r="U286" s="1">
        <v>35.0</v>
      </c>
      <c r="V286" s="1">
        <v>20.0</v>
      </c>
      <c r="W286" s="1">
        <v>20.0</v>
      </c>
      <c r="X286" s="1">
        <v>15.0</v>
      </c>
      <c r="Y286" s="1">
        <v>15.0</v>
      </c>
      <c r="Z286" s="1" t="s">
        <v>53</v>
      </c>
      <c r="AA286" s="1">
        <v>25.0</v>
      </c>
      <c r="AB286" s="1">
        <v>10.0</v>
      </c>
      <c r="AC286" s="1">
        <v>10.0</v>
      </c>
      <c r="AD286" s="1">
        <v>15.0</v>
      </c>
      <c r="AE286" s="1">
        <v>15.0</v>
      </c>
      <c r="AF286" s="1" t="s">
        <v>54</v>
      </c>
      <c r="AG286" s="1">
        <v>20.0</v>
      </c>
      <c r="AH286" s="1">
        <v>6.0</v>
      </c>
      <c r="AI286" s="1">
        <v>6.0</v>
      </c>
      <c r="AJ286" s="1">
        <v>14.0</v>
      </c>
      <c r="AK286" s="1">
        <v>14.0</v>
      </c>
      <c r="AL286" s="1">
        <v>165.0</v>
      </c>
      <c r="AM286" s="1" t="s">
        <v>55</v>
      </c>
      <c r="AN286" s="1" t="s">
        <v>55</v>
      </c>
      <c r="AO286" s="1" t="s">
        <v>55</v>
      </c>
      <c r="AP286" s="1" t="s">
        <v>1615</v>
      </c>
      <c r="AQ286" s="3" t="str">
        <f>HYPERLINK("https://icf.clappia.com/app/GMB253374/submission/HDY61207697/ICF247370-GMB253374-11ja04i36lm3o0000000/SIG-20250702_131414ka35.jpeg", "SIG-20250702_131414ka35.jpeg")</f>
        <v>SIG-20250702_131414ka35.jpeg</v>
      </c>
      <c r="AR286" s="1" t="s">
        <v>1616</v>
      </c>
      <c r="AS286" s="3" t="str">
        <f>HYPERLINK("https://icf.clappia.com/app/GMB253374/submission/HDY61207697/ICF247370-GMB253374-3lij2cbk6p0g00000000/SIG-20250702_1315blp58.jpeg", "SIG-20250702_1315blp58.jpeg")</f>
        <v>SIG-20250702_1315blp58.jpeg</v>
      </c>
      <c r="AT286" s="1" t="s">
        <v>1617</v>
      </c>
      <c r="AU286" s="3" t="str">
        <f>HYPERLINK("https://icf.clappia.com/app/GMB253374/submission/HDY61207697/ICF247370-GMB253374-3ld85hl8m2ig00000000/SIG-20250702_1316pad47.jpeg", "SIG-20250702_1316pad47.jpeg")</f>
        <v>SIG-20250702_1316pad47.jpeg</v>
      </c>
      <c r="AV286" s="3" t="str">
        <f>HYPERLINK("https://www.google.com/maps/place/7.8247367%2C-12.0123617", "7.8247367,-12.0123617")</f>
        <v>7.8247367,-12.0123617</v>
      </c>
    </row>
    <row r="287" ht="15.75" customHeight="1">
      <c r="A287" s="1" t="s">
        <v>1618</v>
      </c>
      <c r="B287" s="1" t="s">
        <v>81</v>
      </c>
      <c r="C287" s="1" t="s">
        <v>1619</v>
      </c>
      <c r="D287" s="1" t="s">
        <v>1619</v>
      </c>
      <c r="E287" s="1" t="s">
        <v>1620</v>
      </c>
      <c r="F287" s="1" t="s">
        <v>64</v>
      </c>
      <c r="G287" s="1">
        <v>400.0</v>
      </c>
      <c r="H287" s="1" t="s">
        <v>50</v>
      </c>
      <c r="I287" s="1">
        <v>60.0</v>
      </c>
      <c r="J287" s="1">
        <v>26.0</v>
      </c>
      <c r="K287" s="1">
        <v>24.0</v>
      </c>
      <c r="L287" s="1">
        <v>34.0</v>
      </c>
      <c r="M287" s="1">
        <v>22.0</v>
      </c>
      <c r="N287" s="1" t="s">
        <v>51</v>
      </c>
      <c r="O287" s="1">
        <v>62.0</v>
      </c>
      <c r="P287" s="1">
        <v>28.0</v>
      </c>
      <c r="Q287" s="1">
        <v>28.0</v>
      </c>
      <c r="R287" s="1">
        <v>34.0</v>
      </c>
      <c r="S287" s="1">
        <v>20.0</v>
      </c>
      <c r="T287" s="1" t="s">
        <v>52</v>
      </c>
      <c r="U287" s="1">
        <v>60.0</v>
      </c>
      <c r="V287" s="1">
        <v>28.0</v>
      </c>
      <c r="W287" s="1">
        <v>28.0</v>
      </c>
      <c r="X287" s="1">
        <v>32.0</v>
      </c>
      <c r="Y287" s="1">
        <v>25.0</v>
      </c>
      <c r="Z287" s="1" t="s">
        <v>53</v>
      </c>
      <c r="AA287" s="1">
        <v>126.0</v>
      </c>
      <c r="AB287" s="1">
        <v>65.0</v>
      </c>
      <c r="AC287" s="1">
        <v>60.0</v>
      </c>
      <c r="AD287" s="1">
        <v>61.0</v>
      </c>
      <c r="AE287" s="1">
        <v>58.0</v>
      </c>
      <c r="AF287" s="1" t="s">
        <v>54</v>
      </c>
      <c r="AG287" s="1">
        <v>132.0</v>
      </c>
      <c r="AH287" s="1">
        <v>64.0</v>
      </c>
      <c r="AI287" s="1">
        <v>59.0</v>
      </c>
      <c r="AJ287" s="1">
        <v>68.0</v>
      </c>
      <c r="AK287" s="1">
        <v>62.0</v>
      </c>
      <c r="AL287" s="1">
        <v>386.0</v>
      </c>
      <c r="AM287" s="1">
        <v>9.0</v>
      </c>
      <c r="AN287" s="1">
        <v>5.0</v>
      </c>
      <c r="AO287" s="1" t="s">
        <v>55</v>
      </c>
      <c r="AP287" s="1" t="s">
        <v>1621</v>
      </c>
      <c r="AQ287" s="3" t="str">
        <f>HYPERLINK("https://icf.clappia.com/app/GMB253374/submission/JTG28256347/ICF247370-GMB253374-5ncagk6h0me400000000/SIG-20250702_144717o37h.jpeg", "SIG-20250702_144717o37h.jpeg")</f>
        <v>SIG-20250702_144717o37h.jpeg</v>
      </c>
      <c r="AR287" s="1" t="s">
        <v>1622</v>
      </c>
      <c r="AS287" s="3" t="str">
        <f>HYPERLINK("https://icf.clappia.com/app/GMB253374/submission/JTG28256347/ICF247370-GMB253374-3f9medm78ego00000000/SIG-20250702_14468gh8i.jpeg", "SIG-20250702_14468gh8i.jpeg")</f>
        <v>SIG-20250702_14468gh8i.jpeg</v>
      </c>
      <c r="AT287" s="1" t="s">
        <v>1623</v>
      </c>
      <c r="AU287" s="3" t="str">
        <f>HYPERLINK("https://icf.clappia.com/app/GMB253374/submission/JTG28256347/ICF247370-GMB253374-2b22n7m871cc00000000/SIG-20250702_1446flid1.jpeg", "SIG-20250702_1446flid1.jpeg")</f>
        <v>SIG-20250702_1446flid1.jpeg</v>
      </c>
      <c r="AV287" s="3" t="str">
        <f>HYPERLINK("https://www.google.com/maps/place/7.9620402%2C-11.743445", "7.9620402,-11.743445")</f>
        <v>7.9620402,-11.743445</v>
      </c>
    </row>
    <row r="288" ht="15.75" customHeight="1">
      <c r="A288" s="1" t="s">
        <v>1624</v>
      </c>
      <c r="B288" s="1" t="s">
        <v>802</v>
      </c>
      <c r="C288" s="1" t="s">
        <v>1625</v>
      </c>
      <c r="D288" s="1" t="s">
        <v>1625</v>
      </c>
      <c r="E288" s="1" t="s">
        <v>1626</v>
      </c>
      <c r="F288" s="1" t="s">
        <v>64</v>
      </c>
      <c r="G288" s="1">
        <v>224.0</v>
      </c>
      <c r="H288" s="1" t="s">
        <v>50</v>
      </c>
      <c r="I288" s="1">
        <v>45.0</v>
      </c>
      <c r="J288" s="1">
        <v>20.0</v>
      </c>
      <c r="K288" s="1">
        <v>18.0</v>
      </c>
      <c r="L288" s="1">
        <v>25.0</v>
      </c>
      <c r="M288" s="1">
        <v>23.0</v>
      </c>
      <c r="N288" s="1" t="s">
        <v>51</v>
      </c>
      <c r="O288" s="1">
        <v>46.0</v>
      </c>
      <c r="P288" s="1">
        <v>24.0</v>
      </c>
      <c r="Q288" s="1">
        <v>23.0</v>
      </c>
      <c r="R288" s="1">
        <v>22.0</v>
      </c>
      <c r="S288" s="1">
        <v>20.0</v>
      </c>
      <c r="T288" s="1" t="s">
        <v>52</v>
      </c>
      <c r="U288" s="1">
        <v>45.0</v>
      </c>
      <c r="V288" s="1">
        <v>20.0</v>
      </c>
      <c r="W288" s="1">
        <v>20.0</v>
      </c>
      <c r="X288" s="1">
        <v>25.0</v>
      </c>
      <c r="Y288" s="1">
        <v>24.0</v>
      </c>
      <c r="Z288" s="1" t="s">
        <v>53</v>
      </c>
      <c r="AA288" s="1">
        <v>48.0</v>
      </c>
      <c r="AB288" s="1">
        <v>28.0</v>
      </c>
      <c r="AC288" s="1">
        <v>26.0</v>
      </c>
      <c r="AD288" s="1">
        <v>20.0</v>
      </c>
      <c r="AE288" s="1">
        <v>20.0</v>
      </c>
      <c r="AF288" s="1" t="s">
        <v>54</v>
      </c>
      <c r="AG288" s="1">
        <v>40.0</v>
      </c>
      <c r="AH288" s="1">
        <v>15.0</v>
      </c>
      <c r="AI288" s="1">
        <v>15.0</v>
      </c>
      <c r="AJ288" s="1">
        <v>25.0</v>
      </c>
      <c r="AK288" s="1">
        <v>25.0</v>
      </c>
      <c r="AL288" s="1">
        <v>214.0</v>
      </c>
      <c r="AM288" s="1">
        <v>10.0</v>
      </c>
      <c r="AN288" s="1" t="s">
        <v>55</v>
      </c>
      <c r="AO288" s="1" t="s">
        <v>55</v>
      </c>
      <c r="AP288" s="1" t="s">
        <v>1627</v>
      </c>
      <c r="AQ288" s="3" t="str">
        <f>HYPERLINK("https://icf.clappia.com/app/GMB253374/submission/CIR41920135/ICF247370-GMB253374-4nhe88ch72mc000000/SIG-20250702_1448jc8mo.jpeg", "SIG-20250702_1448jc8mo.jpeg")</f>
        <v>SIG-20250702_1448jc8mo.jpeg</v>
      </c>
      <c r="AR288" s="1" t="s">
        <v>1628</v>
      </c>
      <c r="AS288" s="3" t="str">
        <f>HYPERLINK("https://icf.clappia.com/app/GMB253374/submission/CIR41920135/ICF247370-GMB253374-49j9j0ap21gk00000000/SIG-20250702_14481di8e.jpeg", "SIG-20250702_14481di8e.jpeg")</f>
        <v>SIG-20250702_14481di8e.jpeg</v>
      </c>
      <c r="AT288" s="1" t="s">
        <v>1629</v>
      </c>
      <c r="AU288" s="3" t="str">
        <f>HYPERLINK("https://icf.clappia.com/app/GMB253374/submission/CIR41920135/ICF247370-GMB253374-3beaoj8hc5hg00000000/SIG-20250702_14491moch.jpeg", "SIG-20250702_14491moch.jpeg")</f>
        <v>SIG-20250702_14491moch.jpeg</v>
      </c>
      <c r="AV288" s="3" t="str">
        <f>HYPERLINK("https://www.google.com/maps/place/7.7041499%2C-11.5267591", "7.7041499,-11.5267591")</f>
        <v>7.7041499,-11.5267591</v>
      </c>
    </row>
    <row r="289" ht="15.75" customHeight="1">
      <c r="A289" s="1" t="s">
        <v>1630</v>
      </c>
      <c r="B289" s="1" t="s">
        <v>161</v>
      </c>
      <c r="C289" s="1" t="s">
        <v>1631</v>
      </c>
      <c r="D289" s="1" t="s">
        <v>1631</v>
      </c>
      <c r="E289" s="1" t="s">
        <v>1632</v>
      </c>
      <c r="F289" s="1" t="s">
        <v>64</v>
      </c>
      <c r="G289" s="1">
        <v>155.0</v>
      </c>
      <c r="H289" s="1" t="s">
        <v>50</v>
      </c>
      <c r="I289" s="1">
        <v>22.0</v>
      </c>
      <c r="J289" s="1">
        <v>10.0</v>
      </c>
      <c r="K289" s="1">
        <v>8.0</v>
      </c>
      <c r="L289" s="1">
        <v>12.0</v>
      </c>
      <c r="M289" s="1">
        <v>10.0</v>
      </c>
      <c r="N289" s="1" t="s">
        <v>51</v>
      </c>
      <c r="O289" s="1">
        <v>25.0</v>
      </c>
      <c r="P289" s="1">
        <v>15.0</v>
      </c>
      <c r="Q289" s="1">
        <v>12.0</v>
      </c>
      <c r="R289" s="1">
        <v>10.0</v>
      </c>
      <c r="S289" s="1">
        <v>7.0</v>
      </c>
      <c r="T289" s="1" t="s">
        <v>52</v>
      </c>
      <c r="U289" s="1">
        <v>18.0</v>
      </c>
      <c r="V289" s="1">
        <v>10.0</v>
      </c>
      <c r="W289" s="1">
        <v>10.0</v>
      </c>
      <c r="X289" s="1">
        <v>8.0</v>
      </c>
      <c r="Y289" s="1">
        <v>8.0</v>
      </c>
      <c r="Z289" s="1" t="s">
        <v>53</v>
      </c>
      <c r="AA289" s="1">
        <v>26.0</v>
      </c>
      <c r="AB289" s="1">
        <v>11.0</v>
      </c>
      <c r="AC289" s="1">
        <v>9.0</v>
      </c>
      <c r="AD289" s="1">
        <v>15.0</v>
      </c>
      <c r="AE289" s="1">
        <v>14.0</v>
      </c>
      <c r="AF289" s="1" t="s">
        <v>54</v>
      </c>
      <c r="AG289" s="1">
        <v>28.0</v>
      </c>
      <c r="AH289" s="1">
        <v>12.0</v>
      </c>
      <c r="AI289" s="1">
        <v>11.0</v>
      </c>
      <c r="AJ289" s="1">
        <v>16.0</v>
      </c>
      <c r="AK289" s="1">
        <v>13.0</v>
      </c>
      <c r="AL289" s="1">
        <v>102.0</v>
      </c>
      <c r="AM289" s="1">
        <v>9.0</v>
      </c>
      <c r="AN289" s="1">
        <v>44.0</v>
      </c>
      <c r="AO289" s="1">
        <v>44.0</v>
      </c>
      <c r="AP289" s="1" t="s">
        <v>708</v>
      </c>
      <c r="AQ289" s="3" t="str">
        <f>HYPERLINK("https://icf.clappia.com/app/GMB253374/submission/HKV63821111/ICF247370-GMB253374-3519hfl938lc00000000/SIG-20250702_144014dn4f.jpeg", "SIG-20250702_144014dn4f.jpeg")</f>
        <v>SIG-20250702_144014dn4f.jpeg</v>
      </c>
      <c r="AR289" s="1" t="s">
        <v>709</v>
      </c>
      <c r="AS289" s="3" t="str">
        <f>HYPERLINK("https://icf.clappia.com/app/GMB253374/submission/HKV63821111/ICF247370-GMB253374-1ib0gcp9n3j7m0000000/SIG-20250702_14442g37c.jpeg", "SIG-20250702_14442g37c.jpeg")</f>
        <v>SIG-20250702_14442g37c.jpeg</v>
      </c>
      <c r="AT289" s="1" t="s">
        <v>710</v>
      </c>
      <c r="AU289" s="3" t="str">
        <f>HYPERLINK("https://icf.clappia.com/app/GMB253374/submission/HKV63821111/ICF247370-GMB253374-6b5o264popm600000000/SIG-20250702_1444ko9k7.jpeg", "SIG-20250702_1444ko9k7.jpeg")</f>
        <v>SIG-20250702_1444ko9k7.jpeg</v>
      </c>
      <c r="AV289" s="3" t="str">
        <f>HYPERLINK("https://www.google.com/maps/place/7.9374717%2C-11.7023033", "7.9374717,-11.7023033")</f>
        <v>7.9374717,-11.7023033</v>
      </c>
    </row>
    <row r="290" ht="15.75" customHeight="1">
      <c r="A290" s="1" t="s">
        <v>1633</v>
      </c>
      <c r="B290" s="1" t="s">
        <v>81</v>
      </c>
      <c r="C290" s="1" t="s">
        <v>1634</v>
      </c>
      <c r="D290" s="1" t="s">
        <v>1634</v>
      </c>
      <c r="E290" s="1" t="s">
        <v>1635</v>
      </c>
      <c r="F290" s="1" t="s">
        <v>64</v>
      </c>
      <c r="G290" s="1">
        <v>191.0</v>
      </c>
      <c r="H290" s="1" t="s">
        <v>50</v>
      </c>
      <c r="I290" s="1">
        <v>37.0</v>
      </c>
      <c r="J290" s="1">
        <v>21.0</v>
      </c>
      <c r="K290" s="1">
        <v>21.0</v>
      </c>
      <c r="L290" s="1">
        <v>16.0</v>
      </c>
      <c r="M290" s="1">
        <v>16.0</v>
      </c>
      <c r="N290" s="1" t="s">
        <v>51</v>
      </c>
      <c r="O290" s="1">
        <v>33.0</v>
      </c>
      <c r="P290" s="1">
        <v>13.0</v>
      </c>
      <c r="Q290" s="1">
        <v>13.0</v>
      </c>
      <c r="R290" s="1">
        <v>20.0</v>
      </c>
      <c r="S290" s="1">
        <v>20.0</v>
      </c>
      <c r="T290" s="1" t="s">
        <v>52</v>
      </c>
      <c r="U290" s="1">
        <v>51.0</v>
      </c>
      <c r="V290" s="1">
        <v>28.0</v>
      </c>
      <c r="W290" s="1">
        <v>28.0</v>
      </c>
      <c r="X290" s="1">
        <v>23.0</v>
      </c>
      <c r="Y290" s="1">
        <v>23.0</v>
      </c>
      <c r="Z290" s="1" t="s">
        <v>53</v>
      </c>
      <c r="AA290" s="1">
        <v>43.0</v>
      </c>
      <c r="AB290" s="1">
        <v>18.0</v>
      </c>
      <c r="AC290" s="1">
        <v>18.0</v>
      </c>
      <c r="AD290" s="1">
        <v>25.0</v>
      </c>
      <c r="AE290" s="1">
        <v>25.0</v>
      </c>
      <c r="AF290" s="1" t="s">
        <v>54</v>
      </c>
      <c r="AG290" s="1">
        <v>27.0</v>
      </c>
      <c r="AH290" s="1">
        <v>16.0</v>
      </c>
      <c r="AI290" s="1">
        <v>16.0</v>
      </c>
      <c r="AJ290" s="1">
        <v>11.0</v>
      </c>
      <c r="AK290" s="1">
        <v>11.0</v>
      </c>
      <c r="AL290" s="1">
        <v>191.0</v>
      </c>
      <c r="AM290" s="1" t="s">
        <v>55</v>
      </c>
      <c r="AN290" s="1" t="s">
        <v>55</v>
      </c>
      <c r="AO290" s="1" t="s">
        <v>55</v>
      </c>
      <c r="AP290" s="1" t="s">
        <v>1155</v>
      </c>
      <c r="AQ290" s="3" t="str">
        <f>HYPERLINK("https://icf.clappia.com/app/GMB253374/submission/UTR92654469/ICF247370-GMB253374-ggljcja775p20000000/SIG-20250702_1326k1b6a.jpeg", "SIG-20250702_1326k1b6a.jpeg")</f>
        <v>SIG-20250702_1326k1b6a.jpeg</v>
      </c>
      <c r="AR290" s="1" t="s">
        <v>1636</v>
      </c>
      <c r="AS290" s="3" t="str">
        <f>HYPERLINK("https://icf.clappia.com/app/GMB253374/submission/UTR92654469/ICF247370-GMB253374-243l36eea55oe0000000/SIG-20250702_1338o37l4.jpeg", "SIG-20250702_1338o37l4.jpeg")</f>
        <v>SIG-20250702_1338o37l4.jpeg</v>
      </c>
      <c r="AT290" s="1" t="s">
        <v>1157</v>
      </c>
      <c r="AU290" s="3" t="str">
        <f>HYPERLINK("https://icf.clappia.com/app/GMB253374/submission/UTR92654469/ICF247370-GMB253374-18l17k1011o5m0000000/SIG-20250702_1330l14c2.jpeg", "SIG-20250702_1330l14c2.jpeg")</f>
        <v>SIG-20250702_1330l14c2.jpeg</v>
      </c>
      <c r="AV290" s="3" t="str">
        <f>HYPERLINK("https://www.google.com/maps/place/7.97302%2C-11.7461317", "7.97302,-11.7461317")</f>
        <v>7.97302,-11.7461317</v>
      </c>
    </row>
    <row r="291" ht="15.75" customHeight="1">
      <c r="A291" s="1" t="s">
        <v>1637</v>
      </c>
      <c r="B291" s="1" t="s">
        <v>528</v>
      </c>
      <c r="C291" s="1" t="s">
        <v>1638</v>
      </c>
      <c r="D291" s="1" t="s">
        <v>1638</v>
      </c>
      <c r="E291" s="1" t="s">
        <v>1639</v>
      </c>
      <c r="F291" s="1" t="s">
        <v>64</v>
      </c>
      <c r="G291" s="1">
        <v>200.0</v>
      </c>
      <c r="H291" s="1" t="s">
        <v>50</v>
      </c>
      <c r="I291" s="1">
        <v>40.0</v>
      </c>
      <c r="J291" s="1">
        <v>20.0</v>
      </c>
      <c r="K291" s="1">
        <v>20.0</v>
      </c>
      <c r="L291" s="1">
        <v>20.0</v>
      </c>
      <c r="M291" s="1">
        <v>20.0</v>
      </c>
      <c r="N291" s="1" t="s">
        <v>51</v>
      </c>
      <c r="O291" s="1">
        <v>26.0</v>
      </c>
      <c r="P291" s="1">
        <v>13.0</v>
      </c>
      <c r="Q291" s="1">
        <v>13.0</v>
      </c>
      <c r="R291" s="1">
        <v>13.0</v>
      </c>
      <c r="S291" s="1">
        <v>13.0</v>
      </c>
      <c r="T291" s="1" t="s">
        <v>52</v>
      </c>
      <c r="U291" s="1">
        <v>30.0</v>
      </c>
      <c r="V291" s="1">
        <v>15.0</v>
      </c>
      <c r="W291" s="1">
        <v>15.0</v>
      </c>
      <c r="X291" s="1">
        <v>15.0</v>
      </c>
      <c r="Y291" s="1">
        <v>15.0</v>
      </c>
      <c r="Z291" s="1" t="s">
        <v>53</v>
      </c>
      <c r="AA291" s="1">
        <v>25.0</v>
      </c>
      <c r="AB291" s="1">
        <v>15.0</v>
      </c>
      <c r="AC291" s="1">
        <v>15.0</v>
      </c>
      <c r="AD291" s="1">
        <v>10.0</v>
      </c>
      <c r="AE291" s="1">
        <v>10.0</v>
      </c>
      <c r="AF291" s="1" t="s">
        <v>54</v>
      </c>
      <c r="AG291" s="1">
        <v>29.0</v>
      </c>
      <c r="AH291" s="1">
        <v>13.0</v>
      </c>
      <c r="AI291" s="1">
        <v>13.0</v>
      </c>
      <c r="AJ291" s="1">
        <v>16.0</v>
      </c>
      <c r="AK291" s="1">
        <v>16.0</v>
      </c>
      <c r="AL291" s="1">
        <v>150.0</v>
      </c>
      <c r="AM291" s="1" t="s">
        <v>55</v>
      </c>
      <c r="AN291" s="1">
        <v>50.0</v>
      </c>
      <c r="AO291" s="1">
        <v>50.0</v>
      </c>
      <c r="AP291" s="1" t="s">
        <v>1640</v>
      </c>
      <c r="AQ291" s="3" t="str">
        <f>HYPERLINK("https://icf.clappia.com/app/GMB253374/submission/WRG87630314/ICF247370-GMB253374-4pplm3adndem00000000/SIG-20250701_1535hl8bn.jpeg", "SIG-20250701_1535hl8bn.jpeg")</f>
        <v>SIG-20250701_1535hl8bn.jpeg</v>
      </c>
      <c r="AR291" s="1" t="s">
        <v>1641</v>
      </c>
      <c r="AS291" s="3" t="str">
        <f>HYPERLINK("https://icf.clappia.com/app/GMB253374/submission/WRG87630314/ICF247370-GMB253374-3117pbmdh31600000000/SIG-20250701_15366f6c7.jpeg", "SIG-20250701_15366f6c7.jpeg")</f>
        <v>SIG-20250701_15366f6c7.jpeg</v>
      </c>
      <c r="AT291" s="1" t="s">
        <v>1642</v>
      </c>
      <c r="AU291" s="3" t="str">
        <f>HYPERLINK("https://icf.clappia.com/app/GMB253374/submission/WRG87630314/ICF247370-GMB253374-6636lm1c071i00000000/SIG-20250701_1536aak2.jpeg", "SIG-20250701_1536aak2.jpeg")</f>
        <v>SIG-20250701_1536aak2.jpeg</v>
      </c>
      <c r="AV291" s="3" t="str">
        <f>HYPERLINK("https://www.google.com/maps/place/7.7099523%2C-11.6927751", "7.7099523,-11.6927751")</f>
        <v>7.7099523,-11.6927751</v>
      </c>
    </row>
    <row r="292" ht="15.75" customHeight="1">
      <c r="A292" s="1" t="s">
        <v>1643</v>
      </c>
      <c r="B292" s="1" t="s">
        <v>528</v>
      </c>
      <c r="C292" s="1" t="s">
        <v>1644</v>
      </c>
      <c r="D292" s="1" t="s">
        <v>1645</v>
      </c>
      <c r="E292" s="1" t="s">
        <v>1646</v>
      </c>
      <c r="F292" s="1" t="s">
        <v>64</v>
      </c>
      <c r="G292" s="1">
        <v>164.0</v>
      </c>
      <c r="H292" s="1" t="s">
        <v>50</v>
      </c>
      <c r="I292" s="1">
        <v>69.0</v>
      </c>
      <c r="J292" s="1">
        <v>37.0</v>
      </c>
      <c r="K292" s="1">
        <v>37.0</v>
      </c>
      <c r="L292" s="1">
        <v>32.0</v>
      </c>
      <c r="M292" s="1">
        <v>32.0</v>
      </c>
      <c r="N292" s="1" t="s">
        <v>51</v>
      </c>
      <c r="O292" s="1">
        <v>44.0</v>
      </c>
      <c r="P292" s="1">
        <v>23.0</v>
      </c>
      <c r="Q292" s="1">
        <v>23.0</v>
      </c>
      <c r="R292" s="1">
        <v>21.0</v>
      </c>
      <c r="S292" s="1">
        <v>21.0</v>
      </c>
      <c r="T292" s="1" t="s">
        <v>52</v>
      </c>
      <c r="U292" s="1">
        <v>26.0</v>
      </c>
      <c r="V292" s="1">
        <v>11.0</v>
      </c>
      <c r="W292" s="1">
        <v>9.0</v>
      </c>
      <c r="X292" s="1">
        <v>15.0</v>
      </c>
      <c r="Y292" s="1">
        <v>14.0</v>
      </c>
      <c r="Z292" s="1" t="s">
        <v>53</v>
      </c>
      <c r="AA292" s="1">
        <v>16.0</v>
      </c>
      <c r="AB292" s="1">
        <v>9.0</v>
      </c>
      <c r="AC292" s="1">
        <v>8.0</v>
      </c>
      <c r="AD292" s="1">
        <v>7.0</v>
      </c>
      <c r="AE292" s="1">
        <v>7.0</v>
      </c>
      <c r="AF292" s="1" t="s">
        <v>54</v>
      </c>
      <c r="AG292" s="1">
        <v>9.0</v>
      </c>
      <c r="AH292" s="1">
        <v>8.0</v>
      </c>
      <c r="AI292" s="1">
        <v>8.0</v>
      </c>
      <c r="AJ292" s="1">
        <v>1.0</v>
      </c>
      <c r="AK292" s="1">
        <v>1.0</v>
      </c>
      <c r="AL292" s="1">
        <v>160.0</v>
      </c>
      <c r="AM292" s="1">
        <v>4.0</v>
      </c>
      <c r="AN292" s="1" t="s">
        <v>55</v>
      </c>
      <c r="AO292" s="1" t="s">
        <v>55</v>
      </c>
      <c r="AP292" s="1" t="s">
        <v>1647</v>
      </c>
      <c r="AQ292" s="3" t="str">
        <f>HYPERLINK("https://icf.clappia.com/app/GMB253374/submission/ANY80865210/ICF247370-GMB253374-28ilnbd6kh9o4000000/SIG-20250702_1008h0c7k.jpeg", "SIG-20250702_1008h0c7k.jpeg")</f>
        <v>SIG-20250702_1008h0c7k.jpeg</v>
      </c>
      <c r="AR292" s="1" t="s">
        <v>1648</v>
      </c>
      <c r="AS292" s="3" t="str">
        <f>HYPERLINK("https://icf.clappia.com/app/GMB253374/submission/ANY80865210/ICF247370-GMB253374-3e521ellkbog00000000/SIG-20250702_1008m37mi.jpeg", "SIG-20250702_1008m37mi.jpeg")</f>
        <v>SIG-20250702_1008m37mi.jpeg</v>
      </c>
      <c r="AT292" s="1" t="s">
        <v>1649</v>
      </c>
      <c r="AU292" s="3" t="str">
        <f>HYPERLINK("https://icf.clappia.com/app/GMB253374/submission/ANY80865210/ICF247370-GMB253374-52d5j3gmi28o00000000/SIG-20250702_1009150fal.jpeg", "SIG-20250702_1009150fal.jpeg")</f>
        <v>SIG-20250702_1009150fal.jpeg</v>
      </c>
      <c r="AV292" s="3" t="str">
        <f>HYPERLINK("https://www.google.com/maps/place/7.7270917%2C-11.63643", "7.7270917,-11.63643")</f>
        <v>7.7270917,-11.63643</v>
      </c>
    </row>
    <row r="293" ht="15.75" customHeight="1">
      <c r="A293" s="1" t="s">
        <v>1650</v>
      </c>
      <c r="B293" s="1" t="s">
        <v>528</v>
      </c>
      <c r="C293" s="1" t="s">
        <v>1651</v>
      </c>
      <c r="D293" s="1" t="s">
        <v>1652</v>
      </c>
      <c r="E293" s="1" t="s">
        <v>1653</v>
      </c>
      <c r="F293" s="1" t="s">
        <v>64</v>
      </c>
      <c r="G293" s="1">
        <v>257.0</v>
      </c>
      <c r="H293" s="1" t="s">
        <v>50</v>
      </c>
      <c r="I293" s="1">
        <v>65.0</v>
      </c>
      <c r="J293" s="1">
        <v>35.0</v>
      </c>
      <c r="K293" s="1">
        <v>35.0</v>
      </c>
      <c r="L293" s="1">
        <v>30.0</v>
      </c>
      <c r="M293" s="1">
        <v>30.0</v>
      </c>
      <c r="N293" s="1" t="s">
        <v>51</v>
      </c>
      <c r="O293" s="1">
        <v>56.0</v>
      </c>
      <c r="P293" s="1">
        <v>30.0</v>
      </c>
      <c r="Q293" s="1">
        <v>30.0</v>
      </c>
      <c r="R293" s="1">
        <v>26.0</v>
      </c>
      <c r="S293" s="1">
        <v>26.0</v>
      </c>
      <c r="T293" s="1" t="s">
        <v>52</v>
      </c>
      <c r="U293" s="1">
        <v>50.0</v>
      </c>
      <c r="V293" s="1">
        <v>26.0</v>
      </c>
      <c r="W293" s="1">
        <v>24.0</v>
      </c>
      <c r="X293" s="1">
        <v>24.0</v>
      </c>
      <c r="Y293" s="1">
        <v>23.0</v>
      </c>
      <c r="Z293" s="1" t="s">
        <v>53</v>
      </c>
      <c r="AA293" s="1">
        <v>44.0</v>
      </c>
      <c r="AB293" s="1">
        <v>20.0</v>
      </c>
      <c r="AC293" s="1">
        <v>19.0</v>
      </c>
      <c r="AD293" s="1">
        <v>24.0</v>
      </c>
      <c r="AE293" s="1">
        <v>22.0</v>
      </c>
      <c r="AF293" s="1" t="s">
        <v>54</v>
      </c>
      <c r="AG293" s="1">
        <v>42.0</v>
      </c>
      <c r="AH293" s="1">
        <v>20.0</v>
      </c>
      <c r="AI293" s="1">
        <v>20.0</v>
      </c>
      <c r="AJ293" s="1">
        <v>22.0</v>
      </c>
      <c r="AK293" s="1">
        <v>22.0</v>
      </c>
      <c r="AL293" s="1">
        <v>251.0</v>
      </c>
      <c r="AM293" s="1">
        <v>6.0</v>
      </c>
      <c r="AN293" s="1" t="s">
        <v>55</v>
      </c>
      <c r="AO293" s="1" t="s">
        <v>55</v>
      </c>
      <c r="AP293" s="1" t="s">
        <v>1647</v>
      </c>
      <c r="AQ293" s="3" t="str">
        <f>HYPERLINK("https://icf.clappia.com/app/GMB253374/submission/VJN42739522/ICF247370-GMB253374-3ga1fe3jk8je00000000/SIG-20250701_194755off.jpeg", "SIG-20250701_194755off.jpeg")</f>
        <v>SIG-20250701_194755off.jpeg</v>
      </c>
      <c r="AR293" s="1" t="s">
        <v>1648</v>
      </c>
      <c r="AS293" s="3" t="str">
        <f>HYPERLINK("https://icf.clappia.com/app/GMB253374/submission/VJN42739522/ICF247370-GMB253374-51f17e87f92200000000/SIG-20250701_1947nchlp.jpeg", "SIG-20250701_1947nchlp.jpeg")</f>
        <v>SIG-20250701_1947nchlp.jpeg</v>
      </c>
      <c r="AT293" s="1" t="s">
        <v>1649</v>
      </c>
      <c r="AU293" s="3" t="str">
        <f>HYPERLINK("https://icf.clappia.com/app/GMB253374/submission/VJN42739522/ICF247370-GMB253374-4bgk215ho5fk00000000/SIG-20250701_1948179i5p.jpeg", "SIG-20250701_1948179i5p.jpeg")</f>
        <v>SIG-20250701_1948179i5p.jpeg</v>
      </c>
      <c r="AV293" s="3" t="str">
        <f>HYPERLINK("https://www.google.com/maps/place/7.7490983%2C-11.61335", "7.7490983,-11.61335")</f>
        <v>7.7490983,-11.61335</v>
      </c>
    </row>
    <row r="294" ht="15.75" customHeight="1">
      <c r="A294" s="1" t="s">
        <v>1654</v>
      </c>
      <c r="B294" s="1" t="s">
        <v>528</v>
      </c>
      <c r="C294" s="1" t="s">
        <v>1655</v>
      </c>
      <c r="D294" s="1" t="s">
        <v>1652</v>
      </c>
      <c r="E294" s="1" t="s">
        <v>1656</v>
      </c>
      <c r="F294" s="1" t="s">
        <v>64</v>
      </c>
      <c r="G294" s="1">
        <v>48.0</v>
      </c>
      <c r="H294" s="1" t="s">
        <v>50</v>
      </c>
      <c r="I294" s="1">
        <v>15.0</v>
      </c>
      <c r="J294" s="1">
        <v>10.0</v>
      </c>
      <c r="K294" s="1">
        <v>10.0</v>
      </c>
      <c r="L294" s="1">
        <v>5.0</v>
      </c>
      <c r="M294" s="1">
        <v>5.0</v>
      </c>
      <c r="N294" s="1" t="s">
        <v>51</v>
      </c>
      <c r="O294" s="1">
        <v>10.0</v>
      </c>
      <c r="P294" s="1">
        <v>5.0</v>
      </c>
      <c r="Q294" s="1">
        <v>5.0</v>
      </c>
      <c r="R294" s="1">
        <v>5.0</v>
      </c>
      <c r="S294" s="1">
        <v>5.0</v>
      </c>
      <c r="T294" s="1" t="s">
        <v>52</v>
      </c>
      <c r="U294" s="1">
        <v>8.0</v>
      </c>
      <c r="V294" s="1">
        <v>4.0</v>
      </c>
      <c r="W294" s="1">
        <v>4.0</v>
      </c>
      <c r="X294" s="1">
        <v>4.0</v>
      </c>
      <c r="Y294" s="1">
        <v>4.0</v>
      </c>
      <c r="Z294" s="1" t="s">
        <v>53</v>
      </c>
      <c r="AA294" s="1">
        <v>8.0</v>
      </c>
      <c r="AB294" s="1">
        <v>4.0</v>
      </c>
      <c r="AC294" s="1">
        <v>4.0</v>
      </c>
      <c r="AD294" s="1">
        <v>4.0</v>
      </c>
      <c r="AE294" s="1">
        <v>4.0</v>
      </c>
      <c r="AF294" s="1" t="s">
        <v>54</v>
      </c>
      <c r="AG294" s="1">
        <v>7.0</v>
      </c>
      <c r="AH294" s="1">
        <v>4.0</v>
      </c>
      <c r="AI294" s="1">
        <v>4.0</v>
      </c>
      <c r="AJ294" s="1">
        <v>3.0</v>
      </c>
      <c r="AK294" s="1">
        <v>3.0</v>
      </c>
      <c r="AL294" s="1">
        <v>48.0</v>
      </c>
      <c r="AM294" s="1" t="s">
        <v>55</v>
      </c>
      <c r="AN294" s="1" t="s">
        <v>55</v>
      </c>
      <c r="AO294" s="1" t="s">
        <v>55</v>
      </c>
      <c r="AP294" s="1" t="s">
        <v>1647</v>
      </c>
      <c r="AQ294" s="3" t="str">
        <f>HYPERLINK("https://icf.clappia.com/app/GMB253374/submission/AXJ78647257/ICF247370-GMB253374-329m98n061l000000000/SIG-20250701_192014lo3j.jpeg", "SIG-20250701_192014lo3j.jpeg")</f>
        <v>SIG-20250701_192014lo3j.jpeg</v>
      </c>
      <c r="AR294" s="1" t="s">
        <v>1648</v>
      </c>
      <c r="AS294" s="3" t="str">
        <f>HYPERLINK("https://icf.clappia.com/app/GMB253374/submission/AXJ78647257/ICF247370-GMB253374-8amgd3ohafpa0000000/SIG-20250701_19213gkf5.jpeg", "SIG-20250701_19213gkf5.jpeg")</f>
        <v>SIG-20250701_19213gkf5.jpeg</v>
      </c>
      <c r="AT294" s="1" t="s">
        <v>1649</v>
      </c>
      <c r="AU294" s="3" t="str">
        <f>HYPERLINK("https://icf.clappia.com/app/GMB253374/submission/AXJ78647257/ICF247370-GMB253374-3aoc8b9ac9gg00000000/SIG-20250701_1923424hi.jpeg", "SIG-20250701_1923424hi.jpeg")</f>
        <v>SIG-20250701_1923424hi.jpeg</v>
      </c>
      <c r="AV294" s="3" t="str">
        <f>HYPERLINK("https://www.google.com/maps/place/7.7825017%2C-11.5666933", "7.7825017,-11.5666933")</f>
        <v>7.7825017,-11.5666933</v>
      </c>
    </row>
    <row r="295" ht="15.75" customHeight="1">
      <c r="A295" s="1" t="s">
        <v>1657</v>
      </c>
      <c r="B295" s="1" t="s">
        <v>1521</v>
      </c>
      <c r="C295" s="1" t="s">
        <v>1658</v>
      </c>
      <c r="D295" s="1" t="s">
        <v>1658</v>
      </c>
      <c r="E295" s="1" t="s">
        <v>1659</v>
      </c>
      <c r="F295" s="1" t="s">
        <v>64</v>
      </c>
      <c r="G295" s="1">
        <v>300.0</v>
      </c>
      <c r="H295" s="1" t="s">
        <v>50</v>
      </c>
      <c r="I295" s="1">
        <v>101.0</v>
      </c>
      <c r="J295" s="1">
        <v>50.0</v>
      </c>
      <c r="K295" s="1">
        <v>49.0</v>
      </c>
      <c r="L295" s="1">
        <v>51.0</v>
      </c>
      <c r="M295" s="1">
        <v>50.0</v>
      </c>
      <c r="N295" s="1" t="s">
        <v>51</v>
      </c>
      <c r="O295" s="1">
        <v>43.0</v>
      </c>
      <c r="P295" s="1">
        <v>22.0</v>
      </c>
      <c r="Q295" s="1">
        <v>21.0</v>
      </c>
      <c r="R295" s="1">
        <v>21.0</v>
      </c>
      <c r="S295" s="1">
        <v>20.0</v>
      </c>
      <c r="T295" s="1" t="s">
        <v>52</v>
      </c>
      <c r="U295" s="1">
        <v>33.0</v>
      </c>
      <c r="V295" s="1">
        <v>18.0</v>
      </c>
      <c r="W295" s="1">
        <v>18.0</v>
      </c>
      <c r="X295" s="1">
        <v>15.0</v>
      </c>
      <c r="Y295" s="1">
        <v>14.0</v>
      </c>
      <c r="Z295" s="1" t="s">
        <v>53</v>
      </c>
      <c r="AA295" s="1">
        <v>37.0</v>
      </c>
      <c r="AB295" s="1">
        <v>21.0</v>
      </c>
      <c r="AC295" s="1">
        <v>20.0</v>
      </c>
      <c r="AD295" s="1">
        <v>16.0</v>
      </c>
      <c r="AE295" s="1">
        <v>16.0</v>
      </c>
      <c r="AF295" s="1" t="s">
        <v>54</v>
      </c>
      <c r="AG295" s="1">
        <v>33.0</v>
      </c>
      <c r="AH295" s="1">
        <v>15.0</v>
      </c>
      <c r="AI295" s="1">
        <v>15.0</v>
      </c>
      <c r="AJ295" s="1">
        <v>18.0</v>
      </c>
      <c r="AK295" s="1">
        <v>18.0</v>
      </c>
      <c r="AL295" s="1">
        <v>241.0</v>
      </c>
      <c r="AM295" s="1">
        <v>3.0</v>
      </c>
      <c r="AN295" s="1">
        <v>56.0</v>
      </c>
      <c r="AO295" s="1">
        <v>56.0</v>
      </c>
      <c r="AP295" s="1" t="s">
        <v>1660</v>
      </c>
      <c r="AQ295" s="3" t="str">
        <f>HYPERLINK("https://icf.clappia.com/app/GMB253374/submission/UMN50508415/ICF247370-GMB253374-5292difdm8mk00000000/SIG-20250702_141919af6h.jpeg", "SIG-20250702_141919af6h.jpeg")</f>
        <v>SIG-20250702_141919af6h.jpeg</v>
      </c>
      <c r="AR295" s="1" t="s">
        <v>1661</v>
      </c>
      <c r="AS295" s="3" t="str">
        <f>HYPERLINK("https://icf.clappia.com/app/GMB253374/submission/UMN50508415/ICF247370-GMB253374-4a39lgdeglpg00000000/SIG-20250702_1419fihdn.jpeg", "SIG-20250702_1419fihdn.jpeg")</f>
        <v>SIG-20250702_1419fihdn.jpeg</v>
      </c>
      <c r="AT295" s="1" t="s">
        <v>1662</v>
      </c>
      <c r="AU295" s="3" t="str">
        <f>HYPERLINK("https://icf.clappia.com/app/GMB253374/submission/UMN50508415/ICF247370-GMB253374-ka1inacfp0i40000000/SIG-20250702_1424bd5pi.jpeg", "SIG-20250702_1424bd5pi.jpeg")</f>
        <v>SIG-20250702_1424bd5pi.jpeg</v>
      </c>
      <c r="AV295" s="3" t="str">
        <f>HYPERLINK("https://www.google.com/maps/place/8.1166818%2C-11.8576313", "8.1166818,-11.8576313")</f>
        <v>8.1166818,-11.8576313</v>
      </c>
    </row>
    <row r="296" ht="15.75" customHeight="1">
      <c r="A296" s="1" t="s">
        <v>1663</v>
      </c>
      <c r="B296" s="1" t="s">
        <v>46</v>
      </c>
      <c r="C296" s="1" t="s">
        <v>1664</v>
      </c>
      <c r="D296" s="1" t="s">
        <v>1664</v>
      </c>
      <c r="E296" s="1" t="s">
        <v>1665</v>
      </c>
      <c r="F296" s="1" t="s">
        <v>64</v>
      </c>
      <c r="G296" s="1">
        <v>76.0</v>
      </c>
      <c r="H296" s="1" t="s">
        <v>50</v>
      </c>
      <c r="I296" s="1">
        <v>15.0</v>
      </c>
      <c r="J296" s="1">
        <v>7.0</v>
      </c>
      <c r="K296" s="1">
        <v>7.0</v>
      </c>
      <c r="L296" s="1">
        <v>8.0</v>
      </c>
      <c r="M296" s="1">
        <v>8.0</v>
      </c>
      <c r="N296" s="1" t="s">
        <v>51</v>
      </c>
      <c r="O296" s="1">
        <v>10.0</v>
      </c>
      <c r="P296" s="1">
        <v>4.0</v>
      </c>
      <c r="Q296" s="1">
        <v>4.0</v>
      </c>
      <c r="R296" s="1">
        <v>6.0</v>
      </c>
      <c r="S296" s="1">
        <v>6.0</v>
      </c>
      <c r="T296" s="1" t="s">
        <v>52</v>
      </c>
      <c r="U296" s="1">
        <v>14.0</v>
      </c>
      <c r="V296" s="1">
        <v>9.0</v>
      </c>
      <c r="W296" s="1">
        <v>9.0</v>
      </c>
      <c r="X296" s="1">
        <v>5.0</v>
      </c>
      <c r="Y296" s="1">
        <v>5.0</v>
      </c>
      <c r="Z296" s="1" t="s">
        <v>53</v>
      </c>
      <c r="AA296" s="1">
        <v>15.0</v>
      </c>
      <c r="AB296" s="1">
        <v>9.0</v>
      </c>
      <c r="AC296" s="1">
        <v>9.0</v>
      </c>
      <c r="AD296" s="1">
        <v>6.0</v>
      </c>
      <c r="AE296" s="1">
        <v>6.0</v>
      </c>
      <c r="AF296" s="1" t="s">
        <v>54</v>
      </c>
      <c r="AG296" s="1">
        <v>12.0</v>
      </c>
      <c r="AH296" s="1">
        <v>7.0</v>
      </c>
      <c r="AI296" s="1">
        <v>7.0</v>
      </c>
      <c r="AJ296" s="1">
        <v>5.0</v>
      </c>
      <c r="AK296" s="1">
        <v>5.0</v>
      </c>
      <c r="AL296" s="1">
        <v>66.0</v>
      </c>
      <c r="AM296" s="1" t="s">
        <v>55</v>
      </c>
      <c r="AN296" s="1">
        <v>10.0</v>
      </c>
      <c r="AO296" s="1">
        <v>10.0</v>
      </c>
      <c r="AP296" s="1" t="s">
        <v>1666</v>
      </c>
      <c r="AQ296" s="3" t="str">
        <f>HYPERLINK("https://icf.clappia.com/app/GMB253374/submission/AKV36811629/ICF247370-GMB253374-2cdc3ncjb9e400000000/SIG-20250702_1147koo92.jpeg", "SIG-20250702_1147koo92.jpeg")</f>
        <v>SIG-20250702_1147koo92.jpeg</v>
      </c>
      <c r="AR296" s="1" t="s">
        <v>1469</v>
      </c>
      <c r="AS296" s="3" t="str">
        <f>HYPERLINK("https://icf.clappia.com/app/GMB253374/submission/AKV36811629/ICF247370-GMB253374-475nlo00cod400000000/SIG-20250702_114610oo0d.jpeg", "SIG-20250702_114610oo0d.jpeg")</f>
        <v>SIG-20250702_114610oo0d.jpeg</v>
      </c>
      <c r="AT296" s="1" t="s">
        <v>1667</v>
      </c>
      <c r="AU296" s="3" t="str">
        <f>HYPERLINK("https://icf.clappia.com/app/GMB253374/submission/AKV36811629/ICF247370-GMB253374-61mono3a43m000000000/SIG-20250702_1130964m2.jpeg", "SIG-20250702_1130964m2.jpeg")</f>
        <v>SIG-20250702_1130964m2.jpeg</v>
      </c>
      <c r="AV296" s="3" t="str">
        <f>HYPERLINK("https://www.google.com/maps/place/8.9224381%2C-12.0318298", "8.9224381,-12.0318298")</f>
        <v>8.9224381,-12.0318298</v>
      </c>
    </row>
    <row r="297" ht="15.75" customHeight="1">
      <c r="A297" s="1" t="s">
        <v>1668</v>
      </c>
      <c r="B297" s="1" t="s">
        <v>802</v>
      </c>
      <c r="C297" s="1" t="s">
        <v>1669</v>
      </c>
      <c r="D297" s="1" t="s">
        <v>1669</v>
      </c>
      <c r="E297" s="1" t="s">
        <v>1670</v>
      </c>
      <c r="F297" s="1" t="s">
        <v>64</v>
      </c>
      <c r="G297" s="1">
        <v>166.0</v>
      </c>
      <c r="H297" s="1" t="s">
        <v>50</v>
      </c>
      <c r="I297" s="1">
        <v>51.0</v>
      </c>
      <c r="J297" s="1">
        <v>31.0</v>
      </c>
      <c r="K297" s="1">
        <v>29.0</v>
      </c>
      <c r="L297" s="1">
        <v>20.0</v>
      </c>
      <c r="M297" s="1">
        <v>17.0</v>
      </c>
      <c r="N297" s="1" t="s">
        <v>51</v>
      </c>
      <c r="O297" s="1">
        <v>43.0</v>
      </c>
      <c r="P297" s="1">
        <v>25.0</v>
      </c>
      <c r="Q297" s="1">
        <v>23.0</v>
      </c>
      <c r="R297" s="1">
        <v>18.0</v>
      </c>
      <c r="S297" s="1">
        <v>16.0</v>
      </c>
      <c r="T297" s="1" t="s">
        <v>52</v>
      </c>
      <c r="U297" s="1">
        <v>27.0</v>
      </c>
      <c r="V297" s="1">
        <v>15.0</v>
      </c>
      <c r="W297" s="1">
        <v>13.0</v>
      </c>
      <c r="X297" s="1">
        <v>12.0</v>
      </c>
      <c r="Y297" s="1">
        <v>10.0</v>
      </c>
      <c r="Z297" s="1" t="s">
        <v>53</v>
      </c>
      <c r="AA297" s="1">
        <v>19.0</v>
      </c>
      <c r="AB297" s="1">
        <v>10.0</v>
      </c>
      <c r="AC297" s="1">
        <v>10.0</v>
      </c>
      <c r="AD297" s="1">
        <v>9.0</v>
      </c>
      <c r="AE297" s="1">
        <v>7.0</v>
      </c>
      <c r="AF297" s="1" t="s">
        <v>54</v>
      </c>
      <c r="AG297" s="1">
        <v>26.0</v>
      </c>
      <c r="AH297" s="1">
        <v>13.0</v>
      </c>
      <c r="AI297" s="1">
        <v>12.0</v>
      </c>
      <c r="AJ297" s="1">
        <v>13.0</v>
      </c>
      <c r="AK297" s="1">
        <v>13.0</v>
      </c>
      <c r="AL297" s="1">
        <v>150.0</v>
      </c>
      <c r="AM297" s="1">
        <v>10.0</v>
      </c>
      <c r="AN297" s="1">
        <v>6.0</v>
      </c>
      <c r="AO297" s="1">
        <v>6.0</v>
      </c>
      <c r="AP297" s="1" t="s">
        <v>1671</v>
      </c>
      <c r="AQ297" s="3" t="str">
        <f>HYPERLINK("https://icf.clappia.com/app/GMB253374/submission/UZM69716980/ICF247370-GMB253374-3438c5e2298e00000000/SIG-20250702_1103180gob.jpeg", "SIG-20250702_1103180gob.jpeg")</f>
        <v>SIG-20250702_1103180gob.jpeg</v>
      </c>
      <c r="AR297" s="1" t="s">
        <v>1672</v>
      </c>
      <c r="AS297" s="3" t="str">
        <f>HYPERLINK("https://icf.clappia.com/app/GMB253374/submission/UZM69716980/ICF247370-GMB253374-1oohjdfnpbca40000000/SIG-20250702_1057o46hg.jpeg", "SIG-20250702_1057o46hg.jpeg")</f>
        <v>SIG-20250702_1057o46hg.jpeg</v>
      </c>
      <c r="AT297" s="1" t="s">
        <v>1673</v>
      </c>
      <c r="AU297" s="3" t="str">
        <f>HYPERLINK("https://icf.clappia.com/app/GMB253374/submission/UZM69716980/ICF247370-GMB253374-342o3ld3bka200000000/SIG-20250702_1130135gf5.jpeg", "SIG-20250702_1130135gf5.jpeg")</f>
        <v>SIG-20250702_1130135gf5.jpeg</v>
      </c>
      <c r="AV297" s="3" t="str">
        <f>HYPERLINK("https://www.google.com/maps/place/7.7016733%2C-11.52703", "7.7016733,-11.52703")</f>
        <v>7.7016733,-11.52703</v>
      </c>
    </row>
    <row r="298" ht="15.75" customHeight="1">
      <c r="A298" s="1" t="s">
        <v>1674</v>
      </c>
      <c r="B298" s="1" t="s">
        <v>161</v>
      </c>
      <c r="C298" s="1" t="s">
        <v>1675</v>
      </c>
      <c r="D298" s="1" t="s">
        <v>1675</v>
      </c>
      <c r="E298" s="1" t="s">
        <v>1676</v>
      </c>
      <c r="F298" s="1" t="s">
        <v>64</v>
      </c>
      <c r="G298" s="1">
        <v>342.0</v>
      </c>
      <c r="H298" s="1" t="s">
        <v>50</v>
      </c>
      <c r="I298" s="1">
        <v>105.0</v>
      </c>
      <c r="J298" s="1">
        <v>50.0</v>
      </c>
      <c r="K298" s="1">
        <v>50.0</v>
      </c>
      <c r="L298" s="1">
        <v>55.0</v>
      </c>
      <c r="M298" s="1">
        <v>55.0</v>
      </c>
      <c r="N298" s="1" t="s">
        <v>51</v>
      </c>
      <c r="O298" s="1">
        <v>65.0</v>
      </c>
      <c r="P298" s="1">
        <v>30.0</v>
      </c>
      <c r="Q298" s="1">
        <v>30.0</v>
      </c>
      <c r="R298" s="1">
        <v>35.0</v>
      </c>
      <c r="S298" s="1">
        <v>35.0</v>
      </c>
      <c r="T298" s="1" t="s">
        <v>52</v>
      </c>
      <c r="U298" s="1">
        <v>64.0</v>
      </c>
      <c r="V298" s="1">
        <v>27.0</v>
      </c>
      <c r="W298" s="1">
        <v>27.0</v>
      </c>
      <c r="X298" s="1">
        <v>37.0</v>
      </c>
      <c r="Y298" s="1">
        <v>37.0</v>
      </c>
      <c r="Z298" s="1" t="s">
        <v>53</v>
      </c>
      <c r="AA298" s="1">
        <v>60.0</v>
      </c>
      <c r="AB298" s="1">
        <v>25.0</v>
      </c>
      <c r="AC298" s="1">
        <v>25.0</v>
      </c>
      <c r="AD298" s="1">
        <v>25.0</v>
      </c>
      <c r="AE298" s="1">
        <v>25.0</v>
      </c>
      <c r="AF298" s="1" t="s">
        <v>54</v>
      </c>
      <c r="AG298" s="1">
        <v>48.0</v>
      </c>
      <c r="AH298" s="1">
        <v>21.0</v>
      </c>
      <c r="AI298" s="1">
        <v>21.0</v>
      </c>
      <c r="AJ298" s="1">
        <v>27.0</v>
      </c>
      <c r="AK298" s="1">
        <v>27.0</v>
      </c>
      <c r="AL298" s="1">
        <v>332.0</v>
      </c>
      <c r="AM298" s="1">
        <v>10.0</v>
      </c>
      <c r="AN298" s="1" t="s">
        <v>55</v>
      </c>
      <c r="AO298" s="1" t="s">
        <v>55</v>
      </c>
      <c r="AP298" s="1" t="s">
        <v>1063</v>
      </c>
      <c r="AQ298" s="3" t="str">
        <f>HYPERLINK("https://icf.clappia.com/app/GMB253374/submission/XKG07830256/ICF247370-GMB253374-22k7ak363d6p60000000/SIG-20250702_1420a0p7d.jpeg", "SIG-20250702_1420a0p7d.jpeg")</f>
        <v>SIG-20250702_1420a0p7d.jpeg</v>
      </c>
      <c r="AR298" s="1" t="s">
        <v>1064</v>
      </c>
      <c r="AS298" s="3" t="str">
        <f>HYPERLINK("https://icf.clappia.com/app/GMB253374/submission/XKG07830256/ICF247370-GMB253374-3pi8chhmjd2i00000000/SIG-20250702_142110pmcc.jpeg", "SIG-20250702_142110pmcc.jpeg")</f>
        <v>SIG-20250702_142110pmcc.jpeg</v>
      </c>
      <c r="AT298" s="1" t="s">
        <v>1677</v>
      </c>
      <c r="AU298" s="3" t="str">
        <f>HYPERLINK("https://icf.clappia.com/app/GMB253374/submission/XKG07830256/ICF247370-GMB253374-2hae54k48nak0000000/SIG-20250702_14231206of.jpeg", "SIG-20250702_14231206of.jpeg")</f>
        <v>SIG-20250702_14231206of.jpeg</v>
      </c>
      <c r="AV298" s="3" t="str">
        <f>HYPERLINK("https://www.google.com/maps/place/7.9484991%2C-11.7112773", "7.9484991,-11.7112773")</f>
        <v>7.9484991,-11.7112773</v>
      </c>
    </row>
    <row r="299" ht="15.75" customHeight="1">
      <c r="A299" s="1" t="s">
        <v>1678</v>
      </c>
      <c r="B299" s="1" t="s">
        <v>60</v>
      </c>
      <c r="C299" s="1" t="s">
        <v>1679</v>
      </c>
      <c r="D299" s="1" t="s">
        <v>1679</v>
      </c>
      <c r="E299" s="1" t="s">
        <v>1680</v>
      </c>
      <c r="F299" s="1" t="s">
        <v>64</v>
      </c>
      <c r="G299" s="1">
        <v>140.0</v>
      </c>
      <c r="H299" s="1" t="s">
        <v>50</v>
      </c>
      <c r="I299" s="1">
        <v>39.0</v>
      </c>
      <c r="J299" s="1">
        <v>20.0</v>
      </c>
      <c r="K299" s="1">
        <v>20.0</v>
      </c>
      <c r="L299" s="1">
        <v>19.0</v>
      </c>
      <c r="M299" s="1">
        <v>19.0</v>
      </c>
      <c r="N299" s="1" t="s">
        <v>51</v>
      </c>
      <c r="O299" s="1">
        <v>28.0</v>
      </c>
      <c r="P299" s="1">
        <v>10.0</v>
      </c>
      <c r="Q299" s="1">
        <v>10.0</v>
      </c>
      <c r="R299" s="1">
        <v>18.0</v>
      </c>
      <c r="S299" s="1">
        <v>18.0</v>
      </c>
      <c r="T299" s="1" t="s">
        <v>52</v>
      </c>
      <c r="U299" s="1">
        <v>33.0</v>
      </c>
      <c r="V299" s="1">
        <v>14.0</v>
      </c>
      <c r="W299" s="1">
        <v>14.0</v>
      </c>
      <c r="X299" s="1">
        <v>19.0</v>
      </c>
      <c r="Y299" s="1">
        <v>19.0</v>
      </c>
      <c r="Z299" s="1" t="s">
        <v>53</v>
      </c>
      <c r="AA299" s="1">
        <v>19.0</v>
      </c>
      <c r="AB299" s="1">
        <v>9.0</v>
      </c>
      <c r="AC299" s="1">
        <v>9.0</v>
      </c>
      <c r="AD299" s="1">
        <v>10.0</v>
      </c>
      <c r="AE299" s="1">
        <v>10.0</v>
      </c>
      <c r="AF299" s="1" t="s">
        <v>54</v>
      </c>
      <c r="AG299" s="1">
        <v>21.0</v>
      </c>
      <c r="AH299" s="1">
        <v>11.0</v>
      </c>
      <c r="AI299" s="1">
        <v>11.0</v>
      </c>
      <c r="AJ299" s="1">
        <v>10.0</v>
      </c>
      <c r="AK299" s="1">
        <v>10.0</v>
      </c>
      <c r="AL299" s="1">
        <v>140.0</v>
      </c>
      <c r="AM299" s="1" t="s">
        <v>55</v>
      </c>
      <c r="AN299" s="1" t="s">
        <v>55</v>
      </c>
      <c r="AO299" s="1" t="s">
        <v>55</v>
      </c>
      <c r="AP299" s="1" t="s">
        <v>1681</v>
      </c>
      <c r="AQ299" s="3" t="str">
        <f>HYPERLINK("https://icf.clappia.com/app/GMB253374/submission/THD26904213/ICF247370-GMB253374-2eflg5nddadc00000000/SIG-20250702_141118f3c6.jpeg", "SIG-20250702_141118f3c6.jpeg")</f>
        <v>SIG-20250702_141118f3c6.jpeg</v>
      </c>
      <c r="AR299" s="1" t="s">
        <v>1682</v>
      </c>
      <c r="AS299" s="3" t="str">
        <f>HYPERLINK("https://icf.clappia.com/app/GMB253374/submission/THD26904213/ICF247370-GMB253374-14epidil3j3180000000/SIG-20250702_1412177h61.jpeg", "SIG-20250702_1412177h61.jpeg")</f>
        <v>SIG-20250702_1412177h61.jpeg</v>
      </c>
      <c r="AT299" s="1" t="s">
        <v>1683</v>
      </c>
      <c r="AU299" s="3" t="str">
        <f>HYPERLINK("https://icf.clappia.com/app/GMB253374/submission/THD26904213/ICF247370-GMB253374-39d7605fhf3800000000/SIG-20250702_14131244i1.jpeg", "SIG-20250702_14131244i1.jpeg")</f>
        <v>SIG-20250702_14131244i1.jpeg</v>
      </c>
      <c r="AV299" s="3" t="str">
        <f>HYPERLINK("https://www.google.com/maps/place/8.98503%2C-12.3309117", "8.98503,-12.3309117")</f>
        <v>8.98503,-12.3309117</v>
      </c>
    </row>
    <row r="300" ht="15.75" customHeight="1">
      <c r="A300" s="1" t="s">
        <v>1684</v>
      </c>
      <c r="B300" s="1" t="s">
        <v>81</v>
      </c>
      <c r="C300" s="1" t="s">
        <v>1685</v>
      </c>
      <c r="D300" s="1" t="s">
        <v>1685</v>
      </c>
      <c r="E300" s="1" t="s">
        <v>1686</v>
      </c>
      <c r="F300" s="1" t="s">
        <v>64</v>
      </c>
      <c r="G300" s="1">
        <v>250.0</v>
      </c>
      <c r="H300" s="1" t="s">
        <v>50</v>
      </c>
      <c r="I300" s="1">
        <v>50.0</v>
      </c>
      <c r="J300" s="1">
        <v>27.0</v>
      </c>
      <c r="K300" s="1">
        <v>27.0</v>
      </c>
      <c r="L300" s="1">
        <v>23.0</v>
      </c>
      <c r="M300" s="1">
        <v>23.0</v>
      </c>
      <c r="N300" s="1" t="s">
        <v>51</v>
      </c>
      <c r="O300" s="1">
        <v>48.0</v>
      </c>
      <c r="P300" s="1">
        <v>21.0</v>
      </c>
      <c r="Q300" s="1">
        <v>21.0</v>
      </c>
      <c r="R300" s="1">
        <v>27.0</v>
      </c>
      <c r="S300" s="1">
        <v>27.0</v>
      </c>
      <c r="T300" s="1" t="s">
        <v>52</v>
      </c>
      <c r="U300" s="1">
        <v>57.0</v>
      </c>
      <c r="V300" s="1">
        <v>26.0</v>
      </c>
      <c r="W300" s="1">
        <v>26.0</v>
      </c>
      <c r="X300" s="1">
        <v>31.0</v>
      </c>
      <c r="Y300" s="1">
        <v>31.0</v>
      </c>
      <c r="Z300" s="1" t="s">
        <v>53</v>
      </c>
      <c r="AA300" s="1">
        <v>39.0</v>
      </c>
      <c r="AB300" s="1">
        <v>18.0</v>
      </c>
      <c r="AC300" s="1">
        <v>18.0</v>
      </c>
      <c r="AD300" s="1">
        <v>21.0</v>
      </c>
      <c r="AE300" s="1">
        <v>21.0</v>
      </c>
      <c r="AF300" s="1" t="s">
        <v>54</v>
      </c>
      <c r="AG300" s="1">
        <v>50.0</v>
      </c>
      <c r="AH300" s="1">
        <v>22.0</v>
      </c>
      <c r="AI300" s="1">
        <v>22.0</v>
      </c>
      <c r="AJ300" s="1">
        <v>28.0</v>
      </c>
      <c r="AK300" s="1">
        <v>28.0</v>
      </c>
      <c r="AL300" s="1">
        <v>244.0</v>
      </c>
      <c r="AM300" s="1" t="s">
        <v>55</v>
      </c>
      <c r="AN300" s="1">
        <v>6.0</v>
      </c>
      <c r="AO300" s="1">
        <v>6.0</v>
      </c>
      <c r="AP300" s="1" t="s">
        <v>1687</v>
      </c>
      <c r="AQ300" s="3" t="str">
        <f>HYPERLINK("https://icf.clappia.com/app/GMB253374/submission/VCK96015464/ICF247370-GMB253374-61d59omh1cn600000000/SIG-20250702_141210bgfc.jpeg", "SIG-20250702_141210bgfc.jpeg")</f>
        <v>SIG-20250702_141210bgfc.jpeg</v>
      </c>
      <c r="AR300" s="1" t="s">
        <v>1688</v>
      </c>
      <c r="AS300" s="3" t="str">
        <f>HYPERLINK("https://icf.clappia.com/app/GMB253374/submission/VCK96015464/ICF247370-GMB253374-fp75hhe60hm80000000/SIG-20250702_1412dohda.jpeg", "SIG-20250702_1412dohda.jpeg")</f>
        <v>SIG-20250702_1412dohda.jpeg</v>
      </c>
      <c r="AT300" s="1" t="s">
        <v>1689</v>
      </c>
      <c r="AU300" s="3" t="str">
        <f>HYPERLINK("https://icf.clappia.com/app/GMB253374/submission/VCK96015464/ICF247370-GMB253374-k0o0m173m81m0000000/SIG-20250702_141212e735.jpeg", "SIG-20250702_141212e735.jpeg")</f>
        <v>SIG-20250702_141212e735.jpeg</v>
      </c>
      <c r="AV300" s="3" t="str">
        <f>HYPERLINK("https://www.google.com/maps/place/7.9276983%2C-11.71843", "7.9276983,-11.71843")</f>
        <v>7.9276983,-11.71843</v>
      </c>
    </row>
    <row r="301" ht="15.75" customHeight="1">
      <c r="A301" s="1" t="s">
        <v>1690</v>
      </c>
      <c r="B301" s="1" t="s">
        <v>81</v>
      </c>
      <c r="C301" s="1" t="s">
        <v>1691</v>
      </c>
      <c r="D301" s="1" t="s">
        <v>1691</v>
      </c>
      <c r="E301" s="1" t="s">
        <v>1692</v>
      </c>
      <c r="F301" s="1" t="s">
        <v>49</v>
      </c>
      <c r="G301" s="1">
        <v>220.0</v>
      </c>
      <c r="H301" s="1" t="s">
        <v>50</v>
      </c>
      <c r="I301" s="1">
        <v>60.0</v>
      </c>
      <c r="J301" s="1">
        <v>27.0</v>
      </c>
      <c r="K301" s="1">
        <v>27.0</v>
      </c>
      <c r="L301" s="1">
        <v>33.0</v>
      </c>
      <c r="M301" s="1">
        <v>33.0</v>
      </c>
      <c r="N301" s="1" t="s">
        <v>51</v>
      </c>
      <c r="O301" s="1">
        <v>50.0</v>
      </c>
      <c r="P301" s="1">
        <v>20.0</v>
      </c>
      <c r="Q301" s="1">
        <v>20.0</v>
      </c>
      <c r="R301" s="1">
        <v>30.0</v>
      </c>
      <c r="S301" s="1">
        <v>30.0</v>
      </c>
      <c r="T301" s="1" t="s">
        <v>52</v>
      </c>
      <c r="U301" s="1">
        <v>40.0</v>
      </c>
      <c r="V301" s="1">
        <v>18.0</v>
      </c>
      <c r="W301" s="1">
        <v>18.0</v>
      </c>
      <c r="X301" s="1">
        <v>22.0</v>
      </c>
      <c r="Y301" s="1">
        <v>22.0</v>
      </c>
      <c r="Z301" s="1" t="s">
        <v>53</v>
      </c>
      <c r="AA301" s="1">
        <v>40.0</v>
      </c>
      <c r="AB301" s="1">
        <v>18.0</v>
      </c>
      <c r="AC301" s="1">
        <v>18.0</v>
      </c>
      <c r="AD301" s="1">
        <v>22.0</v>
      </c>
      <c r="AE301" s="1">
        <v>22.0</v>
      </c>
      <c r="AF301" s="1" t="s">
        <v>54</v>
      </c>
      <c r="AG301" s="1">
        <v>30.0</v>
      </c>
      <c r="AH301" s="1">
        <v>12.0</v>
      </c>
      <c r="AI301" s="1">
        <v>12.0</v>
      </c>
      <c r="AJ301" s="1">
        <v>18.0</v>
      </c>
      <c r="AK301" s="1">
        <v>18.0</v>
      </c>
      <c r="AL301" s="1">
        <v>220.0</v>
      </c>
      <c r="AM301" s="1" t="s">
        <v>55</v>
      </c>
      <c r="AN301" s="1" t="s">
        <v>55</v>
      </c>
      <c r="AO301" s="1" t="s">
        <v>55</v>
      </c>
      <c r="AP301" s="1" t="s">
        <v>897</v>
      </c>
      <c r="AQ301" s="3" t="str">
        <f>HYPERLINK("https://icf.clappia.com/app/GMB253374/submission/ZTJ10061050/ICF247370-GMB253374-1jg75613o9l1a0000000/SIG-20250702_1333o52ol.jpeg", "SIG-20250702_1333o52ol.jpeg")</f>
        <v>SIG-20250702_1333o52ol.jpeg</v>
      </c>
      <c r="AR301" s="1" t="s">
        <v>898</v>
      </c>
      <c r="AS301" s="3" t="str">
        <f>HYPERLINK("https://icf.clappia.com/app/GMB253374/submission/ZTJ10061050/ICF247370-GMB253374-4h9011i1fdm000000000/SIG-20250702_132716bi8i.jpeg", "SIG-20250702_132716bi8i.jpeg")</f>
        <v>SIG-20250702_132716bi8i.jpeg</v>
      </c>
      <c r="AT301" s="1" t="s">
        <v>1693</v>
      </c>
      <c r="AU301" s="3" t="str">
        <f>HYPERLINK("https://icf.clappia.com/app/GMB253374/submission/ZTJ10061050/ICF247370-GMB253374-67c8n9ah6ccm00000000/SIG-20250702_1326ioegm.jpeg", "SIG-20250702_1326ioegm.jpeg")</f>
        <v>SIG-20250702_1326ioegm.jpeg</v>
      </c>
      <c r="AV301" s="3" t="str">
        <f>HYPERLINK("https://www.google.com/maps/place/7.9746433%2C-11.74955", "7.9746433,-11.74955")</f>
        <v>7.9746433,-11.74955</v>
      </c>
    </row>
    <row r="302" ht="15.75" customHeight="1">
      <c r="A302" s="1" t="s">
        <v>1694</v>
      </c>
      <c r="B302" s="1" t="s">
        <v>69</v>
      </c>
      <c r="C302" s="1" t="s">
        <v>1695</v>
      </c>
      <c r="D302" s="1" t="s">
        <v>1695</v>
      </c>
      <c r="E302" s="1" t="s">
        <v>1696</v>
      </c>
      <c r="F302" s="1" t="s">
        <v>64</v>
      </c>
      <c r="G302" s="1">
        <v>130.0</v>
      </c>
      <c r="H302" s="1" t="s">
        <v>50</v>
      </c>
      <c r="I302" s="1">
        <v>31.0</v>
      </c>
      <c r="J302" s="1">
        <v>17.0</v>
      </c>
      <c r="K302" s="1">
        <v>17.0</v>
      </c>
      <c r="L302" s="1">
        <v>14.0</v>
      </c>
      <c r="M302" s="1">
        <v>14.0</v>
      </c>
      <c r="N302" s="1" t="s">
        <v>51</v>
      </c>
      <c r="O302" s="1">
        <v>23.0</v>
      </c>
      <c r="P302" s="1">
        <v>9.0</v>
      </c>
      <c r="Q302" s="1">
        <v>9.0</v>
      </c>
      <c r="R302" s="1">
        <v>14.0</v>
      </c>
      <c r="S302" s="1">
        <v>13.0</v>
      </c>
      <c r="T302" s="1" t="s">
        <v>52</v>
      </c>
      <c r="U302" s="1">
        <v>19.0</v>
      </c>
      <c r="V302" s="1">
        <v>10.0</v>
      </c>
      <c r="W302" s="1">
        <v>10.0</v>
      </c>
      <c r="X302" s="1">
        <v>9.0</v>
      </c>
      <c r="Y302" s="1">
        <v>9.0</v>
      </c>
      <c r="Z302" s="1" t="s">
        <v>53</v>
      </c>
      <c r="AA302" s="1">
        <v>23.0</v>
      </c>
      <c r="AB302" s="1">
        <v>12.0</v>
      </c>
      <c r="AC302" s="1">
        <v>10.0</v>
      </c>
      <c r="AD302" s="1">
        <v>11.0</v>
      </c>
      <c r="AE302" s="1">
        <v>11.0</v>
      </c>
      <c r="AF302" s="1" t="s">
        <v>54</v>
      </c>
      <c r="AG302" s="1">
        <v>30.0</v>
      </c>
      <c r="AH302" s="1">
        <v>14.0</v>
      </c>
      <c r="AI302" s="1">
        <v>14.0</v>
      </c>
      <c r="AJ302" s="1">
        <v>16.0</v>
      </c>
      <c r="AK302" s="1">
        <v>14.0</v>
      </c>
      <c r="AL302" s="1">
        <v>121.0</v>
      </c>
      <c r="AM302" s="1">
        <v>9.0</v>
      </c>
      <c r="AN302" s="1" t="s">
        <v>55</v>
      </c>
      <c r="AO302" s="1" t="s">
        <v>55</v>
      </c>
      <c r="AP302" s="1" t="s">
        <v>1697</v>
      </c>
      <c r="AQ302" s="3" t="str">
        <f>HYPERLINK("https://icf.clappia.com/app/GMB253374/submission/DTR13926148/ICF247370-GMB253374-664o5li9o67i00000000/SIG-20250702_1252ppof1.jpeg", "SIG-20250702_1252ppof1.jpeg")</f>
        <v>SIG-20250702_1252ppof1.jpeg</v>
      </c>
      <c r="AR302" s="1" t="s">
        <v>1698</v>
      </c>
      <c r="AS302" s="3" t="str">
        <f>HYPERLINK("https://icf.clappia.com/app/GMB253374/submission/DTR13926148/ICF247370-GMB253374-5dj23bkb3hag00000000/SIG-20250702_1252fk6im.jpeg", "SIG-20250702_1252fk6im.jpeg")</f>
        <v>SIG-20250702_1252fk6im.jpeg</v>
      </c>
      <c r="AT302" s="1" t="s">
        <v>1699</v>
      </c>
      <c r="AU302" s="3" t="str">
        <f>HYPERLINK("https://icf.clappia.com/app/GMB253374/submission/DTR13926148/ICF247370-GMB253374-1l89do8jf5pa00000000/SIG-20250702_125312pbpl.jpeg", "SIG-20250702_125312pbpl.jpeg")</f>
        <v>SIG-20250702_125312pbpl.jpeg</v>
      </c>
      <c r="AV302" s="3" t="str">
        <f>HYPERLINK("https://www.google.com/maps/place/8.8725973%2C-12.073376", "8.8725973,-12.073376")</f>
        <v>8.8725973,-12.073376</v>
      </c>
    </row>
    <row r="303" ht="15.75" customHeight="1">
      <c r="A303" s="1" t="s">
        <v>1700</v>
      </c>
      <c r="B303" s="1" t="s">
        <v>142</v>
      </c>
      <c r="C303" s="1" t="s">
        <v>1701</v>
      </c>
      <c r="D303" s="1" t="s">
        <v>1701</v>
      </c>
      <c r="E303" s="1" t="s">
        <v>1702</v>
      </c>
      <c r="F303" s="1" t="s">
        <v>64</v>
      </c>
      <c r="G303" s="1">
        <v>223.0</v>
      </c>
      <c r="H303" s="1" t="s">
        <v>50</v>
      </c>
      <c r="I303" s="1">
        <v>80.0</v>
      </c>
      <c r="J303" s="1">
        <v>38.0</v>
      </c>
      <c r="K303" s="1">
        <v>19.0</v>
      </c>
      <c r="L303" s="1">
        <v>42.0</v>
      </c>
      <c r="M303" s="1">
        <v>19.0</v>
      </c>
      <c r="N303" s="1" t="s">
        <v>51</v>
      </c>
      <c r="O303" s="1">
        <v>48.0</v>
      </c>
      <c r="P303" s="1">
        <v>20.0</v>
      </c>
      <c r="Q303" s="1">
        <v>6.0</v>
      </c>
      <c r="R303" s="1">
        <v>28.0</v>
      </c>
      <c r="S303" s="1">
        <v>6.0</v>
      </c>
      <c r="T303" s="1" t="s">
        <v>52</v>
      </c>
      <c r="U303" s="1">
        <v>39.0</v>
      </c>
      <c r="V303" s="1">
        <v>17.0</v>
      </c>
      <c r="W303" s="1">
        <v>7.0</v>
      </c>
      <c r="X303" s="1">
        <v>22.0</v>
      </c>
      <c r="Y303" s="1">
        <v>9.0</v>
      </c>
      <c r="Z303" s="1" t="s">
        <v>53</v>
      </c>
      <c r="AA303" s="1">
        <v>31.0</v>
      </c>
      <c r="AB303" s="1">
        <v>18.0</v>
      </c>
      <c r="AC303" s="1">
        <v>11.0</v>
      </c>
      <c r="AD303" s="1">
        <v>13.0</v>
      </c>
      <c r="AE303" s="1">
        <v>6.0</v>
      </c>
      <c r="AF303" s="1" t="s">
        <v>54</v>
      </c>
      <c r="AG303" s="1">
        <v>16.0</v>
      </c>
      <c r="AH303" s="1">
        <v>10.0</v>
      </c>
      <c r="AI303" s="1">
        <v>5.0</v>
      </c>
      <c r="AJ303" s="1">
        <v>6.0</v>
      </c>
      <c r="AK303" s="1">
        <v>1.0</v>
      </c>
      <c r="AL303" s="1">
        <v>89.0</v>
      </c>
      <c r="AM303" s="1" t="s">
        <v>55</v>
      </c>
      <c r="AN303" s="1">
        <v>134.0</v>
      </c>
      <c r="AO303" s="1">
        <v>134.0</v>
      </c>
      <c r="AP303" s="1" t="s">
        <v>1703</v>
      </c>
      <c r="AQ303" s="3" t="str">
        <f>HYPERLINK("https://icf.clappia.com/app/GMB253374/submission/ZNJ04023015/ICF247370-GMB253374-4ceibdk73k0g0000000/SIG-20250702_14052lg4n.jpeg", "SIG-20250702_14052lg4n.jpeg")</f>
        <v>SIG-20250702_14052lg4n.jpeg</v>
      </c>
      <c r="AR303" s="1" t="s">
        <v>1704</v>
      </c>
      <c r="AS303" s="3" t="str">
        <f>HYPERLINK("https://icf.clappia.com/app/GMB253374/submission/ZNJ04023015/ICF247370-GMB253374-4fgfbf366og600000000/SIG-20250702_1405e96oj.jpeg", "SIG-20250702_1405e96oj.jpeg")</f>
        <v>SIG-20250702_1405e96oj.jpeg</v>
      </c>
      <c r="AT303" s="1" t="s">
        <v>1705</v>
      </c>
      <c r="AU303" s="3" t="str">
        <f>HYPERLINK("https://icf.clappia.com/app/GMB253374/submission/ZNJ04023015/ICF247370-GMB253374-dbg508a5locg0000000/SIG-20250702_140615nm6b.jpeg", "SIG-20250702_140615nm6b.jpeg")</f>
        <v>SIG-20250702_140615nm6b.jpeg</v>
      </c>
      <c r="AV303" s="3" t="str">
        <f>HYPERLINK("https://www.google.com/maps/place/7.9305017%2C-11.8886067", "7.9305017,-11.8886067")</f>
        <v>7.9305017,-11.8886067</v>
      </c>
    </row>
    <row r="304" ht="15.75" customHeight="1">
      <c r="A304" s="1" t="s">
        <v>1706</v>
      </c>
      <c r="B304" s="1" t="s">
        <v>69</v>
      </c>
      <c r="C304" s="1" t="s">
        <v>1707</v>
      </c>
      <c r="D304" s="1" t="s">
        <v>1708</v>
      </c>
      <c r="E304" s="1" t="s">
        <v>1709</v>
      </c>
      <c r="F304" s="1" t="s">
        <v>64</v>
      </c>
      <c r="G304" s="1">
        <v>145.0</v>
      </c>
      <c r="H304" s="1" t="s">
        <v>50</v>
      </c>
      <c r="I304" s="1">
        <v>32.0</v>
      </c>
      <c r="J304" s="1">
        <v>17.0</v>
      </c>
      <c r="K304" s="1">
        <v>17.0</v>
      </c>
      <c r="L304" s="1">
        <v>15.0</v>
      </c>
      <c r="M304" s="1">
        <v>15.0</v>
      </c>
      <c r="N304" s="1" t="s">
        <v>51</v>
      </c>
      <c r="O304" s="1">
        <v>35.0</v>
      </c>
      <c r="P304" s="1">
        <v>15.0</v>
      </c>
      <c r="Q304" s="1">
        <v>15.0</v>
      </c>
      <c r="R304" s="1">
        <v>20.0</v>
      </c>
      <c r="S304" s="1">
        <v>20.0</v>
      </c>
      <c r="T304" s="1" t="s">
        <v>52</v>
      </c>
      <c r="U304" s="1">
        <v>30.0</v>
      </c>
      <c r="V304" s="1">
        <v>18.0</v>
      </c>
      <c r="W304" s="1">
        <v>18.0</v>
      </c>
      <c r="X304" s="1">
        <v>12.0</v>
      </c>
      <c r="Y304" s="1">
        <v>12.0</v>
      </c>
      <c r="Z304" s="1" t="s">
        <v>53</v>
      </c>
      <c r="AA304" s="1">
        <v>26.0</v>
      </c>
      <c r="AB304" s="1">
        <v>14.0</v>
      </c>
      <c r="AC304" s="1">
        <v>12.0</v>
      </c>
      <c r="AD304" s="1">
        <v>12.0</v>
      </c>
      <c r="AE304" s="1">
        <v>12.0</v>
      </c>
      <c r="AF304" s="1" t="s">
        <v>54</v>
      </c>
      <c r="AG304" s="1">
        <v>19.0</v>
      </c>
      <c r="AH304" s="1">
        <v>10.0</v>
      </c>
      <c r="AI304" s="1">
        <v>10.0</v>
      </c>
      <c r="AJ304" s="1">
        <v>9.0</v>
      </c>
      <c r="AK304" s="1">
        <v>9.0</v>
      </c>
      <c r="AL304" s="1">
        <v>140.0</v>
      </c>
      <c r="AM304" s="1">
        <v>5.0</v>
      </c>
      <c r="AN304" s="1" t="s">
        <v>55</v>
      </c>
      <c r="AO304" s="1" t="s">
        <v>55</v>
      </c>
      <c r="AP304" s="1" t="s">
        <v>720</v>
      </c>
      <c r="AQ304" s="3" t="str">
        <f>HYPERLINK("https://icf.clappia.com/app/GMB253374/submission/RQJ68746557/ICF247370-GMB253374-k47ilmfl8kmk0000000/SIG-20250630_1213551hn.jpeg", "SIG-20250630_1213551hn.jpeg")</f>
        <v>SIG-20250630_1213551hn.jpeg</v>
      </c>
      <c r="AR304" s="1" t="s">
        <v>1710</v>
      </c>
      <c r="AS304" s="3" t="str">
        <f>HYPERLINK("https://icf.clappia.com/app/GMB253374/submission/RQJ68746557/ICF247370-GMB253374-1d8fg2ck45cik0000000/SIG-20250630_12131f6ke.jpeg", "SIG-20250630_12131f6ke.jpeg")</f>
        <v>SIG-20250630_12131f6ke.jpeg</v>
      </c>
      <c r="AT304" s="1" t="s">
        <v>1711</v>
      </c>
      <c r="AU304" s="3" t="str">
        <f>HYPERLINK("https://icf.clappia.com/app/GMB253374/submission/RQJ68746557/ICF247370-GMB253374-1660ba8e72fl20000000/SIG-20250630_1151188i72.jpeg", "SIG-20250630_1151188i72.jpeg")</f>
        <v>SIG-20250630_1151188i72.jpeg</v>
      </c>
      <c r="AV304" s="3" t="str">
        <f>HYPERLINK("https://www.google.com/maps/place/8.8291499%2C-12.2252898", "8.8291499,-12.2252898")</f>
        <v>8.8291499,-12.2252898</v>
      </c>
    </row>
    <row r="305" ht="15.75" customHeight="1">
      <c r="A305" s="1" t="s">
        <v>1712</v>
      </c>
      <c r="B305" s="1" t="s">
        <v>94</v>
      </c>
      <c r="C305" s="1" t="s">
        <v>1708</v>
      </c>
      <c r="D305" s="1" t="s">
        <v>1708</v>
      </c>
      <c r="E305" s="1" t="s">
        <v>1713</v>
      </c>
      <c r="F305" s="1" t="s">
        <v>64</v>
      </c>
      <c r="G305" s="1">
        <v>194.0</v>
      </c>
      <c r="H305" s="1" t="s">
        <v>50</v>
      </c>
      <c r="I305" s="1">
        <v>101.0</v>
      </c>
      <c r="J305" s="1">
        <v>48.0</v>
      </c>
      <c r="K305" s="1">
        <v>48.0</v>
      </c>
      <c r="L305" s="1">
        <v>53.0</v>
      </c>
      <c r="M305" s="1">
        <v>53.0</v>
      </c>
      <c r="N305" s="1" t="s">
        <v>51</v>
      </c>
      <c r="O305" s="1">
        <v>38.0</v>
      </c>
      <c r="P305" s="1">
        <v>20.0</v>
      </c>
      <c r="Q305" s="1">
        <v>20.0</v>
      </c>
      <c r="R305" s="1">
        <v>18.0</v>
      </c>
      <c r="S305" s="1">
        <v>18.0</v>
      </c>
      <c r="T305" s="1" t="s">
        <v>52</v>
      </c>
      <c r="U305" s="1">
        <v>22.0</v>
      </c>
      <c r="V305" s="1">
        <v>10.0</v>
      </c>
      <c r="W305" s="1">
        <v>10.0</v>
      </c>
      <c r="X305" s="1">
        <v>12.0</v>
      </c>
      <c r="Y305" s="1">
        <v>12.0</v>
      </c>
      <c r="Z305" s="1" t="s">
        <v>53</v>
      </c>
      <c r="AA305" s="1">
        <v>15.0</v>
      </c>
      <c r="AB305" s="1">
        <v>8.0</v>
      </c>
      <c r="AC305" s="1">
        <v>8.0</v>
      </c>
      <c r="AD305" s="1">
        <v>7.0</v>
      </c>
      <c r="AE305" s="1">
        <v>7.0</v>
      </c>
      <c r="AF305" s="1" t="s">
        <v>54</v>
      </c>
      <c r="AG305" s="1">
        <v>18.0</v>
      </c>
      <c r="AH305" s="1">
        <v>8.0</v>
      </c>
      <c r="AI305" s="1">
        <v>8.0</v>
      </c>
      <c r="AJ305" s="1">
        <v>10.0</v>
      </c>
      <c r="AK305" s="1">
        <v>10.0</v>
      </c>
      <c r="AL305" s="1">
        <v>194.0</v>
      </c>
      <c r="AM305" s="1" t="s">
        <v>55</v>
      </c>
      <c r="AN305" s="1" t="s">
        <v>55</v>
      </c>
      <c r="AO305" s="1" t="s">
        <v>55</v>
      </c>
      <c r="AP305" s="1" t="s">
        <v>1714</v>
      </c>
      <c r="AQ305" s="3" t="str">
        <f>HYPERLINK("https://icf.clappia.com/app/GMB253374/submission/FUX28535228/ICF247370-GMB253374-33fjj9i8i1ac00000000/SIG-20250702_14053gkl7.jpeg", "SIG-20250702_14053gkl7.jpeg")</f>
        <v>SIG-20250702_14053gkl7.jpeg</v>
      </c>
      <c r="AR305" s="1" t="s">
        <v>1715</v>
      </c>
      <c r="AS305" s="3" t="str">
        <f>HYPERLINK("https://icf.clappia.com/app/GMB253374/submission/FUX28535228/ICF247370-GMB253374-3kbjkff2gjik00000000/SIG-20250702_1406139oa4.jpeg", "SIG-20250702_1406139oa4.jpeg")</f>
        <v>SIG-20250702_1406139oa4.jpeg</v>
      </c>
      <c r="AT305" s="1" t="s">
        <v>1716</v>
      </c>
      <c r="AU305" s="3" t="str">
        <f>HYPERLINK("https://icf.clappia.com/app/GMB253374/submission/FUX28535228/ICF247370-GMB253374-88noi2iofb8k0000000/SIG-20250702_1406164efe.jpeg", "SIG-20250702_1406164efe.jpeg")</f>
        <v>SIG-20250702_1406164efe.jpeg</v>
      </c>
      <c r="AV305" s="3" t="str">
        <f>HYPERLINK("https://www.google.com/maps/place/7.6542379%2C-11.89158", "7.6542379,-11.89158")</f>
        <v>7.6542379,-11.89158</v>
      </c>
    </row>
    <row r="306" ht="15.75" customHeight="1">
      <c r="A306" s="1" t="s">
        <v>1717</v>
      </c>
      <c r="B306" s="1" t="s">
        <v>81</v>
      </c>
      <c r="C306" s="1" t="s">
        <v>1718</v>
      </c>
      <c r="D306" s="1" t="s">
        <v>1718</v>
      </c>
      <c r="E306" s="1" t="s">
        <v>1719</v>
      </c>
      <c r="F306" s="1" t="s">
        <v>64</v>
      </c>
      <c r="G306" s="1">
        <v>350.0</v>
      </c>
      <c r="H306" s="1" t="s">
        <v>50</v>
      </c>
      <c r="I306" s="1">
        <v>84.0</v>
      </c>
      <c r="J306" s="1">
        <v>35.0</v>
      </c>
      <c r="K306" s="1">
        <v>35.0</v>
      </c>
      <c r="L306" s="1">
        <v>49.0</v>
      </c>
      <c r="M306" s="1">
        <v>49.0</v>
      </c>
      <c r="N306" s="1" t="s">
        <v>51</v>
      </c>
      <c r="O306" s="1">
        <v>53.0</v>
      </c>
      <c r="P306" s="1">
        <v>22.0</v>
      </c>
      <c r="Q306" s="1">
        <v>22.0</v>
      </c>
      <c r="R306" s="1">
        <v>31.0</v>
      </c>
      <c r="S306" s="1">
        <v>31.0</v>
      </c>
      <c r="T306" s="1" t="s">
        <v>52</v>
      </c>
      <c r="U306" s="1">
        <v>56.0</v>
      </c>
      <c r="V306" s="1">
        <v>18.0</v>
      </c>
      <c r="W306" s="1">
        <v>18.0</v>
      </c>
      <c r="X306" s="1">
        <v>38.0</v>
      </c>
      <c r="Y306" s="1">
        <v>38.0</v>
      </c>
      <c r="Z306" s="1" t="s">
        <v>53</v>
      </c>
      <c r="AA306" s="1">
        <v>72.0</v>
      </c>
      <c r="AB306" s="1">
        <v>34.0</v>
      </c>
      <c r="AC306" s="1">
        <v>34.0</v>
      </c>
      <c r="AD306" s="1">
        <v>38.0</v>
      </c>
      <c r="AE306" s="1">
        <v>38.0</v>
      </c>
      <c r="AF306" s="1" t="s">
        <v>54</v>
      </c>
      <c r="AG306" s="1">
        <v>66.0</v>
      </c>
      <c r="AH306" s="1">
        <v>28.0</v>
      </c>
      <c r="AI306" s="1">
        <v>28.0</v>
      </c>
      <c r="AJ306" s="1">
        <v>38.0</v>
      </c>
      <c r="AK306" s="1">
        <v>38.0</v>
      </c>
      <c r="AL306" s="1">
        <v>331.0</v>
      </c>
      <c r="AM306" s="1">
        <v>9.0</v>
      </c>
      <c r="AN306" s="1">
        <v>10.0</v>
      </c>
      <c r="AO306" s="1" t="s">
        <v>55</v>
      </c>
      <c r="AP306" s="1" t="s">
        <v>1720</v>
      </c>
      <c r="AQ306" s="3" t="str">
        <f>HYPERLINK("https://icf.clappia.com/app/GMB253374/submission/HHR16603828/ICF247370-GMB253374-22kmjjbi11n920000000/SIG-20250702_132019j94p.jpeg", "SIG-20250702_132019j94p.jpeg")</f>
        <v>SIG-20250702_132019j94p.jpeg</v>
      </c>
      <c r="AR306" s="1" t="s">
        <v>1721</v>
      </c>
      <c r="AS306" s="3" t="str">
        <f>HYPERLINK("https://icf.clappia.com/app/GMB253374/submission/HHR16603828/ICF247370-GMB253374-6840o6l79hog00000000/SIG-20250702_131520ome.jpeg", "SIG-20250702_131520ome.jpeg")</f>
        <v>SIG-20250702_131520ome.jpeg</v>
      </c>
      <c r="AT306" s="1" t="s">
        <v>1722</v>
      </c>
      <c r="AU306" s="3" t="str">
        <f>HYPERLINK("https://icf.clappia.com/app/GMB253374/submission/HHR16603828/ICF247370-GMB253374-709j828o1pc80000000/SIG-20250702_1316obpf1.jpeg", "SIG-20250702_1316obpf1.jpeg")</f>
        <v>SIG-20250702_1316obpf1.jpeg</v>
      </c>
      <c r="AV306" s="3" t="str">
        <f>HYPERLINK("https://www.google.com/maps/place/7.9620362%2C-11.7434408", "7.9620362,-11.7434408")</f>
        <v>7.9620362,-11.7434408</v>
      </c>
    </row>
    <row r="307" ht="15.75" customHeight="1">
      <c r="A307" s="1" t="s">
        <v>1723</v>
      </c>
      <c r="B307" s="1" t="s">
        <v>302</v>
      </c>
      <c r="C307" s="1" t="s">
        <v>1724</v>
      </c>
      <c r="D307" s="1" t="s">
        <v>1724</v>
      </c>
      <c r="E307" s="1" t="s">
        <v>1725</v>
      </c>
      <c r="F307" s="1" t="s">
        <v>64</v>
      </c>
      <c r="G307" s="1">
        <v>210.0</v>
      </c>
      <c r="H307" s="1" t="s">
        <v>50</v>
      </c>
      <c r="I307" s="1">
        <v>70.0</v>
      </c>
      <c r="J307" s="1">
        <v>30.0</v>
      </c>
      <c r="K307" s="1">
        <v>23.0</v>
      </c>
      <c r="L307" s="1">
        <v>40.0</v>
      </c>
      <c r="M307" s="1">
        <v>29.0</v>
      </c>
      <c r="N307" s="1" t="s">
        <v>51</v>
      </c>
      <c r="O307" s="1">
        <v>55.0</v>
      </c>
      <c r="P307" s="1">
        <v>28.0</v>
      </c>
      <c r="Q307" s="1">
        <v>18.0</v>
      </c>
      <c r="R307" s="1">
        <v>27.0</v>
      </c>
      <c r="S307" s="1">
        <v>9.0</v>
      </c>
      <c r="T307" s="1" t="s">
        <v>52</v>
      </c>
      <c r="U307" s="1">
        <v>48.0</v>
      </c>
      <c r="V307" s="1">
        <v>26.0</v>
      </c>
      <c r="W307" s="1">
        <v>16.0</v>
      </c>
      <c r="X307" s="1">
        <v>22.0</v>
      </c>
      <c r="Y307" s="1">
        <v>15.0</v>
      </c>
      <c r="Z307" s="1" t="s">
        <v>53</v>
      </c>
      <c r="AA307" s="1">
        <v>34.0</v>
      </c>
      <c r="AB307" s="1">
        <v>16.0</v>
      </c>
      <c r="AC307" s="1">
        <v>8.0</v>
      </c>
      <c r="AD307" s="1">
        <v>18.0</v>
      </c>
      <c r="AE307" s="1">
        <v>11.0</v>
      </c>
      <c r="AF307" s="1" t="s">
        <v>54</v>
      </c>
      <c r="AG307" s="1">
        <v>40.0</v>
      </c>
      <c r="AH307" s="1">
        <v>22.0</v>
      </c>
      <c r="AI307" s="1">
        <v>22.0</v>
      </c>
      <c r="AJ307" s="1">
        <v>18.0</v>
      </c>
      <c r="AK307" s="1">
        <v>18.0</v>
      </c>
      <c r="AL307" s="1">
        <v>169.0</v>
      </c>
      <c r="AM307" s="1" t="s">
        <v>55</v>
      </c>
      <c r="AN307" s="1">
        <v>41.0</v>
      </c>
      <c r="AO307" s="1">
        <v>41.0</v>
      </c>
      <c r="AP307" s="1" t="s">
        <v>1726</v>
      </c>
      <c r="AQ307" s="3" t="str">
        <f>HYPERLINK("https://icf.clappia.com/app/GMB253374/submission/EAW33523672/ICF247370-GMB253374-30hnfj6m475g00000000/SIG-20250702_135715o3fo.jpeg", "SIG-20250702_135715o3fo.jpeg")</f>
        <v>SIG-20250702_135715o3fo.jpeg</v>
      </c>
      <c r="AR307" s="1" t="s">
        <v>1727</v>
      </c>
      <c r="AS307" s="3" t="str">
        <f>HYPERLINK("https://icf.clappia.com/app/GMB253374/submission/EAW33523672/ICF247370-GMB253374-44od458ho0lo00000000/SIG-20250702_1358gggoh.jpeg", "SIG-20250702_1358gggoh.jpeg")</f>
        <v>SIG-20250702_1358gggoh.jpeg</v>
      </c>
      <c r="AT307" s="1" t="s">
        <v>1728</v>
      </c>
      <c r="AU307" s="3" t="str">
        <f>HYPERLINK("https://icf.clappia.com/app/GMB253374/submission/EAW33523672/ICF247370-GMB253374-63ka3h86472g00000000/SIG-20250702_1359ljmnc.jpeg", "SIG-20250702_1359ljmnc.jpeg")</f>
        <v>SIG-20250702_1359ljmnc.jpeg</v>
      </c>
      <c r="AV307" s="3" t="str">
        <f>HYPERLINK("https://www.google.com/maps/place/8.7844882%2C-12.0055939", "8.7844882,-12.0055939")</f>
        <v>8.7844882,-12.0055939</v>
      </c>
    </row>
    <row r="308" ht="15.75" customHeight="1">
      <c r="A308" s="1" t="s">
        <v>1729</v>
      </c>
      <c r="B308" s="1" t="s">
        <v>690</v>
      </c>
      <c r="C308" s="1" t="s">
        <v>1730</v>
      </c>
      <c r="D308" s="1" t="s">
        <v>1730</v>
      </c>
      <c r="E308" s="1" t="s">
        <v>1731</v>
      </c>
      <c r="F308" s="1" t="s">
        <v>64</v>
      </c>
      <c r="G308" s="1">
        <v>350.0</v>
      </c>
      <c r="H308" s="1" t="s">
        <v>50</v>
      </c>
      <c r="I308" s="1">
        <v>104.0</v>
      </c>
      <c r="J308" s="1">
        <v>43.0</v>
      </c>
      <c r="K308" s="1">
        <v>42.0</v>
      </c>
      <c r="L308" s="1">
        <v>61.0</v>
      </c>
      <c r="M308" s="1">
        <v>59.0</v>
      </c>
      <c r="N308" s="1" t="s">
        <v>51</v>
      </c>
      <c r="O308" s="1">
        <v>57.0</v>
      </c>
      <c r="P308" s="1">
        <v>32.0</v>
      </c>
      <c r="Q308" s="1">
        <v>31.0</v>
      </c>
      <c r="R308" s="1">
        <v>25.0</v>
      </c>
      <c r="S308" s="1">
        <v>24.0</v>
      </c>
      <c r="T308" s="1" t="s">
        <v>52</v>
      </c>
      <c r="U308" s="1">
        <v>58.0</v>
      </c>
      <c r="V308" s="1">
        <v>30.0</v>
      </c>
      <c r="W308" s="1">
        <v>29.0</v>
      </c>
      <c r="X308" s="1">
        <v>28.0</v>
      </c>
      <c r="Y308" s="1">
        <v>28.0</v>
      </c>
      <c r="Z308" s="1" t="s">
        <v>53</v>
      </c>
      <c r="AA308" s="1">
        <v>50.0</v>
      </c>
      <c r="AB308" s="1">
        <v>24.0</v>
      </c>
      <c r="AC308" s="1">
        <v>24.0</v>
      </c>
      <c r="AD308" s="1">
        <v>26.0</v>
      </c>
      <c r="AE308" s="1">
        <v>25.0</v>
      </c>
      <c r="AF308" s="1" t="s">
        <v>54</v>
      </c>
      <c r="AG308" s="1">
        <v>45.0</v>
      </c>
      <c r="AH308" s="1">
        <v>20.0</v>
      </c>
      <c r="AI308" s="1">
        <v>20.0</v>
      </c>
      <c r="AJ308" s="1">
        <v>25.0</v>
      </c>
      <c r="AK308" s="1">
        <v>25.0</v>
      </c>
      <c r="AL308" s="1">
        <v>307.0</v>
      </c>
      <c r="AM308" s="1">
        <v>10.0</v>
      </c>
      <c r="AN308" s="1">
        <v>33.0</v>
      </c>
      <c r="AO308" s="1">
        <v>33.0</v>
      </c>
      <c r="AP308" s="1" t="s">
        <v>1732</v>
      </c>
      <c r="AQ308" s="3" t="str">
        <f>HYPERLINK("https://icf.clappia.com/app/GMB253374/submission/CAH31242702/ICF247370-GMB253374-2b4ni7f09eona0000000/SIG-20250702_11541acb7c.jpeg", "SIG-20250702_11541acb7c.jpeg")</f>
        <v>SIG-20250702_11541acb7c.jpeg</v>
      </c>
      <c r="AR308" s="1" t="s">
        <v>1316</v>
      </c>
      <c r="AS308" s="3" t="str">
        <f>HYPERLINK("https://icf.clappia.com/app/GMB253374/submission/CAH31242702/ICF247370-GMB253374-4klp071n7dlg00000000/SIG-20250702_1154170c77.jpeg", "SIG-20250702_1154170c77.jpeg")</f>
        <v>SIG-20250702_1154170c77.jpeg</v>
      </c>
      <c r="AT308" s="1" t="s">
        <v>1318</v>
      </c>
      <c r="AU308" s="3" t="str">
        <f>HYPERLINK("https://icf.clappia.com/app/GMB253374/submission/CAH31242702/ICF247370-GMB253374-2mfkjfbo041800000000/SIG-20250702_1135496k1.jpeg", "SIG-20250702_1135496k1.jpeg")</f>
        <v>SIG-20250702_1135496k1.jpeg</v>
      </c>
      <c r="AV308" s="3" t="str">
        <f>HYPERLINK("https://www.google.com/maps/place/8.81021%2C-12.0446033", "8.81021,-12.0446033")</f>
        <v>8.81021,-12.0446033</v>
      </c>
    </row>
    <row r="309" ht="15.75" customHeight="1">
      <c r="A309" s="1" t="s">
        <v>1733</v>
      </c>
      <c r="B309" s="1" t="s">
        <v>155</v>
      </c>
      <c r="C309" s="1" t="s">
        <v>1644</v>
      </c>
      <c r="D309" s="1" t="s">
        <v>1644</v>
      </c>
      <c r="E309" s="1" t="s">
        <v>1734</v>
      </c>
      <c r="F309" s="1" t="s">
        <v>64</v>
      </c>
      <c r="G309" s="1">
        <v>250.0</v>
      </c>
      <c r="H309" s="1" t="s">
        <v>50</v>
      </c>
      <c r="I309" s="1">
        <v>38.0</v>
      </c>
      <c r="J309" s="1">
        <v>20.0</v>
      </c>
      <c r="K309" s="1">
        <v>18.0</v>
      </c>
      <c r="L309" s="1">
        <v>18.0</v>
      </c>
      <c r="M309" s="1">
        <v>18.0</v>
      </c>
      <c r="N309" s="1" t="s">
        <v>51</v>
      </c>
      <c r="O309" s="1">
        <v>37.0</v>
      </c>
      <c r="P309" s="1">
        <v>15.0</v>
      </c>
      <c r="Q309" s="1">
        <v>15.0</v>
      </c>
      <c r="R309" s="1">
        <v>22.0</v>
      </c>
      <c r="S309" s="1">
        <v>21.0</v>
      </c>
      <c r="T309" s="1" t="s">
        <v>52</v>
      </c>
      <c r="U309" s="1">
        <v>37.0</v>
      </c>
      <c r="V309" s="1">
        <v>21.0</v>
      </c>
      <c r="W309" s="1">
        <v>18.0</v>
      </c>
      <c r="X309" s="1">
        <v>16.0</v>
      </c>
      <c r="Y309" s="1">
        <v>16.0</v>
      </c>
      <c r="Z309" s="1" t="s">
        <v>53</v>
      </c>
      <c r="AA309" s="1">
        <v>33.0</v>
      </c>
      <c r="AB309" s="1">
        <v>21.0</v>
      </c>
      <c r="AC309" s="1">
        <v>20.0</v>
      </c>
      <c r="AD309" s="1">
        <v>12.0</v>
      </c>
      <c r="AE309" s="1">
        <v>12.0</v>
      </c>
      <c r="AF309" s="1" t="s">
        <v>54</v>
      </c>
      <c r="AG309" s="1">
        <v>30.0</v>
      </c>
      <c r="AH309" s="1">
        <v>16.0</v>
      </c>
      <c r="AI309" s="1">
        <v>16.0</v>
      </c>
      <c r="AJ309" s="1">
        <v>14.0</v>
      </c>
      <c r="AK309" s="1">
        <v>14.0</v>
      </c>
      <c r="AL309" s="1">
        <v>168.0</v>
      </c>
      <c r="AM309" s="1">
        <v>8.0</v>
      </c>
      <c r="AN309" s="1">
        <v>74.0</v>
      </c>
      <c r="AO309" s="1">
        <v>74.0</v>
      </c>
      <c r="AP309" s="1" t="s">
        <v>1735</v>
      </c>
      <c r="AQ309" s="3" t="str">
        <f>HYPERLINK("https://icf.clappia.com/app/GMB253374/submission/KRM62600047/ICF247370-GMB253374-613nlaj4hd5a00000000/SIG-20250702_1355o61d8.jpeg", "SIG-20250702_1355o61d8.jpeg")</f>
        <v>SIG-20250702_1355o61d8.jpeg</v>
      </c>
      <c r="AR309" s="1" t="s">
        <v>1736</v>
      </c>
      <c r="AS309" s="3" t="str">
        <f>HYPERLINK("https://icf.clappia.com/app/GMB253374/submission/KRM62600047/ICF247370-GMB253374-65o44bnj9l0400000000/SIG-20250702_1356cg47n.jpeg", "SIG-20250702_1356cg47n.jpeg")</f>
        <v>SIG-20250702_1356cg47n.jpeg</v>
      </c>
      <c r="AT309" s="1" t="s">
        <v>1737</v>
      </c>
      <c r="AU309" s="3" t="str">
        <f>HYPERLINK("https://icf.clappia.com/app/GMB253374/submission/KRM62600047/ICF247370-GMB253374-5l5c4b4j27ma00000000/SIG-20250702_135615ncej.jpeg", "SIG-20250702_135615ncej.jpeg")</f>
        <v>SIG-20250702_135615ncej.jpeg</v>
      </c>
      <c r="AV309" s="3" t="str">
        <f>HYPERLINK("https://www.google.com/maps/place/8.791838%2C-11.9899155", "8.791838,-11.9899155")</f>
        <v>8.791838,-11.9899155</v>
      </c>
    </row>
    <row r="310" ht="15.75" customHeight="1">
      <c r="A310" s="1" t="s">
        <v>1738</v>
      </c>
      <c r="B310" s="1" t="s">
        <v>438</v>
      </c>
      <c r="C310" s="1" t="s">
        <v>1739</v>
      </c>
      <c r="D310" s="1" t="s">
        <v>1739</v>
      </c>
      <c r="E310" s="1" t="s">
        <v>1740</v>
      </c>
      <c r="F310" s="1" t="s">
        <v>64</v>
      </c>
      <c r="G310" s="1">
        <v>167.0</v>
      </c>
      <c r="H310" s="1" t="s">
        <v>50</v>
      </c>
      <c r="I310" s="1">
        <v>40.0</v>
      </c>
      <c r="J310" s="1">
        <v>18.0</v>
      </c>
      <c r="K310" s="1">
        <v>18.0</v>
      </c>
      <c r="L310" s="1">
        <v>22.0</v>
      </c>
      <c r="M310" s="1">
        <v>22.0</v>
      </c>
      <c r="N310" s="1" t="s">
        <v>51</v>
      </c>
      <c r="O310" s="1">
        <v>28.0</v>
      </c>
      <c r="P310" s="1">
        <v>12.0</v>
      </c>
      <c r="Q310" s="1">
        <v>12.0</v>
      </c>
      <c r="R310" s="1">
        <v>16.0</v>
      </c>
      <c r="S310" s="1">
        <v>16.0</v>
      </c>
      <c r="T310" s="1" t="s">
        <v>52</v>
      </c>
      <c r="U310" s="1">
        <v>25.0</v>
      </c>
      <c r="V310" s="1">
        <v>10.0</v>
      </c>
      <c r="W310" s="1">
        <v>10.0</v>
      </c>
      <c r="X310" s="1">
        <v>15.0</v>
      </c>
      <c r="Y310" s="1">
        <v>15.0</v>
      </c>
      <c r="Z310" s="1" t="s">
        <v>53</v>
      </c>
      <c r="AA310" s="1">
        <v>33.0</v>
      </c>
      <c r="AB310" s="1">
        <v>19.0</v>
      </c>
      <c r="AC310" s="1">
        <v>19.0</v>
      </c>
      <c r="AD310" s="1">
        <v>14.0</v>
      </c>
      <c r="AE310" s="1">
        <v>14.0</v>
      </c>
      <c r="AF310" s="1" t="s">
        <v>54</v>
      </c>
      <c r="AG310" s="1">
        <v>41.0</v>
      </c>
      <c r="AH310" s="1">
        <v>18.0</v>
      </c>
      <c r="AI310" s="1">
        <v>18.0</v>
      </c>
      <c r="AJ310" s="1">
        <v>23.0</v>
      </c>
      <c r="AK310" s="1">
        <v>23.0</v>
      </c>
      <c r="AL310" s="1">
        <v>167.0</v>
      </c>
      <c r="AM310" s="1" t="s">
        <v>55</v>
      </c>
      <c r="AN310" s="1" t="s">
        <v>55</v>
      </c>
      <c r="AO310" s="1" t="s">
        <v>55</v>
      </c>
      <c r="AP310" s="1" t="s">
        <v>1741</v>
      </c>
      <c r="AQ310" s="3" t="str">
        <f>HYPERLINK("https://icf.clappia.com/app/GMB253374/submission/JTU12531908/ICF247370-GMB253374-ldbg3lnhkmmc0000000/SIG-20250702_1351dnde.jpeg", "SIG-20250702_1351dnde.jpeg")</f>
        <v>SIG-20250702_1351dnde.jpeg</v>
      </c>
      <c r="AR310" s="1" t="s">
        <v>490</v>
      </c>
      <c r="AS310" s="3" t="str">
        <f>HYPERLINK("https://icf.clappia.com/app/GMB253374/submission/JTU12531908/ICF247370-GMB253374-669doofh7j1600000000/SIG-20250702_135260k76.jpeg", "SIG-20250702_135260k76.jpeg")</f>
        <v>SIG-20250702_135260k76.jpeg</v>
      </c>
      <c r="AT310" s="1" t="s">
        <v>491</v>
      </c>
      <c r="AU310" s="3" t="str">
        <f>HYPERLINK("https://icf.clappia.com/app/GMB253374/submission/JTU12531908/ICF247370-GMB253374-4d5f5ch69c9200000000/SIG-20250702_1352cnj47.jpeg", "SIG-20250702_1352cnj47.jpeg")</f>
        <v>SIG-20250702_1352cnj47.jpeg</v>
      </c>
      <c r="AV310" s="3" t="str">
        <f>HYPERLINK("https://www.google.com/maps/place/7.6387493%2C-11.9549566", "7.6387493,-11.9549566")</f>
        <v>7.6387493,-11.9549566</v>
      </c>
    </row>
    <row r="311" ht="15.75" customHeight="1">
      <c r="A311" s="1" t="s">
        <v>1742</v>
      </c>
      <c r="B311" s="1" t="s">
        <v>60</v>
      </c>
      <c r="C311" s="1" t="s">
        <v>1743</v>
      </c>
      <c r="D311" s="1" t="s">
        <v>1743</v>
      </c>
      <c r="E311" s="1" t="s">
        <v>1744</v>
      </c>
      <c r="F311" s="1" t="s">
        <v>49</v>
      </c>
      <c r="G311" s="1">
        <v>120.0</v>
      </c>
      <c r="H311" s="1" t="s">
        <v>50</v>
      </c>
      <c r="I311" s="1">
        <v>70.0</v>
      </c>
      <c r="J311" s="1">
        <v>30.0</v>
      </c>
      <c r="K311" s="1">
        <v>20.0</v>
      </c>
      <c r="L311" s="1">
        <v>40.0</v>
      </c>
      <c r="M311" s="1">
        <v>10.0</v>
      </c>
      <c r="N311" s="1" t="s">
        <v>51</v>
      </c>
      <c r="O311" s="1">
        <v>85.0</v>
      </c>
      <c r="P311" s="1">
        <v>35.0</v>
      </c>
      <c r="Q311" s="1">
        <v>15.0</v>
      </c>
      <c r="R311" s="1">
        <v>50.0</v>
      </c>
      <c r="S311" s="1">
        <v>14.0</v>
      </c>
      <c r="T311" s="1" t="s">
        <v>52</v>
      </c>
      <c r="U311" s="1">
        <v>60.0</v>
      </c>
      <c r="V311" s="1">
        <v>28.0</v>
      </c>
      <c r="W311" s="1">
        <v>7.0</v>
      </c>
      <c r="X311" s="1">
        <v>32.0</v>
      </c>
      <c r="Y311" s="1">
        <v>14.0</v>
      </c>
      <c r="Z311" s="1" t="s">
        <v>53</v>
      </c>
      <c r="AA311" s="1">
        <v>70.0</v>
      </c>
      <c r="AB311" s="1">
        <v>34.0</v>
      </c>
      <c r="AC311" s="1">
        <v>8.0</v>
      </c>
      <c r="AD311" s="1">
        <v>36.0</v>
      </c>
      <c r="AE311" s="1">
        <v>10.0</v>
      </c>
      <c r="AF311" s="1" t="s">
        <v>54</v>
      </c>
      <c r="AG311" s="1">
        <v>50.0</v>
      </c>
      <c r="AH311" s="1">
        <v>27.0</v>
      </c>
      <c r="AI311" s="1">
        <v>12.0</v>
      </c>
      <c r="AJ311" s="1">
        <v>23.0</v>
      </c>
      <c r="AK311" s="1">
        <v>10.0</v>
      </c>
      <c r="AL311" s="1">
        <v>120.0</v>
      </c>
      <c r="AM311" s="1" t="s">
        <v>55</v>
      </c>
      <c r="AN311" s="1" t="s">
        <v>55</v>
      </c>
      <c r="AO311" s="1" t="s">
        <v>55</v>
      </c>
      <c r="AP311" s="1" t="s">
        <v>758</v>
      </c>
      <c r="AQ311" s="3" t="str">
        <f>HYPERLINK("https://icf.clappia.com/app/GMB253374/submission/XTI65939144/ICF247370-GMB253374-4175hjgdegl200000000/SIG-20250702_12398cbam.jpeg", "SIG-20250702_12398cbam.jpeg")</f>
        <v>SIG-20250702_12398cbam.jpeg</v>
      </c>
      <c r="AR311" s="1" t="s">
        <v>759</v>
      </c>
      <c r="AS311" s="3" t="str">
        <f>HYPERLINK("https://icf.clappia.com/app/GMB253374/submission/XTI65939144/ICF247370-GMB253374-2d3m7bcjgc4400000000/SIG-20250702_1240b3ffm.jpeg", "SIG-20250702_1240b3ffm.jpeg")</f>
        <v>SIG-20250702_1240b3ffm.jpeg</v>
      </c>
      <c r="AT311" s="1" t="s">
        <v>760</v>
      </c>
      <c r="AU311" s="3" t="str">
        <f>HYPERLINK("https://icf.clappia.com/app/GMB253374/submission/XTI65939144/ICF247370-GMB253374-13id9ok2lh9ok0000000/SIG-20250702_1240icp35.jpeg", "SIG-20250702_1240icp35.jpeg")</f>
        <v>SIG-20250702_1240icp35.jpeg</v>
      </c>
      <c r="AV311" s="3" t="str">
        <f>HYPERLINK("https://www.google.com/maps/place/8.9143613%2C-12.0298825", "8.9143613,-12.0298825")</f>
        <v>8.9143613,-12.0298825</v>
      </c>
    </row>
    <row r="312" ht="15.75" customHeight="1">
      <c r="A312" s="1" t="s">
        <v>1745</v>
      </c>
      <c r="B312" s="1" t="s">
        <v>155</v>
      </c>
      <c r="C312" s="1" t="s">
        <v>1743</v>
      </c>
      <c r="D312" s="1" t="s">
        <v>1743</v>
      </c>
      <c r="E312" s="1" t="s">
        <v>1746</v>
      </c>
      <c r="F312" s="1" t="s">
        <v>64</v>
      </c>
      <c r="G312" s="1">
        <v>244.0</v>
      </c>
      <c r="H312" s="1" t="s">
        <v>50</v>
      </c>
      <c r="I312" s="1">
        <v>55.0</v>
      </c>
      <c r="J312" s="1">
        <v>30.0</v>
      </c>
      <c r="K312" s="1">
        <v>28.0</v>
      </c>
      <c r="L312" s="1">
        <v>25.0</v>
      </c>
      <c r="M312" s="1">
        <v>20.0</v>
      </c>
      <c r="N312" s="1" t="s">
        <v>51</v>
      </c>
      <c r="O312" s="1">
        <v>50.0</v>
      </c>
      <c r="P312" s="1">
        <v>21.0</v>
      </c>
      <c r="Q312" s="1">
        <v>20.0</v>
      </c>
      <c r="R312" s="1">
        <v>29.0</v>
      </c>
      <c r="S312" s="1">
        <v>24.0</v>
      </c>
      <c r="T312" s="1" t="s">
        <v>52</v>
      </c>
      <c r="U312" s="1">
        <v>35.0</v>
      </c>
      <c r="V312" s="1">
        <v>16.0</v>
      </c>
      <c r="W312" s="1">
        <v>16.0</v>
      </c>
      <c r="X312" s="1">
        <v>19.0</v>
      </c>
      <c r="Y312" s="1">
        <v>19.0</v>
      </c>
      <c r="Z312" s="1" t="s">
        <v>53</v>
      </c>
      <c r="AA312" s="1">
        <v>35.0</v>
      </c>
      <c r="AB312" s="1">
        <v>16.0</v>
      </c>
      <c r="AC312" s="1">
        <v>16.0</v>
      </c>
      <c r="AD312" s="1">
        <v>19.0</v>
      </c>
      <c r="AE312" s="1">
        <v>19.0</v>
      </c>
      <c r="AF312" s="1" t="s">
        <v>54</v>
      </c>
      <c r="AG312" s="1">
        <v>36.0</v>
      </c>
      <c r="AH312" s="1">
        <v>16.0</v>
      </c>
      <c r="AI312" s="1">
        <v>16.0</v>
      </c>
      <c r="AJ312" s="1">
        <v>20.0</v>
      </c>
      <c r="AK312" s="1">
        <v>18.0</v>
      </c>
      <c r="AL312" s="1">
        <v>196.0</v>
      </c>
      <c r="AM312" s="1" t="s">
        <v>55</v>
      </c>
      <c r="AN312" s="1">
        <v>48.0</v>
      </c>
      <c r="AO312" s="1">
        <v>48.0</v>
      </c>
      <c r="AP312" s="1" t="s">
        <v>1747</v>
      </c>
      <c r="AQ312" s="3" t="str">
        <f>HYPERLINK("https://icf.clappia.com/app/GMB253374/submission/ESD67166078/ICF247370-GMB253374-5l47n8jhn9d600000000/SIG-20250701_20221h43e.jpeg", "SIG-20250701_20221h43e.jpeg")</f>
        <v>SIG-20250701_20221h43e.jpeg</v>
      </c>
      <c r="AR312" s="1" t="s">
        <v>1748</v>
      </c>
      <c r="AS312" s="3" t="str">
        <f>HYPERLINK("https://icf.clappia.com/app/GMB253374/submission/ESD67166078/ICF247370-GMB253374-3acfnf55nf060000000/SIG-20250701_2024f766k.jpeg", "SIG-20250701_2024f766k.jpeg")</f>
        <v>SIG-20250701_2024f766k.jpeg</v>
      </c>
      <c r="AT312" s="1" t="s">
        <v>1749</v>
      </c>
      <c r="AU312" s="3" t="str">
        <f>HYPERLINK("https://icf.clappia.com/app/GMB253374/submission/ESD67166078/ICF247370-GMB253374-m177ang702g80000000/SIG-20250701_2024hedej.jpeg", "SIG-20250701_2024hedej.jpeg")</f>
        <v>SIG-20250701_2024hedej.jpeg</v>
      </c>
      <c r="AV312" s="3" t="str">
        <f>HYPERLINK("https://www.google.com/maps/place/8.7994917%2C-12.0252427", "8.7994917,-12.0252427")</f>
        <v>8.7994917,-12.0252427</v>
      </c>
    </row>
    <row r="313" ht="15.75" customHeight="1">
      <c r="A313" s="1" t="s">
        <v>1750</v>
      </c>
      <c r="B313" s="1" t="s">
        <v>81</v>
      </c>
      <c r="C313" s="1" t="s">
        <v>1751</v>
      </c>
      <c r="D313" s="1" t="s">
        <v>1751</v>
      </c>
      <c r="E313" s="1" t="s">
        <v>1752</v>
      </c>
      <c r="F313" s="1" t="s">
        <v>64</v>
      </c>
      <c r="G313" s="1">
        <v>200.0</v>
      </c>
      <c r="H313" s="1" t="s">
        <v>50</v>
      </c>
      <c r="I313" s="1">
        <v>35.0</v>
      </c>
      <c r="J313" s="1">
        <v>20.0</v>
      </c>
      <c r="K313" s="1">
        <v>20.0</v>
      </c>
      <c r="L313" s="1">
        <v>15.0</v>
      </c>
      <c r="M313" s="1">
        <v>15.0</v>
      </c>
      <c r="N313" s="1" t="s">
        <v>51</v>
      </c>
      <c r="O313" s="1">
        <v>48.0</v>
      </c>
      <c r="P313" s="1">
        <v>16.0</v>
      </c>
      <c r="Q313" s="1">
        <v>16.0</v>
      </c>
      <c r="R313" s="1">
        <v>32.0</v>
      </c>
      <c r="S313" s="1">
        <v>32.0</v>
      </c>
      <c r="T313" s="1" t="s">
        <v>52</v>
      </c>
      <c r="U313" s="1">
        <v>30.0</v>
      </c>
      <c r="V313" s="1">
        <v>10.0</v>
      </c>
      <c r="W313" s="1">
        <v>10.0</v>
      </c>
      <c r="X313" s="1">
        <v>20.0</v>
      </c>
      <c r="Y313" s="1">
        <v>20.0</v>
      </c>
      <c r="Z313" s="1" t="s">
        <v>53</v>
      </c>
      <c r="AA313" s="1">
        <v>59.0</v>
      </c>
      <c r="AB313" s="1">
        <v>25.0</v>
      </c>
      <c r="AC313" s="1">
        <v>25.0</v>
      </c>
      <c r="AD313" s="1">
        <v>34.0</v>
      </c>
      <c r="AE313" s="1">
        <v>34.0</v>
      </c>
      <c r="AF313" s="1" t="s">
        <v>54</v>
      </c>
      <c r="AG313" s="1">
        <v>28.0</v>
      </c>
      <c r="AH313" s="1">
        <v>9.0</v>
      </c>
      <c r="AI313" s="1">
        <v>9.0</v>
      </c>
      <c r="AJ313" s="1">
        <v>19.0</v>
      </c>
      <c r="AK313" s="1">
        <v>19.0</v>
      </c>
      <c r="AL313" s="1">
        <v>200.0</v>
      </c>
      <c r="AM313" s="1" t="s">
        <v>55</v>
      </c>
      <c r="AN313" s="1" t="s">
        <v>55</v>
      </c>
      <c r="AO313" s="1" t="s">
        <v>55</v>
      </c>
      <c r="AP313" s="1" t="s">
        <v>1753</v>
      </c>
      <c r="AQ313" s="3" t="str">
        <f>HYPERLINK("https://icf.clappia.com/app/GMB253374/submission/KDG92364883/ICF247370-GMB253374-5dk4eaimomg800000000/SIG-20250702_134613nmej.jpeg", "SIG-20250702_134613nmej.jpeg")</f>
        <v>SIG-20250702_134613nmej.jpeg</v>
      </c>
      <c r="AR313" s="1" t="s">
        <v>1754</v>
      </c>
      <c r="AS313" s="3" t="str">
        <f>HYPERLINK("https://icf.clappia.com/app/GMB253374/submission/KDG92364883/ICF247370-GMB253374-lk3k45a2cfd20000000/SIG-20250702_134712c0m6.jpeg", "SIG-20250702_134712c0m6.jpeg")</f>
        <v>SIG-20250702_134712c0m6.jpeg</v>
      </c>
      <c r="AT313" s="1" t="s">
        <v>1755</v>
      </c>
      <c r="AU313" s="3" t="str">
        <f>HYPERLINK("https://icf.clappia.com/app/GMB253374/submission/KDG92364883/ICF247370-GMB253374-1a7i6abc1og480000000/SIG-20250702_1349n396i.jpeg", "SIG-20250702_1349n396i.jpeg")</f>
        <v>SIG-20250702_1349n396i.jpeg</v>
      </c>
      <c r="AV313" s="3" t="str">
        <f>HYPERLINK("https://www.google.com/maps/place/7.97903%2C-11.6601683", "7.97903,-11.6601683")</f>
        <v>7.97903,-11.6601683</v>
      </c>
    </row>
    <row r="314" ht="15.75" customHeight="1">
      <c r="A314" s="1" t="s">
        <v>1756</v>
      </c>
      <c r="B314" s="1" t="s">
        <v>81</v>
      </c>
      <c r="C314" s="1" t="s">
        <v>1751</v>
      </c>
      <c r="D314" s="1" t="s">
        <v>1751</v>
      </c>
      <c r="E314" s="1" t="s">
        <v>1757</v>
      </c>
      <c r="F314" s="1" t="s">
        <v>64</v>
      </c>
      <c r="G314" s="1">
        <v>315.0</v>
      </c>
      <c r="H314" s="1" t="s">
        <v>50</v>
      </c>
      <c r="I314" s="1">
        <v>79.0</v>
      </c>
      <c r="J314" s="1">
        <v>49.0</v>
      </c>
      <c r="K314" s="1">
        <v>49.0</v>
      </c>
      <c r="L314" s="1">
        <v>30.0</v>
      </c>
      <c r="M314" s="1">
        <v>30.0</v>
      </c>
      <c r="N314" s="1" t="s">
        <v>51</v>
      </c>
      <c r="O314" s="1">
        <v>70.0</v>
      </c>
      <c r="P314" s="1">
        <v>40.0</v>
      </c>
      <c r="Q314" s="1">
        <v>40.0</v>
      </c>
      <c r="R314" s="1">
        <v>30.0</v>
      </c>
      <c r="S314" s="1">
        <v>30.0</v>
      </c>
      <c r="T314" s="1" t="s">
        <v>52</v>
      </c>
      <c r="U314" s="1">
        <v>68.0</v>
      </c>
      <c r="V314" s="1">
        <v>30.0</v>
      </c>
      <c r="W314" s="1">
        <v>30.0</v>
      </c>
      <c r="X314" s="1">
        <v>38.0</v>
      </c>
      <c r="Y314" s="1">
        <v>38.0</v>
      </c>
      <c r="Z314" s="1" t="s">
        <v>53</v>
      </c>
      <c r="AA314" s="1">
        <v>57.0</v>
      </c>
      <c r="AB314" s="1">
        <v>33.0</v>
      </c>
      <c r="AC314" s="1">
        <v>33.0</v>
      </c>
      <c r="AD314" s="1">
        <v>24.0</v>
      </c>
      <c r="AE314" s="1">
        <v>24.0</v>
      </c>
      <c r="AF314" s="1" t="s">
        <v>54</v>
      </c>
      <c r="AG314" s="1">
        <v>41.0</v>
      </c>
      <c r="AH314" s="1">
        <v>21.0</v>
      </c>
      <c r="AI314" s="1">
        <v>21.0</v>
      </c>
      <c r="AJ314" s="1">
        <v>20.0</v>
      </c>
      <c r="AK314" s="1">
        <v>20.0</v>
      </c>
      <c r="AL314" s="1">
        <v>315.0</v>
      </c>
      <c r="AM314" s="1" t="s">
        <v>55</v>
      </c>
      <c r="AN314" s="1" t="s">
        <v>55</v>
      </c>
      <c r="AO314" s="1" t="s">
        <v>55</v>
      </c>
      <c r="AP314" s="1" t="s">
        <v>1758</v>
      </c>
      <c r="AQ314" s="3" t="str">
        <f>HYPERLINK("https://icf.clappia.com/app/GMB253374/submission/WOG60811290/ICF247370-GMB253374-10cioelbhibig0000000/SIG-20250702_1053nkgmc.jpeg", "SIG-20250702_1053nkgmc.jpeg")</f>
        <v>SIG-20250702_1053nkgmc.jpeg</v>
      </c>
      <c r="AR314" s="1" t="s">
        <v>1759</v>
      </c>
      <c r="AS314" s="3" t="str">
        <f>HYPERLINK("https://icf.clappia.com/app/GMB253374/submission/WOG60811290/ICF247370-GMB253374-5848nop8ml0800000000/SIG-20250702_105518odoj.jpeg", "SIG-20250702_105518odoj.jpeg")</f>
        <v>SIG-20250702_105518odoj.jpeg</v>
      </c>
      <c r="AT314" s="1" t="s">
        <v>1760</v>
      </c>
      <c r="AU314" s="3" t="str">
        <f>HYPERLINK("https://icf.clappia.com/app/GMB253374/submission/WOG60811290/ICF247370-GMB253374-pfilo86bjlm80000000/SIG-20250702_135018pmli.jpeg", "SIG-20250702_135018pmli.jpeg")</f>
        <v>SIG-20250702_135018pmli.jpeg</v>
      </c>
      <c r="AV314" s="3" t="str">
        <f>HYPERLINK("https://www.google.com/maps/place/7.9619483%2C-11.7495417", "7.9619483,-11.7495417")</f>
        <v>7.9619483,-11.7495417</v>
      </c>
    </row>
    <row r="315" ht="15.75" customHeight="1">
      <c r="A315" s="1" t="s">
        <v>1761</v>
      </c>
      <c r="B315" s="1" t="s">
        <v>778</v>
      </c>
      <c r="C315" s="1" t="s">
        <v>1762</v>
      </c>
      <c r="D315" s="1" t="s">
        <v>1762</v>
      </c>
      <c r="E315" s="1" t="s">
        <v>1763</v>
      </c>
      <c r="F315" s="1" t="s">
        <v>64</v>
      </c>
      <c r="G315" s="1">
        <v>100.0</v>
      </c>
      <c r="H315" s="1" t="s">
        <v>50</v>
      </c>
      <c r="I315" s="1">
        <v>21.0</v>
      </c>
      <c r="J315" s="1">
        <v>10.0</v>
      </c>
      <c r="K315" s="1">
        <v>8.0</v>
      </c>
      <c r="L315" s="1">
        <v>11.0</v>
      </c>
      <c r="M315" s="1">
        <v>10.0</v>
      </c>
      <c r="N315" s="1" t="s">
        <v>51</v>
      </c>
      <c r="O315" s="1">
        <v>17.0</v>
      </c>
      <c r="P315" s="1">
        <v>9.0</v>
      </c>
      <c r="Q315" s="1">
        <v>7.0</v>
      </c>
      <c r="R315" s="1">
        <v>8.0</v>
      </c>
      <c r="S315" s="1">
        <v>7.0</v>
      </c>
      <c r="T315" s="1" t="s">
        <v>52</v>
      </c>
      <c r="U315" s="1">
        <v>14.0</v>
      </c>
      <c r="V315" s="1">
        <v>10.0</v>
      </c>
      <c r="W315" s="1">
        <v>9.0</v>
      </c>
      <c r="X315" s="1">
        <v>4.0</v>
      </c>
      <c r="Y315" s="1">
        <v>4.0</v>
      </c>
      <c r="Z315" s="1" t="s">
        <v>53</v>
      </c>
      <c r="AA315" s="1">
        <v>19.0</v>
      </c>
      <c r="AB315" s="1">
        <v>11.0</v>
      </c>
      <c r="AC315" s="1">
        <v>10.0</v>
      </c>
      <c r="AD315" s="1">
        <v>8.0</v>
      </c>
      <c r="AE315" s="1">
        <v>7.0</v>
      </c>
      <c r="AF315" s="1" t="s">
        <v>54</v>
      </c>
      <c r="AG315" s="1">
        <v>17.0</v>
      </c>
      <c r="AH315" s="1">
        <v>8.0</v>
      </c>
      <c r="AI315" s="1">
        <v>7.0</v>
      </c>
      <c r="AJ315" s="1">
        <v>9.0</v>
      </c>
      <c r="AK315" s="1">
        <v>8.0</v>
      </c>
      <c r="AL315" s="1">
        <v>77.0</v>
      </c>
      <c r="AM315" s="1">
        <v>10.0</v>
      </c>
      <c r="AN315" s="1">
        <v>13.0</v>
      </c>
      <c r="AO315" s="1">
        <v>13.0</v>
      </c>
      <c r="AP315" s="1" t="s">
        <v>1764</v>
      </c>
      <c r="AQ315" s="3" t="str">
        <f>HYPERLINK("https://icf.clappia.com/app/GMB253374/submission/IVN64940043/ICF247370-GMB253374-55j6ilk5n31a00000000/SIG-20250702_13321668go.jpeg", "SIG-20250702_13321668go.jpeg")</f>
        <v>SIG-20250702_13321668go.jpeg</v>
      </c>
      <c r="AR315" s="1" t="s">
        <v>1765</v>
      </c>
      <c r="AS315" s="3" t="str">
        <f>HYPERLINK("https://icf.clappia.com/app/GMB253374/submission/IVN64940043/ICF247370-GMB253374-25dfdp86pj42k0000000/SIG-20250702_1334b7c7p.jpeg", "SIG-20250702_1334b7c7p.jpeg")</f>
        <v>SIG-20250702_1334b7c7p.jpeg</v>
      </c>
      <c r="AT315" s="1" t="s">
        <v>1766</v>
      </c>
      <c r="AU315" s="3" t="str">
        <f>HYPERLINK("https://icf.clappia.com/app/GMB253374/submission/IVN64940043/ICF247370-GMB253374-194g8cmjoebig0000000/SIG-20250702_1340apcce.jpeg", "SIG-20250702_1340apcce.jpeg")</f>
        <v>SIG-20250702_1340apcce.jpeg</v>
      </c>
      <c r="AV315" s="3" t="str">
        <f>HYPERLINK("https://www.google.com/maps/place/7.8392983%2C-11.6167233", "7.8392983,-11.6167233")</f>
        <v>7.8392983,-11.6167233</v>
      </c>
    </row>
    <row r="316" ht="15.75" customHeight="1">
      <c r="A316" s="1" t="s">
        <v>1767</v>
      </c>
      <c r="B316" s="1" t="s">
        <v>278</v>
      </c>
      <c r="C316" s="1" t="s">
        <v>1768</v>
      </c>
      <c r="D316" s="1" t="s">
        <v>1768</v>
      </c>
      <c r="E316" s="2" t="s">
        <v>1769</v>
      </c>
      <c r="F316" s="1" t="s">
        <v>64</v>
      </c>
      <c r="G316" s="1">
        <v>260.0</v>
      </c>
      <c r="H316" s="1" t="s">
        <v>50</v>
      </c>
      <c r="I316" s="1">
        <v>71.0</v>
      </c>
      <c r="J316" s="1">
        <v>30.0</v>
      </c>
      <c r="K316" s="1">
        <v>30.0</v>
      </c>
      <c r="L316" s="1">
        <v>41.0</v>
      </c>
      <c r="M316" s="1">
        <v>41.0</v>
      </c>
      <c r="N316" s="1" t="s">
        <v>51</v>
      </c>
      <c r="O316" s="1">
        <v>58.0</v>
      </c>
      <c r="P316" s="1">
        <v>22.0</v>
      </c>
      <c r="Q316" s="1">
        <v>22.0</v>
      </c>
      <c r="R316" s="1">
        <v>36.0</v>
      </c>
      <c r="S316" s="1">
        <v>36.0</v>
      </c>
      <c r="T316" s="1" t="s">
        <v>52</v>
      </c>
      <c r="U316" s="1">
        <v>48.0</v>
      </c>
      <c r="V316" s="1">
        <v>22.0</v>
      </c>
      <c r="W316" s="1">
        <v>22.0</v>
      </c>
      <c r="X316" s="1">
        <v>26.0</v>
      </c>
      <c r="Y316" s="1">
        <v>26.0</v>
      </c>
      <c r="Z316" s="1" t="s">
        <v>53</v>
      </c>
      <c r="AA316" s="1">
        <v>40.0</v>
      </c>
      <c r="AB316" s="1">
        <v>20.0</v>
      </c>
      <c r="AC316" s="1">
        <v>20.0</v>
      </c>
      <c r="AD316" s="1">
        <v>20.0</v>
      </c>
      <c r="AE316" s="1">
        <v>20.0</v>
      </c>
      <c r="AF316" s="1" t="s">
        <v>54</v>
      </c>
      <c r="AG316" s="1">
        <v>43.0</v>
      </c>
      <c r="AH316" s="1">
        <v>20.0</v>
      </c>
      <c r="AI316" s="1">
        <v>20.0</v>
      </c>
      <c r="AJ316" s="1">
        <v>23.0</v>
      </c>
      <c r="AK316" s="1">
        <v>23.0</v>
      </c>
      <c r="AL316" s="1">
        <v>260.0</v>
      </c>
      <c r="AM316" s="1" t="s">
        <v>55</v>
      </c>
      <c r="AN316" s="1" t="s">
        <v>55</v>
      </c>
      <c r="AO316" s="1" t="s">
        <v>55</v>
      </c>
      <c r="AP316" s="1" t="s">
        <v>1770</v>
      </c>
      <c r="AQ316" s="3" t="str">
        <f>HYPERLINK("https://icf.clappia.com/app/GMB253374/submission/SEV77003046/ICF247370-GMB253374-2cdnok11ndim00000000/SIG-20250702_1248l0739.jpeg", "SIG-20250702_1248l0739.jpeg")</f>
        <v>SIG-20250702_1248l0739.jpeg</v>
      </c>
      <c r="AR316" s="1" t="s">
        <v>1771</v>
      </c>
      <c r="AS316" s="3" t="str">
        <f>HYPERLINK("https://icf.clappia.com/app/GMB253374/submission/SEV77003046/ICF247370-GMB253374-a87ld1kk1ff60000000/SIG-20250702_1249ae1f1.jpeg", "SIG-20250702_1249ae1f1.jpeg")</f>
        <v>SIG-20250702_1249ae1f1.jpeg</v>
      </c>
      <c r="AT316" s="1" t="s">
        <v>1772</v>
      </c>
      <c r="AU316" s="3" t="str">
        <f>HYPERLINK("https://icf.clappia.com/app/GMB253374/submission/SEV77003046/ICF247370-GMB253374-6honmbb042a40000000/SIG-20250702_1347m7169.jpeg", "SIG-20250702_1347m7169.jpeg")</f>
        <v>SIG-20250702_1347m7169.jpeg</v>
      </c>
      <c r="AV316" s="3" t="str">
        <f>HYPERLINK("https://www.google.com/maps/place/9.2248248%2C-12.2077711", "9.2248248,-12.2077711")</f>
        <v>9.2248248,-12.2077711</v>
      </c>
    </row>
    <row r="317" ht="15.75" customHeight="1">
      <c r="A317" s="1" t="s">
        <v>1773</v>
      </c>
      <c r="B317" s="1" t="s">
        <v>248</v>
      </c>
      <c r="C317" s="1" t="s">
        <v>1768</v>
      </c>
      <c r="D317" s="1" t="s">
        <v>1768</v>
      </c>
      <c r="E317" s="1" t="s">
        <v>1774</v>
      </c>
      <c r="F317" s="1" t="s">
        <v>64</v>
      </c>
      <c r="G317" s="1">
        <v>331.0</v>
      </c>
      <c r="H317" s="1" t="s">
        <v>50</v>
      </c>
      <c r="I317" s="1">
        <v>96.0</v>
      </c>
      <c r="J317" s="1">
        <v>40.0</v>
      </c>
      <c r="K317" s="1">
        <v>40.0</v>
      </c>
      <c r="L317" s="1">
        <v>56.0</v>
      </c>
      <c r="M317" s="1">
        <v>56.0</v>
      </c>
      <c r="N317" s="1" t="s">
        <v>51</v>
      </c>
      <c r="O317" s="1">
        <v>52.0</v>
      </c>
      <c r="P317" s="1">
        <v>28.0</v>
      </c>
      <c r="Q317" s="1">
        <v>28.0</v>
      </c>
      <c r="R317" s="1">
        <v>24.0</v>
      </c>
      <c r="S317" s="1">
        <v>24.0</v>
      </c>
      <c r="T317" s="1" t="s">
        <v>52</v>
      </c>
      <c r="U317" s="1">
        <v>45.0</v>
      </c>
      <c r="V317" s="1">
        <v>26.0</v>
      </c>
      <c r="W317" s="1">
        <v>26.0</v>
      </c>
      <c r="X317" s="1">
        <v>19.0</v>
      </c>
      <c r="Y317" s="1">
        <v>19.0</v>
      </c>
      <c r="Z317" s="1" t="s">
        <v>53</v>
      </c>
      <c r="AA317" s="1">
        <v>35.0</v>
      </c>
      <c r="AB317" s="1">
        <v>18.0</v>
      </c>
      <c r="AC317" s="1">
        <v>12.0</v>
      </c>
      <c r="AD317" s="1">
        <v>17.0</v>
      </c>
      <c r="AE317" s="1">
        <v>17.0</v>
      </c>
      <c r="AF317" s="1" t="s">
        <v>54</v>
      </c>
      <c r="AG317" s="1">
        <v>38.0</v>
      </c>
      <c r="AH317" s="1">
        <v>19.0</v>
      </c>
      <c r="AI317" s="1">
        <v>19.0</v>
      </c>
      <c r="AJ317" s="1">
        <v>19.0</v>
      </c>
      <c r="AK317" s="1">
        <v>19.0</v>
      </c>
      <c r="AL317" s="1">
        <v>260.0</v>
      </c>
      <c r="AM317" s="1" t="s">
        <v>55</v>
      </c>
      <c r="AN317" s="1">
        <v>71.0</v>
      </c>
      <c r="AO317" s="1">
        <v>71.0</v>
      </c>
      <c r="AP317" s="1" t="s">
        <v>1775</v>
      </c>
      <c r="AQ317" s="3" t="str">
        <f>HYPERLINK("https://icf.clappia.com/app/GMB253374/submission/OKJ43301726/ICF247370-GMB253374-5808ei58d70400000000/SIG-20250702_1333a0jh8.jpeg", "SIG-20250702_1333a0jh8.jpeg")</f>
        <v>SIG-20250702_1333a0jh8.jpeg</v>
      </c>
      <c r="AR317" s="1" t="s">
        <v>1776</v>
      </c>
      <c r="AS317" s="3" t="str">
        <f>HYPERLINK("https://icf.clappia.com/app/GMB253374/submission/OKJ43301726/ICF247370-GMB253374-18e4mh0b10g480000000/SIG-20250702_13366holm.jpeg", "SIG-20250702_13366holm.jpeg")</f>
        <v>SIG-20250702_13366holm.jpeg</v>
      </c>
      <c r="AT317" s="1" t="s">
        <v>1027</v>
      </c>
      <c r="AU317" s="3" t="str">
        <f>HYPERLINK("https://icf.clappia.com/app/GMB253374/submission/OKJ43301726/ICF247370-GMB253374-58njdjphhkke00000000/SIG-20250702_1336bkflc.jpeg", "SIG-20250702_1336bkflc.jpeg")</f>
        <v>SIG-20250702_1336bkflc.jpeg</v>
      </c>
      <c r="AV317" s="3" t="str">
        <f>HYPERLINK("https://www.google.com/maps/place/7.9019217%2C-11.548625", "7.9019217,-11.548625")</f>
        <v>7.9019217,-11.548625</v>
      </c>
    </row>
    <row r="318" ht="15.75" customHeight="1">
      <c r="A318" s="1" t="s">
        <v>1777</v>
      </c>
      <c r="B318" s="1" t="s">
        <v>349</v>
      </c>
      <c r="C318" s="1" t="s">
        <v>1778</v>
      </c>
      <c r="D318" s="1" t="s">
        <v>1778</v>
      </c>
      <c r="E318" s="1" t="s">
        <v>1779</v>
      </c>
      <c r="F318" s="1" t="s">
        <v>64</v>
      </c>
      <c r="G318" s="1">
        <v>237.0</v>
      </c>
      <c r="H318" s="1" t="s">
        <v>50</v>
      </c>
      <c r="I318" s="1">
        <v>47.0</v>
      </c>
      <c r="J318" s="1">
        <v>28.0</v>
      </c>
      <c r="K318" s="1">
        <v>27.0</v>
      </c>
      <c r="L318" s="1">
        <v>19.0</v>
      </c>
      <c r="M318" s="1">
        <v>18.0</v>
      </c>
      <c r="N318" s="1" t="s">
        <v>51</v>
      </c>
      <c r="O318" s="1">
        <v>46.0</v>
      </c>
      <c r="P318" s="1">
        <v>26.0</v>
      </c>
      <c r="Q318" s="1">
        <v>26.0</v>
      </c>
      <c r="R318" s="1">
        <v>20.0</v>
      </c>
      <c r="S318" s="1">
        <v>20.0</v>
      </c>
      <c r="T318" s="1" t="s">
        <v>52</v>
      </c>
      <c r="U318" s="1">
        <v>50.0</v>
      </c>
      <c r="V318" s="1">
        <v>20.0</v>
      </c>
      <c r="W318" s="1">
        <v>20.0</v>
      </c>
      <c r="X318" s="1">
        <v>30.0</v>
      </c>
      <c r="Y318" s="1">
        <v>30.0</v>
      </c>
      <c r="Z318" s="1" t="s">
        <v>53</v>
      </c>
      <c r="AA318" s="1">
        <v>52.0</v>
      </c>
      <c r="AB318" s="1">
        <v>32.0</v>
      </c>
      <c r="AC318" s="1">
        <v>32.0</v>
      </c>
      <c r="AD318" s="1">
        <v>20.0</v>
      </c>
      <c r="AE318" s="1">
        <v>20.0</v>
      </c>
      <c r="AF318" s="1" t="s">
        <v>54</v>
      </c>
      <c r="AG318" s="1">
        <v>36.0</v>
      </c>
      <c r="AH318" s="1">
        <v>18.0</v>
      </c>
      <c r="AI318" s="1">
        <v>18.0</v>
      </c>
      <c r="AJ318" s="1">
        <v>18.0</v>
      </c>
      <c r="AK318" s="1">
        <v>18.0</v>
      </c>
      <c r="AL318" s="1">
        <v>229.0</v>
      </c>
      <c r="AM318" s="1" t="s">
        <v>55</v>
      </c>
      <c r="AN318" s="1">
        <v>8.0</v>
      </c>
      <c r="AO318" s="1">
        <v>8.0</v>
      </c>
      <c r="AP318" s="1" t="s">
        <v>1780</v>
      </c>
      <c r="AQ318" s="3" t="str">
        <f>HYPERLINK("https://icf.clappia.com/app/GMB253374/submission/SCW38797242/ICF247370-GMB253374-66ga4ipb9gmg00000000/SIG-20250702_133912akbk.jpeg", "SIG-20250702_133912akbk.jpeg")</f>
        <v>SIG-20250702_133912akbk.jpeg</v>
      </c>
      <c r="AR318" s="1" t="s">
        <v>1781</v>
      </c>
      <c r="AS318" s="3" t="str">
        <f>HYPERLINK("https://icf.clappia.com/app/GMB253374/submission/SCW38797242/ICF247370-GMB253374-1kgnaa194e4ng0000000/SIG-20250702_13403357.jpeg", "SIG-20250702_13403357.jpeg")</f>
        <v>SIG-20250702_13403357.jpeg</v>
      </c>
      <c r="AT318" s="1" t="s">
        <v>1782</v>
      </c>
      <c r="AU318" s="3" t="str">
        <f>HYPERLINK("https://icf.clappia.com/app/GMB253374/submission/SCW38797242/ICF247370-GMB253374-ad43jin7jp1a0000000/SIG-20250702_1341j2o2h.jpeg", "SIG-20250702_1341j2o2h.jpeg")</f>
        <v>SIG-20250702_1341j2o2h.jpeg</v>
      </c>
      <c r="AV318" s="3" t="str">
        <f>HYPERLINK("https://www.google.com/maps/place/8.9665533%2C-11.9211767", "8.9665533,-11.9211767")</f>
        <v>8.9665533,-11.9211767</v>
      </c>
    </row>
    <row r="319" ht="15.75" customHeight="1">
      <c r="A319" s="1" t="s">
        <v>1783</v>
      </c>
      <c r="B319" s="1" t="s">
        <v>248</v>
      </c>
      <c r="C319" s="1" t="s">
        <v>1784</v>
      </c>
      <c r="D319" s="1" t="s">
        <v>1778</v>
      </c>
      <c r="E319" s="1" t="s">
        <v>1785</v>
      </c>
      <c r="F319" s="1" t="s">
        <v>64</v>
      </c>
      <c r="G319" s="1">
        <v>285.0</v>
      </c>
      <c r="H319" s="1" t="s">
        <v>50</v>
      </c>
      <c r="I319" s="1">
        <v>91.0</v>
      </c>
      <c r="J319" s="1">
        <v>50.0</v>
      </c>
      <c r="K319" s="1">
        <v>50.0</v>
      </c>
      <c r="L319" s="1">
        <v>41.0</v>
      </c>
      <c r="M319" s="1">
        <v>41.0</v>
      </c>
      <c r="N319" s="1" t="s">
        <v>51</v>
      </c>
      <c r="O319" s="1">
        <v>30.0</v>
      </c>
      <c r="P319" s="1">
        <v>14.0</v>
      </c>
      <c r="Q319" s="1">
        <v>14.0</v>
      </c>
      <c r="R319" s="1">
        <v>16.0</v>
      </c>
      <c r="S319" s="1">
        <v>16.0</v>
      </c>
      <c r="T319" s="1" t="s">
        <v>52</v>
      </c>
      <c r="U319" s="1">
        <v>14.0</v>
      </c>
      <c r="V319" s="1">
        <v>8.0</v>
      </c>
      <c r="W319" s="1">
        <v>8.0</v>
      </c>
      <c r="X319" s="1">
        <v>6.0</v>
      </c>
      <c r="Y319" s="1">
        <v>6.0</v>
      </c>
      <c r="Z319" s="1" t="s">
        <v>53</v>
      </c>
      <c r="AA319" s="1">
        <v>20.0</v>
      </c>
      <c r="AB319" s="1">
        <v>11.0</v>
      </c>
      <c r="AC319" s="1">
        <v>11.0</v>
      </c>
      <c r="AD319" s="1">
        <v>9.0</v>
      </c>
      <c r="AE319" s="1">
        <v>9.0</v>
      </c>
      <c r="AF319" s="1" t="s">
        <v>54</v>
      </c>
      <c r="AG319" s="1">
        <v>21.0</v>
      </c>
      <c r="AH319" s="1">
        <v>7.0</v>
      </c>
      <c r="AI319" s="1">
        <v>7.0</v>
      </c>
      <c r="AJ319" s="1">
        <v>14.0</v>
      </c>
      <c r="AK319" s="1">
        <v>14.0</v>
      </c>
      <c r="AL319" s="1">
        <v>176.0</v>
      </c>
      <c r="AM319" s="1" t="s">
        <v>55</v>
      </c>
      <c r="AN319" s="1">
        <v>109.0</v>
      </c>
      <c r="AO319" s="1">
        <v>109.0</v>
      </c>
      <c r="AP319" s="1" t="s">
        <v>1025</v>
      </c>
      <c r="AQ319" s="3" t="str">
        <f>HYPERLINK("https://icf.clappia.com/app/GMB253374/submission/OWU21740347/ICF247370-GMB253374-5j53fo1j824o00000000/SIG-20250701_105414kngn.jpeg", "SIG-20250701_105414kngn.jpeg")</f>
        <v>SIG-20250701_105414kngn.jpeg</v>
      </c>
      <c r="AR319" s="1" t="s">
        <v>1027</v>
      </c>
      <c r="AS319" s="3" t="str">
        <f>HYPERLINK("https://icf.clappia.com/app/GMB253374/submission/OWU21740347/ICF247370-GMB253374-23jj6b46gn38i0000000/SIG-20250701_10547l822.jpeg", "SIG-20250701_10547l822.jpeg")</f>
        <v>SIG-20250701_10547l822.jpeg</v>
      </c>
      <c r="AT319" s="1" t="s">
        <v>1786</v>
      </c>
      <c r="AU319" s="3" t="str">
        <f>HYPERLINK("https://icf.clappia.com/app/GMB253374/submission/OWU21740347/ICF247370-GMB253374-5bgb3h370pem00000000/SIG-20250701_11451c9n5.jpeg", "SIG-20250701_11451c9n5.jpeg")</f>
        <v>SIG-20250701_11451c9n5.jpeg</v>
      </c>
      <c r="AV319" s="3" t="str">
        <f>HYPERLINK("https://www.google.com/maps/place/7.9153817%2C-11.56143", "7.9153817,-11.56143")</f>
        <v>7.9153817,-11.56143</v>
      </c>
    </row>
    <row r="320" ht="15.75" customHeight="1">
      <c r="A320" s="1" t="s">
        <v>1787</v>
      </c>
      <c r="B320" s="1" t="s">
        <v>94</v>
      </c>
      <c r="C320" s="1" t="s">
        <v>1788</v>
      </c>
      <c r="D320" s="1" t="s">
        <v>1789</v>
      </c>
      <c r="E320" s="1" t="s">
        <v>1790</v>
      </c>
      <c r="F320" s="1" t="s">
        <v>64</v>
      </c>
      <c r="G320" s="1">
        <v>140.0</v>
      </c>
      <c r="H320" s="1" t="s">
        <v>50</v>
      </c>
      <c r="I320" s="1">
        <v>42.0</v>
      </c>
      <c r="J320" s="1">
        <v>20.0</v>
      </c>
      <c r="K320" s="1">
        <v>20.0</v>
      </c>
      <c r="L320" s="1">
        <v>22.0</v>
      </c>
      <c r="M320" s="1">
        <v>22.0</v>
      </c>
      <c r="N320" s="1" t="s">
        <v>51</v>
      </c>
      <c r="O320" s="1">
        <v>12.0</v>
      </c>
      <c r="P320" s="1">
        <v>7.0</v>
      </c>
      <c r="Q320" s="1">
        <v>7.0</v>
      </c>
      <c r="R320" s="1">
        <v>5.0</v>
      </c>
      <c r="S320" s="1">
        <v>5.0</v>
      </c>
      <c r="T320" s="1" t="s">
        <v>52</v>
      </c>
      <c r="U320" s="1">
        <v>22.0</v>
      </c>
      <c r="V320" s="1">
        <v>9.0</v>
      </c>
      <c r="W320" s="1">
        <v>9.0</v>
      </c>
      <c r="X320" s="1">
        <v>13.0</v>
      </c>
      <c r="Y320" s="1">
        <v>13.0</v>
      </c>
      <c r="Z320" s="1" t="s">
        <v>53</v>
      </c>
      <c r="AA320" s="1">
        <v>16.0</v>
      </c>
      <c r="AB320" s="1">
        <v>6.0</v>
      </c>
      <c r="AC320" s="1">
        <v>6.0</v>
      </c>
      <c r="AD320" s="1">
        <v>10.0</v>
      </c>
      <c r="AE320" s="1">
        <v>10.0</v>
      </c>
      <c r="AF320" s="1" t="s">
        <v>54</v>
      </c>
      <c r="AG320" s="1">
        <v>19.0</v>
      </c>
      <c r="AH320" s="1">
        <v>7.0</v>
      </c>
      <c r="AI320" s="1">
        <v>7.0</v>
      </c>
      <c r="AJ320" s="1">
        <v>12.0</v>
      </c>
      <c r="AK320" s="1">
        <v>12.0</v>
      </c>
      <c r="AL320" s="1">
        <v>111.0</v>
      </c>
      <c r="AM320" s="1">
        <v>10.0</v>
      </c>
      <c r="AN320" s="1">
        <v>19.0</v>
      </c>
      <c r="AO320" s="1">
        <v>19.0</v>
      </c>
      <c r="AP320" s="1" t="s">
        <v>1791</v>
      </c>
      <c r="AQ320" s="3" t="str">
        <f>HYPERLINK("https://icf.clappia.com/app/GMB253374/submission/AID56934981/ICF247370-GMB253374-1i3733p6591040000000/SIG-20250702_1141pd0ae.jpeg", "SIG-20250702_1141pd0ae.jpeg")</f>
        <v>SIG-20250702_1141pd0ae.jpeg</v>
      </c>
      <c r="AR320" s="1" t="s">
        <v>1792</v>
      </c>
      <c r="AS320" s="3" t="str">
        <f>HYPERLINK("https://icf.clappia.com/app/GMB253374/submission/AID56934981/ICF247370-GMB253374-4cab7o92eegm00000000/SIG-20250702_114315gbdf.jpeg", "SIG-20250702_114315gbdf.jpeg")</f>
        <v>SIG-20250702_114315gbdf.jpeg</v>
      </c>
      <c r="AT320" s="1" t="s">
        <v>1792</v>
      </c>
      <c r="AU320" s="3" t="str">
        <f>HYPERLINK("https://icf.clappia.com/app/GMB253374/submission/AID56934981/ICF247370-GMB253374-1eg4iofmmmjoe0000000/SIG-20250702_1143jk5cj.jpeg", "SIG-20250702_1143jk5cj.jpeg")</f>
        <v>SIG-20250702_1143jk5cj.jpeg</v>
      </c>
      <c r="AV320" s="3" t="str">
        <f>HYPERLINK("https://www.google.com/maps/place/7.7148133%2C-11.92425", "7.7148133,-11.92425")</f>
        <v>7.7148133,-11.92425</v>
      </c>
    </row>
    <row r="321" ht="15.75" customHeight="1">
      <c r="A321" s="1" t="s">
        <v>1793</v>
      </c>
      <c r="B321" s="1" t="s">
        <v>142</v>
      </c>
      <c r="C321" s="1" t="s">
        <v>1794</v>
      </c>
      <c r="D321" s="1" t="s">
        <v>1794</v>
      </c>
      <c r="E321" s="1" t="s">
        <v>1795</v>
      </c>
      <c r="F321" s="1" t="s">
        <v>64</v>
      </c>
      <c r="G321" s="1">
        <v>283.0</v>
      </c>
      <c r="H321" s="1" t="s">
        <v>50</v>
      </c>
      <c r="I321" s="1">
        <v>64.0</v>
      </c>
      <c r="J321" s="1">
        <v>39.0</v>
      </c>
      <c r="K321" s="1">
        <v>39.0</v>
      </c>
      <c r="L321" s="1">
        <v>25.0</v>
      </c>
      <c r="M321" s="1">
        <v>25.0</v>
      </c>
      <c r="N321" s="1" t="s">
        <v>51</v>
      </c>
      <c r="O321" s="1">
        <v>14.0</v>
      </c>
      <c r="P321" s="1">
        <v>7.0</v>
      </c>
      <c r="Q321" s="1">
        <v>7.0</v>
      </c>
      <c r="R321" s="1">
        <v>7.0</v>
      </c>
      <c r="S321" s="1">
        <v>7.0</v>
      </c>
      <c r="T321" s="1" t="s">
        <v>52</v>
      </c>
      <c r="U321" s="1">
        <v>18.0</v>
      </c>
      <c r="V321" s="1">
        <v>8.0</v>
      </c>
      <c r="W321" s="1">
        <v>8.0</v>
      </c>
      <c r="X321" s="1">
        <v>10.0</v>
      </c>
      <c r="Y321" s="1">
        <v>10.0</v>
      </c>
      <c r="Z321" s="1" t="s">
        <v>53</v>
      </c>
      <c r="AA321" s="1">
        <v>19.0</v>
      </c>
      <c r="AB321" s="1">
        <v>11.0</v>
      </c>
      <c r="AC321" s="1">
        <v>11.0</v>
      </c>
      <c r="AD321" s="1">
        <v>8.0</v>
      </c>
      <c r="AE321" s="1">
        <v>8.0</v>
      </c>
      <c r="AF321" s="1" t="s">
        <v>54</v>
      </c>
      <c r="AG321" s="1">
        <v>18.0</v>
      </c>
      <c r="AH321" s="1">
        <v>10.0</v>
      </c>
      <c r="AI321" s="1">
        <v>10.0</v>
      </c>
      <c r="AJ321" s="1">
        <v>8.0</v>
      </c>
      <c r="AK321" s="1">
        <v>8.0</v>
      </c>
      <c r="AL321" s="1">
        <v>133.0</v>
      </c>
      <c r="AM321" s="1" t="s">
        <v>55</v>
      </c>
      <c r="AN321" s="1">
        <v>150.0</v>
      </c>
      <c r="AO321" s="1">
        <v>150.0</v>
      </c>
      <c r="AP321" s="1" t="s">
        <v>1796</v>
      </c>
      <c r="AQ321" s="3" t="str">
        <f>HYPERLINK("https://icf.clappia.com/app/GMB253374/submission/ILE39828168/ICF247370-GMB253374-5e9hf7ii0la800000000/SIG-20250702_1339g9cll.jpeg", "SIG-20250702_1339g9cll.jpeg")</f>
        <v>SIG-20250702_1339g9cll.jpeg</v>
      </c>
      <c r="AR321" s="1" t="s">
        <v>1797</v>
      </c>
      <c r="AS321" s="3" t="str">
        <f>HYPERLINK("https://icf.clappia.com/app/GMB253374/submission/ILE39828168/ICF247370-GMB253374-clp2jh9d0ohm0000000/SIG-20250702_13391335mm.jpeg", "SIG-20250702_13391335mm.jpeg")</f>
        <v>SIG-20250702_13391335mm.jpeg</v>
      </c>
      <c r="AT321" s="1" t="s">
        <v>449</v>
      </c>
      <c r="AU321" s="3" t="str">
        <f>HYPERLINK("https://icf.clappia.com/app/GMB253374/submission/ILE39828168/ICF247370-GMB253374-2e0nnon1mo9800000000/SIG-20250702_1340cekae.jpeg", "SIG-20250702_1340cekae.jpeg")</f>
        <v>SIG-20250702_1340cekae.jpeg</v>
      </c>
      <c r="AV321" s="3" t="str">
        <f>HYPERLINK("https://www.google.com/maps/place/7.9406978%2C-11.7386809", "7.9406978,-11.7386809")</f>
        <v>7.9406978,-11.7386809</v>
      </c>
    </row>
    <row r="322" ht="15.75" customHeight="1">
      <c r="A322" s="1" t="s">
        <v>1798</v>
      </c>
      <c r="B322" s="1" t="s">
        <v>46</v>
      </c>
      <c r="C322" s="1" t="s">
        <v>1799</v>
      </c>
      <c r="D322" s="1" t="s">
        <v>1799</v>
      </c>
      <c r="E322" s="1" t="s">
        <v>1800</v>
      </c>
      <c r="F322" s="1" t="s">
        <v>49</v>
      </c>
      <c r="G322" s="1">
        <v>379.0</v>
      </c>
      <c r="H322" s="1" t="s">
        <v>50</v>
      </c>
      <c r="I322" s="1">
        <v>61.0</v>
      </c>
      <c r="J322" s="1">
        <v>29.0</v>
      </c>
      <c r="K322" s="1">
        <v>29.0</v>
      </c>
      <c r="L322" s="1">
        <v>32.0</v>
      </c>
      <c r="M322" s="1">
        <v>32.0</v>
      </c>
      <c r="N322" s="1" t="s">
        <v>51</v>
      </c>
      <c r="O322" s="1">
        <v>77.0</v>
      </c>
      <c r="P322" s="1">
        <v>38.0</v>
      </c>
      <c r="Q322" s="1">
        <v>38.0</v>
      </c>
      <c r="R322" s="1">
        <v>39.0</v>
      </c>
      <c r="S322" s="1">
        <v>39.0</v>
      </c>
      <c r="T322" s="1" t="s">
        <v>52</v>
      </c>
      <c r="U322" s="1">
        <v>70.0</v>
      </c>
      <c r="V322" s="1">
        <v>36.0</v>
      </c>
      <c r="W322" s="1">
        <v>36.0</v>
      </c>
      <c r="X322" s="1">
        <v>34.0</v>
      </c>
      <c r="Y322" s="1">
        <v>34.0</v>
      </c>
      <c r="Z322" s="1" t="s">
        <v>53</v>
      </c>
      <c r="AA322" s="1">
        <v>98.0</v>
      </c>
      <c r="AB322" s="1">
        <v>48.0</v>
      </c>
      <c r="AC322" s="1">
        <v>48.0</v>
      </c>
      <c r="AD322" s="1">
        <v>50.0</v>
      </c>
      <c r="AE322" s="1">
        <v>50.0</v>
      </c>
      <c r="AF322" s="1" t="s">
        <v>54</v>
      </c>
      <c r="AG322" s="1">
        <v>74.0</v>
      </c>
      <c r="AH322" s="1">
        <v>34.0</v>
      </c>
      <c r="AI322" s="1">
        <v>34.0</v>
      </c>
      <c r="AJ322" s="1">
        <v>39.0</v>
      </c>
      <c r="AK322" s="1">
        <v>39.0</v>
      </c>
      <c r="AL322" s="1">
        <v>379.0</v>
      </c>
      <c r="AM322" s="1" t="s">
        <v>55</v>
      </c>
      <c r="AN322" s="1" t="s">
        <v>55</v>
      </c>
      <c r="AO322" s="1" t="s">
        <v>55</v>
      </c>
      <c r="AP322" s="1" t="s">
        <v>1801</v>
      </c>
      <c r="AQ322" s="3" t="str">
        <f>HYPERLINK("https://icf.clappia.com/app/GMB253374/submission/BKF25125546/ICF247370-GMB253374-4ien49og9lka00000000/SIG-20250702_1019bbcl0.jpeg", "SIG-20250702_1019bbcl0.jpeg")</f>
        <v>SIG-20250702_1019bbcl0.jpeg</v>
      </c>
      <c r="AR322" s="1" t="s">
        <v>1802</v>
      </c>
      <c r="AS322" s="3" t="str">
        <f>HYPERLINK("https://icf.clappia.com/app/GMB253374/submission/BKF25125546/ICF247370-GMB253374-6b63j1lg61cc00000000/SIG-20250702_10201319hp.jpeg", "SIG-20250702_10201319hp.jpeg")</f>
        <v>SIG-20250702_10201319hp.jpeg</v>
      </c>
      <c r="AT322" s="1" t="s">
        <v>1803</v>
      </c>
      <c r="AU322" s="3" t="str">
        <f>HYPERLINK("https://icf.clappia.com/app/GMB253374/submission/BKF25125546/ICF247370-GMB253374-4ie6p7dmma5800000000/SIG-20250702_1020g3kgm.jpeg", "SIG-20250702_1020g3kgm.jpeg")</f>
        <v>SIG-20250702_1020g3kgm.jpeg</v>
      </c>
      <c r="AV322" s="3" t="str">
        <f>HYPERLINK("https://www.google.com/maps/place/8.9169717%2C-12.030035", "8.9169717,-12.030035")</f>
        <v>8.9169717,-12.030035</v>
      </c>
    </row>
    <row r="323" ht="15.75" customHeight="1">
      <c r="A323" s="1" t="s">
        <v>1804</v>
      </c>
      <c r="B323" s="1" t="s">
        <v>438</v>
      </c>
      <c r="C323" s="1" t="s">
        <v>1805</v>
      </c>
      <c r="D323" s="1" t="s">
        <v>1805</v>
      </c>
      <c r="E323" s="1" t="s">
        <v>1806</v>
      </c>
      <c r="F323" s="1" t="s">
        <v>64</v>
      </c>
      <c r="G323" s="1">
        <v>150.0</v>
      </c>
      <c r="H323" s="1" t="s">
        <v>50</v>
      </c>
      <c r="I323" s="1">
        <v>55.0</v>
      </c>
      <c r="J323" s="1">
        <v>26.0</v>
      </c>
      <c r="K323" s="1">
        <v>26.0</v>
      </c>
      <c r="L323" s="1">
        <v>29.0</v>
      </c>
      <c r="M323" s="1">
        <v>29.0</v>
      </c>
      <c r="N323" s="1" t="s">
        <v>51</v>
      </c>
      <c r="O323" s="1">
        <v>25.0</v>
      </c>
      <c r="P323" s="1">
        <v>11.0</v>
      </c>
      <c r="Q323" s="1">
        <v>11.0</v>
      </c>
      <c r="R323" s="1">
        <v>14.0</v>
      </c>
      <c r="S323" s="1">
        <v>14.0</v>
      </c>
      <c r="T323" s="1" t="s">
        <v>52</v>
      </c>
      <c r="U323" s="1">
        <v>18.0</v>
      </c>
      <c r="V323" s="1">
        <v>6.0</v>
      </c>
      <c r="W323" s="1">
        <v>6.0</v>
      </c>
      <c r="X323" s="1">
        <v>12.0</v>
      </c>
      <c r="Y323" s="1">
        <v>12.0</v>
      </c>
      <c r="Z323" s="1" t="s">
        <v>53</v>
      </c>
      <c r="AA323" s="1">
        <v>21.0</v>
      </c>
      <c r="AB323" s="1">
        <v>11.0</v>
      </c>
      <c r="AC323" s="1">
        <v>11.0</v>
      </c>
      <c r="AD323" s="1">
        <v>10.0</v>
      </c>
      <c r="AE323" s="1">
        <v>10.0</v>
      </c>
      <c r="AF323" s="1" t="s">
        <v>54</v>
      </c>
      <c r="AG323" s="1">
        <v>16.0</v>
      </c>
      <c r="AH323" s="1">
        <v>9.0</v>
      </c>
      <c r="AI323" s="1">
        <v>9.0</v>
      </c>
      <c r="AJ323" s="1">
        <v>7.0</v>
      </c>
      <c r="AK323" s="1">
        <v>7.0</v>
      </c>
      <c r="AL323" s="1">
        <v>135.0</v>
      </c>
      <c r="AM323" s="1" t="s">
        <v>55</v>
      </c>
      <c r="AN323" s="1">
        <v>15.0</v>
      </c>
      <c r="AO323" s="1">
        <v>15.0</v>
      </c>
      <c r="AP323" s="1" t="s">
        <v>1807</v>
      </c>
      <c r="AQ323" s="3" t="str">
        <f>HYPERLINK("https://icf.clappia.com/app/GMB253374/submission/WBD08652758/ICF247370-GMB253374-401ep71jd4i600000000/SIG-20250702_13041p2ca.jpeg", "SIG-20250702_13041p2ca.jpeg")</f>
        <v>SIG-20250702_13041p2ca.jpeg</v>
      </c>
      <c r="AR323" s="1" t="s">
        <v>1808</v>
      </c>
      <c r="AS323" s="3" t="str">
        <f>HYPERLINK("https://icf.clappia.com/app/GMB253374/submission/WBD08652758/ICF247370-GMB253374-102jia7m7hi2c0000000/SIG-20250702_130580p6.jpeg", "SIG-20250702_130580p6.jpeg")</f>
        <v>SIG-20250702_130580p6.jpeg</v>
      </c>
      <c r="AT323" s="1" t="s">
        <v>1809</v>
      </c>
      <c r="AU323" s="3" t="str">
        <f>HYPERLINK("https://icf.clappia.com/app/GMB253374/submission/WBD08652758/ICF247370-GMB253374-5hne4odbgg4400000000/SIG-20250702_1306127mpb.jpeg", "SIG-20250702_1306127mpb.jpeg")</f>
        <v>SIG-20250702_1306127mpb.jpeg</v>
      </c>
      <c r="AV323" s="3" t="str">
        <f>HYPERLINK("https://www.google.com/maps/place/7.6333831%2C-11.8123858", "7.6333831,-11.8123858")</f>
        <v>7.6333831,-11.8123858</v>
      </c>
    </row>
    <row r="324" ht="15.75" customHeight="1">
      <c r="A324" s="1" t="s">
        <v>1810</v>
      </c>
      <c r="B324" s="1" t="s">
        <v>46</v>
      </c>
      <c r="C324" s="1" t="s">
        <v>1811</v>
      </c>
      <c r="D324" s="1" t="s">
        <v>1811</v>
      </c>
      <c r="E324" s="1" t="s">
        <v>1812</v>
      </c>
      <c r="F324" s="1" t="s">
        <v>64</v>
      </c>
      <c r="G324" s="1">
        <v>100.0</v>
      </c>
      <c r="H324" s="1" t="s">
        <v>50</v>
      </c>
      <c r="I324" s="1">
        <v>73.0</v>
      </c>
      <c r="J324" s="1">
        <v>34.0</v>
      </c>
      <c r="K324" s="1">
        <v>12.0</v>
      </c>
      <c r="L324" s="1">
        <v>39.0</v>
      </c>
      <c r="M324" s="1">
        <v>10.0</v>
      </c>
      <c r="N324" s="1" t="s">
        <v>51</v>
      </c>
      <c r="O324" s="1">
        <v>43.0</v>
      </c>
      <c r="P324" s="1">
        <v>22.0</v>
      </c>
      <c r="Q324" s="1">
        <v>9.0</v>
      </c>
      <c r="R324" s="1">
        <v>21.0</v>
      </c>
      <c r="S324" s="1">
        <v>6.0</v>
      </c>
      <c r="T324" s="1" t="s">
        <v>52</v>
      </c>
      <c r="U324" s="1">
        <v>46.0</v>
      </c>
      <c r="V324" s="1">
        <v>20.0</v>
      </c>
      <c r="W324" s="1">
        <v>12.0</v>
      </c>
      <c r="X324" s="1">
        <v>26.0</v>
      </c>
      <c r="Y324" s="1">
        <v>5.0</v>
      </c>
      <c r="Z324" s="1" t="s">
        <v>53</v>
      </c>
      <c r="AA324" s="1">
        <v>60.0</v>
      </c>
      <c r="AB324" s="1">
        <v>30.0</v>
      </c>
      <c r="AC324" s="1">
        <v>13.0</v>
      </c>
      <c r="AD324" s="1">
        <v>30.0</v>
      </c>
      <c r="AE324" s="1">
        <v>6.0</v>
      </c>
      <c r="AF324" s="1" t="s">
        <v>54</v>
      </c>
      <c r="AG324" s="1">
        <v>41.0</v>
      </c>
      <c r="AH324" s="1">
        <v>20.0</v>
      </c>
      <c r="AI324" s="1">
        <v>7.0</v>
      </c>
      <c r="AJ324" s="1">
        <v>21.0</v>
      </c>
      <c r="AK324" s="1">
        <v>10.0</v>
      </c>
      <c r="AL324" s="1">
        <v>90.0</v>
      </c>
      <c r="AM324" s="1" t="s">
        <v>55</v>
      </c>
      <c r="AN324" s="1">
        <v>10.0</v>
      </c>
      <c r="AO324" s="1">
        <v>10.0</v>
      </c>
      <c r="AP324" s="1" t="s">
        <v>1813</v>
      </c>
      <c r="AQ324" s="3" t="str">
        <f>HYPERLINK("https://icf.clappia.com/app/GMB253374/submission/BZY35330485/ICF247370-GMB253374-4dc232gpnkg000000000/SIG-20250702_1152288ao.jpeg", "SIG-20250702_1152288ao.jpeg")</f>
        <v>SIG-20250702_1152288ao.jpeg</v>
      </c>
      <c r="AR324" s="1" t="s">
        <v>1814</v>
      </c>
      <c r="AS324" s="3" t="str">
        <f>HYPERLINK("https://icf.clappia.com/app/GMB253374/submission/BZY35330485/ICF247370-GMB253374-48c1n9gnjpd400000000/SIG-20250702_1152gbljf.jpeg", "SIG-20250702_1152gbljf.jpeg")</f>
        <v>SIG-20250702_1152gbljf.jpeg</v>
      </c>
      <c r="AT324" s="1" t="s">
        <v>1815</v>
      </c>
      <c r="AU324" s="3" t="str">
        <f>HYPERLINK("https://icf.clappia.com/app/GMB253374/submission/BZY35330485/ICF247370-GMB253374-iom7a3pf5k5e000000/SIG-20250702_115215397d.jpeg", "SIG-20250702_115215397d.jpeg")</f>
        <v>SIG-20250702_115215397d.jpeg</v>
      </c>
      <c r="AV324" s="3" t="str">
        <f>HYPERLINK("https://www.google.com/maps/place/8.9173211%2C-12.031411", "8.9173211,-12.031411")</f>
        <v>8.9173211,-12.031411</v>
      </c>
    </row>
    <row r="325" ht="15.75" customHeight="1">
      <c r="A325" s="1" t="s">
        <v>1816</v>
      </c>
      <c r="B325" s="1" t="s">
        <v>349</v>
      </c>
      <c r="C325" s="1" t="s">
        <v>1817</v>
      </c>
      <c r="D325" s="1" t="s">
        <v>1817</v>
      </c>
      <c r="E325" s="1" t="s">
        <v>1818</v>
      </c>
      <c r="F325" s="1" t="s">
        <v>64</v>
      </c>
      <c r="G325" s="1">
        <v>100.0</v>
      </c>
      <c r="H325" s="1" t="s">
        <v>50</v>
      </c>
      <c r="I325" s="1">
        <v>40.0</v>
      </c>
      <c r="J325" s="1">
        <v>18.0</v>
      </c>
      <c r="K325" s="1">
        <v>18.0</v>
      </c>
      <c r="L325" s="1">
        <v>22.0</v>
      </c>
      <c r="M325" s="1">
        <v>22.0</v>
      </c>
      <c r="N325" s="1" t="s">
        <v>51</v>
      </c>
      <c r="O325" s="1">
        <v>18.0</v>
      </c>
      <c r="P325" s="1">
        <v>8.0</v>
      </c>
      <c r="Q325" s="1">
        <v>8.0</v>
      </c>
      <c r="R325" s="1">
        <v>10.0</v>
      </c>
      <c r="S325" s="1">
        <v>10.0</v>
      </c>
      <c r="T325" s="1" t="s">
        <v>52</v>
      </c>
      <c r="U325" s="1">
        <v>19.0</v>
      </c>
      <c r="V325" s="1">
        <v>9.0</v>
      </c>
      <c r="W325" s="1">
        <v>9.0</v>
      </c>
      <c r="X325" s="1">
        <v>10.0</v>
      </c>
      <c r="Y325" s="1">
        <v>10.0</v>
      </c>
      <c r="Z325" s="1" t="s">
        <v>53</v>
      </c>
      <c r="AA325" s="1">
        <v>13.0</v>
      </c>
      <c r="AB325" s="1">
        <v>7.0</v>
      </c>
      <c r="AC325" s="1">
        <v>7.0</v>
      </c>
      <c r="AD325" s="1">
        <v>6.0</v>
      </c>
      <c r="AE325" s="1">
        <v>6.0</v>
      </c>
      <c r="AF325" s="1" t="s">
        <v>54</v>
      </c>
      <c r="AG325" s="1">
        <v>10.0</v>
      </c>
      <c r="AH325" s="1">
        <v>4.0</v>
      </c>
      <c r="AI325" s="1">
        <v>4.0</v>
      </c>
      <c r="AJ325" s="1">
        <v>6.0</v>
      </c>
      <c r="AK325" s="1">
        <v>6.0</v>
      </c>
      <c r="AL325" s="1">
        <v>100.0</v>
      </c>
      <c r="AM325" s="1" t="s">
        <v>55</v>
      </c>
      <c r="AN325" s="1" t="s">
        <v>55</v>
      </c>
      <c r="AO325" s="1" t="s">
        <v>55</v>
      </c>
      <c r="AP325" s="1" t="s">
        <v>1819</v>
      </c>
      <c r="AQ325" s="3" t="str">
        <f>HYPERLINK("https://icf.clappia.com/app/GMB253374/submission/STR41780069/ICF247370-GMB253374-5i0fpoma0pa800000000/SIG-20250702_1329d6ml9.jpeg", "SIG-20250702_1329d6ml9.jpeg")</f>
        <v>SIG-20250702_1329d6ml9.jpeg</v>
      </c>
      <c r="AR325" s="1" t="s">
        <v>1820</v>
      </c>
      <c r="AS325" s="3" t="str">
        <f>HYPERLINK("https://icf.clappia.com/app/GMB253374/submission/STR41780069/ICF247370-GMB253374-3448db4d0b6600000000/SIG-20250702_1330121kie.jpeg", "SIG-20250702_1330121kie.jpeg")</f>
        <v>SIG-20250702_1330121kie.jpeg</v>
      </c>
      <c r="AT325" s="1" t="s">
        <v>1821</v>
      </c>
      <c r="AU325" s="3" t="str">
        <f>HYPERLINK("https://icf.clappia.com/app/GMB253374/submission/STR41780069/ICF247370-GMB253374-4hh2h0obo48k00000000/SIG-20250702_133115i416.jpeg", "SIG-20250702_133115i416.jpeg")</f>
        <v>SIG-20250702_133115i416.jpeg</v>
      </c>
      <c r="AV325" s="3" t="str">
        <f>HYPERLINK("https://www.google.com/maps/place/8.9238768%2C-11.9474514", "8.9238768,-11.9474514")</f>
        <v>8.9238768,-11.9474514</v>
      </c>
    </row>
    <row r="326" ht="15.75" customHeight="1">
      <c r="A326" s="1" t="s">
        <v>1822</v>
      </c>
      <c r="B326" s="1" t="s">
        <v>69</v>
      </c>
      <c r="C326" s="1" t="s">
        <v>640</v>
      </c>
      <c r="D326" s="1" t="s">
        <v>640</v>
      </c>
      <c r="E326" s="1" t="s">
        <v>1823</v>
      </c>
      <c r="F326" s="1" t="s">
        <v>49</v>
      </c>
      <c r="G326" s="1">
        <v>50.0</v>
      </c>
      <c r="H326" s="1" t="s">
        <v>50</v>
      </c>
      <c r="I326" s="1" t="s">
        <v>55</v>
      </c>
      <c r="J326" s="1" t="s">
        <v>55</v>
      </c>
      <c r="K326" s="1" t="s">
        <v>55</v>
      </c>
      <c r="L326" s="1" t="s">
        <v>55</v>
      </c>
      <c r="M326" s="1" t="s">
        <v>55</v>
      </c>
      <c r="N326" s="1" t="s">
        <v>51</v>
      </c>
      <c r="O326" s="1" t="s">
        <v>55</v>
      </c>
      <c r="P326" s="1" t="s">
        <v>55</v>
      </c>
      <c r="Q326" s="1" t="s">
        <v>55</v>
      </c>
      <c r="R326" s="1" t="s">
        <v>55</v>
      </c>
      <c r="S326" s="1" t="s">
        <v>55</v>
      </c>
      <c r="T326" s="1" t="s">
        <v>52</v>
      </c>
      <c r="U326" s="1" t="s">
        <v>55</v>
      </c>
      <c r="V326" s="1" t="s">
        <v>55</v>
      </c>
      <c r="W326" s="1" t="s">
        <v>55</v>
      </c>
      <c r="X326" s="1" t="s">
        <v>55</v>
      </c>
      <c r="Y326" s="1" t="s">
        <v>55</v>
      </c>
      <c r="Z326" s="1" t="s">
        <v>53</v>
      </c>
      <c r="AA326" s="1" t="s">
        <v>55</v>
      </c>
      <c r="AB326" s="1" t="s">
        <v>55</v>
      </c>
      <c r="AC326" s="1" t="s">
        <v>55</v>
      </c>
      <c r="AD326" s="1" t="s">
        <v>55</v>
      </c>
      <c r="AE326" s="1" t="s">
        <v>55</v>
      </c>
      <c r="AF326" s="1" t="s">
        <v>54</v>
      </c>
      <c r="AG326" s="1">
        <v>50.0</v>
      </c>
      <c r="AH326" s="1">
        <v>30.0</v>
      </c>
      <c r="AI326" s="1">
        <v>30.0</v>
      </c>
      <c r="AJ326" s="1">
        <v>20.0</v>
      </c>
      <c r="AK326" s="1">
        <v>20.0</v>
      </c>
      <c r="AL326" s="1">
        <v>50.0</v>
      </c>
      <c r="AM326" s="1" t="s">
        <v>55</v>
      </c>
      <c r="AN326" s="1" t="s">
        <v>55</v>
      </c>
      <c r="AO326" s="1" t="s">
        <v>55</v>
      </c>
      <c r="AP326" s="1" t="s">
        <v>552</v>
      </c>
      <c r="AQ326" s="3" t="str">
        <f>HYPERLINK("https://icf.clappia.com/app/GMB253374/submission/JJP09179331/ICF247370-GMB253374-69ggaahcbeio00000000/SIG-20250702_1327g036g.jpeg", "SIG-20250702_1327g036g.jpeg")</f>
        <v>SIG-20250702_1327g036g.jpeg</v>
      </c>
      <c r="AR326" s="1" t="s">
        <v>553</v>
      </c>
      <c r="AS326" s="3" t="str">
        <f>HYPERLINK("https://icf.clappia.com/app/GMB253374/submission/JJP09179331/ICF247370-GMB253374-512lg7hkhj6o00000000/SIG-20250702_1328168i7.jpeg", "SIG-20250702_1328168i7.jpeg")</f>
        <v>SIG-20250702_1328168i7.jpeg</v>
      </c>
      <c r="AT326" s="1" t="s">
        <v>554</v>
      </c>
      <c r="AU326" s="3" t="str">
        <f>HYPERLINK("https://icf.clappia.com/app/GMB253374/submission/JJP09179331/ICF247370-GMB253374-4lm5fpbmllj200000000/SIG-20250702_132917l4i0.jpeg", "SIG-20250702_132917l4i0.jpeg")</f>
        <v>SIG-20250702_132917l4i0.jpeg</v>
      </c>
      <c r="AV326" s="3" t="str">
        <f>HYPERLINK("https://www.google.com/maps/place/8.8486117%2C-12.1145817", "8.8486117,-12.1145817")</f>
        <v>8.8486117,-12.1145817</v>
      </c>
    </row>
    <row r="327" ht="15.75" customHeight="1">
      <c r="A327" s="1" t="s">
        <v>1824</v>
      </c>
      <c r="B327" s="1" t="s">
        <v>167</v>
      </c>
      <c r="C327" s="1" t="s">
        <v>1825</v>
      </c>
      <c r="D327" s="1" t="s">
        <v>1825</v>
      </c>
      <c r="E327" s="1" t="s">
        <v>1826</v>
      </c>
      <c r="F327" s="1" t="s">
        <v>64</v>
      </c>
      <c r="G327" s="1">
        <v>100.0</v>
      </c>
      <c r="H327" s="1" t="s">
        <v>50</v>
      </c>
      <c r="I327" s="1">
        <v>32.0</v>
      </c>
      <c r="J327" s="1">
        <v>11.0</v>
      </c>
      <c r="K327" s="1">
        <v>11.0</v>
      </c>
      <c r="L327" s="1">
        <v>21.0</v>
      </c>
      <c r="M327" s="1">
        <v>21.0</v>
      </c>
      <c r="N327" s="1" t="s">
        <v>51</v>
      </c>
      <c r="O327" s="1">
        <v>19.0</v>
      </c>
      <c r="P327" s="1">
        <v>10.0</v>
      </c>
      <c r="Q327" s="1">
        <v>10.0</v>
      </c>
      <c r="R327" s="1">
        <v>9.0</v>
      </c>
      <c r="S327" s="1">
        <v>9.0</v>
      </c>
      <c r="T327" s="1" t="s">
        <v>52</v>
      </c>
      <c r="U327" s="1">
        <v>12.0</v>
      </c>
      <c r="V327" s="1">
        <v>7.0</v>
      </c>
      <c r="W327" s="1">
        <v>7.0</v>
      </c>
      <c r="X327" s="1">
        <v>5.0</v>
      </c>
      <c r="Y327" s="1">
        <v>5.0</v>
      </c>
      <c r="Z327" s="1" t="s">
        <v>53</v>
      </c>
      <c r="AA327" s="1">
        <v>10.0</v>
      </c>
      <c r="AB327" s="1">
        <v>6.0</v>
      </c>
      <c r="AC327" s="1">
        <v>6.0</v>
      </c>
      <c r="AD327" s="1">
        <v>4.0</v>
      </c>
      <c r="AE327" s="1">
        <v>4.0</v>
      </c>
      <c r="AF327" s="1" t="s">
        <v>54</v>
      </c>
      <c r="AG327" s="1">
        <v>8.0</v>
      </c>
      <c r="AH327" s="1">
        <v>5.0</v>
      </c>
      <c r="AI327" s="1">
        <v>5.0</v>
      </c>
      <c r="AJ327" s="1">
        <v>3.0</v>
      </c>
      <c r="AK327" s="1">
        <v>3.0</v>
      </c>
      <c r="AL327" s="1">
        <v>81.0</v>
      </c>
      <c r="AM327" s="1" t="s">
        <v>55</v>
      </c>
      <c r="AN327" s="1">
        <v>19.0</v>
      </c>
      <c r="AO327" s="1">
        <v>19.0</v>
      </c>
      <c r="AP327" s="1" t="s">
        <v>181</v>
      </c>
      <c r="AQ327" s="3" t="str">
        <f>HYPERLINK("https://icf.clappia.com/app/GMB253374/submission/ZUP76712771/ICF247370-GMB253374-60i3dke02e8e00000000/SIG-20250702_130844fg8.jpeg", "SIG-20250702_130844fg8.jpeg")</f>
        <v>SIG-20250702_130844fg8.jpeg</v>
      </c>
      <c r="AR327" s="1" t="s">
        <v>1827</v>
      </c>
      <c r="AS327" s="3" t="str">
        <f>HYPERLINK("https://icf.clappia.com/app/GMB253374/submission/ZUP76712771/ICF247370-GMB253374-3kglh82n9gmc00000000/SIG-20250702_131135g1m.jpeg", "SIG-20250702_131135g1m.jpeg")</f>
        <v>SIG-20250702_131135g1m.jpeg</v>
      </c>
      <c r="AT327" s="1" t="s">
        <v>153</v>
      </c>
      <c r="AU327" s="3" t="str">
        <f>HYPERLINK("https://icf.clappia.com/app/GMB253374/submission/ZUP76712771/ICF247370-GMB253374-384oh7codd7o00000000/SIG-20250702_13111a04ce.jpeg", "SIG-20250702_13111a04ce.jpeg")</f>
        <v>SIG-20250702_13111a04ce.jpeg</v>
      </c>
      <c r="AV327" s="3" t="str">
        <f>HYPERLINK("https://www.google.com/maps/place/7.7949717%2C-11.86965", "7.7949717,-11.86965")</f>
        <v>7.7949717,-11.86965</v>
      </c>
    </row>
    <row r="328" ht="15.75" customHeight="1">
      <c r="A328" s="1" t="s">
        <v>1828</v>
      </c>
      <c r="B328" s="1" t="s">
        <v>75</v>
      </c>
      <c r="C328" s="1" t="s">
        <v>1825</v>
      </c>
      <c r="D328" s="1" t="s">
        <v>1825</v>
      </c>
      <c r="E328" s="1" t="s">
        <v>1829</v>
      </c>
      <c r="F328" s="1" t="s">
        <v>64</v>
      </c>
      <c r="G328" s="1">
        <v>300.0</v>
      </c>
      <c r="H328" s="1" t="s">
        <v>50</v>
      </c>
      <c r="I328" s="1">
        <v>140.0</v>
      </c>
      <c r="J328" s="1">
        <v>75.0</v>
      </c>
      <c r="K328" s="1">
        <v>75.0</v>
      </c>
      <c r="L328" s="1">
        <v>65.0</v>
      </c>
      <c r="M328" s="1">
        <v>65.0</v>
      </c>
      <c r="N328" s="1" t="s">
        <v>51</v>
      </c>
      <c r="O328" s="1">
        <v>41.0</v>
      </c>
      <c r="P328" s="1">
        <v>21.0</v>
      </c>
      <c r="Q328" s="1">
        <v>21.0</v>
      </c>
      <c r="R328" s="1">
        <v>20.0</v>
      </c>
      <c r="S328" s="1">
        <v>20.0</v>
      </c>
      <c r="T328" s="1" t="s">
        <v>52</v>
      </c>
      <c r="U328" s="1">
        <v>36.0</v>
      </c>
      <c r="V328" s="1">
        <v>20.0</v>
      </c>
      <c r="W328" s="1">
        <v>20.0</v>
      </c>
      <c r="X328" s="1">
        <v>16.0</v>
      </c>
      <c r="Y328" s="1">
        <v>16.0</v>
      </c>
      <c r="Z328" s="1" t="s">
        <v>53</v>
      </c>
      <c r="AA328" s="1">
        <v>31.0</v>
      </c>
      <c r="AB328" s="1">
        <v>17.0</v>
      </c>
      <c r="AC328" s="1">
        <v>17.0</v>
      </c>
      <c r="AD328" s="1">
        <v>14.0</v>
      </c>
      <c r="AE328" s="1">
        <v>14.0</v>
      </c>
      <c r="AF328" s="1" t="s">
        <v>54</v>
      </c>
      <c r="AG328" s="1">
        <v>27.0</v>
      </c>
      <c r="AH328" s="1">
        <v>15.0</v>
      </c>
      <c r="AI328" s="1">
        <v>15.0</v>
      </c>
      <c r="AJ328" s="1">
        <v>12.0</v>
      </c>
      <c r="AK328" s="1">
        <v>12.0</v>
      </c>
      <c r="AL328" s="1">
        <v>275.0</v>
      </c>
      <c r="AM328" s="1">
        <v>5.0</v>
      </c>
      <c r="AN328" s="1">
        <v>20.0</v>
      </c>
      <c r="AO328" s="1">
        <v>20.0</v>
      </c>
      <c r="AP328" s="1" t="s">
        <v>1830</v>
      </c>
      <c r="AQ328" s="3" t="str">
        <f>HYPERLINK("https://icf.clappia.com/app/GMB253374/submission/GMF00776621/ICF247370-GMB253374-4onkb882k6nm00000000/SIG-20250702_13211ag779.jpeg", "SIG-20250702_13211ag779.jpeg")</f>
        <v>SIG-20250702_13211ag779.jpeg</v>
      </c>
      <c r="AR328" s="1" t="s">
        <v>1831</v>
      </c>
      <c r="AS328" s="3" t="str">
        <f>HYPERLINK("https://icf.clappia.com/app/GMB253374/submission/GMF00776621/ICF247370-GMB253374-5l3e52p2cao000000000/SIG-20250702_1321f988e.jpeg", "SIG-20250702_1321f988e.jpeg")</f>
        <v>SIG-20250702_1321f988e.jpeg</v>
      </c>
      <c r="AT328" s="1" t="s">
        <v>1832</v>
      </c>
      <c r="AU328" s="3" t="str">
        <f>HYPERLINK("https://icf.clappia.com/app/GMB253374/submission/GMF00776621/ICF247370-GMB253374-5nm83hjgiggi00000000/SIG-20250702_132240gl4.jpeg", "SIG-20250702_132240gl4.jpeg")</f>
        <v>SIG-20250702_132240gl4.jpeg</v>
      </c>
      <c r="AV328" s="3" t="str">
        <f>HYPERLINK("https://www.google.com/maps/place/8.970955%2C-12.1596167", "8.970955,-12.1596167")</f>
        <v>8.970955,-12.1596167</v>
      </c>
    </row>
    <row r="329" ht="15.75" customHeight="1">
      <c r="A329" s="1" t="s">
        <v>1833</v>
      </c>
      <c r="B329" s="1" t="s">
        <v>438</v>
      </c>
      <c r="C329" s="1" t="s">
        <v>1834</v>
      </c>
      <c r="D329" s="1" t="s">
        <v>1834</v>
      </c>
      <c r="E329" s="1" t="s">
        <v>1835</v>
      </c>
      <c r="F329" s="1" t="s">
        <v>64</v>
      </c>
      <c r="G329" s="1">
        <v>189.0</v>
      </c>
      <c r="H329" s="1" t="s">
        <v>50</v>
      </c>
      <c r="I329" s="1">
        <v>100.0</v>
      </c>
      <c r="J329" s="1">
        <v>45.0</v>
      </c>
      <c r="K329" s="1">
        <v>45.0</v>
      </c>
      <c r="L329" s="1">
        <v>55.0</v>
      </c>
      <c r="M329" s="1">
        <v>52.0</v>
      </c>
      <c r="N329" s="1" t="s">
        <v>51</v>
      </c>
      <c r="O329" s="1">
        <v>89.0</v>
      </c>
      <c r="P329" s="1">
        <v>40.0</v>
      </c>
      <c r="Q329" s="1">
        <v>39.0</v>
      </c>
      <c r="R329" s="1">
        <v>49.0</v>
      </c>
      <c r="S329" s="1">
        <v>47.0</v>
      </c>
      <c r="T329" s="1" t="s">
        <v>52</v>
      </c>
      <c r="U329" s="1" t="s">
        <v>55</v>
      </c>
      <c r="V329" s="1" t="s">
        <v>55</v>
      </c>
      <c r="W329" s="1" t="s">
        <v>55</v>
      </c>
      <c r="X329" s="1" t="s">
        <v>55</v>
      </c>
      <c r="Y329" s="1" t="s">
        <v>55</v>
      </c>
      <c r="Z329" s="1" t="s">
        <v>53</v>
      </c>
      <c r="AA329" s="1" t="s">
        <v>55</v>
      </c>
      <c r="AB329" s="1" t="s">
        <v>55</v>
      </c>
      <c r="AC329" s="1" t="s">
        <v>55</v>
      </c>
      <c r="AD329" s="1" t="s">
        <v>55</v>
      </c>
      <c r="AE329" s="1" t="s">
        <v>55</v>
      </c>
      <c r="AF329" s="1" t="s">
        <v>54</v>
      </c>
      <c r="AG329" s="1" t="s">
        <v>55</v>
      </c>
      <c r="AH329" s="1" t="s">
        <v>55</v>
      </c>
      <c r="AI329" s="1" t="s">
        <v>55</v>
      </c>
      <c r="AJ329" s="1" t="s">
        <v>55</v>
      </c>
      <c r="AK329" s="1" t="s">
        <v>55</v>
      </c>
      <c r="AL329" s="1">
        <v>183.0</v>
      </c>
      <c r="AM329" s="1">
        <v>6.0</v>
      </c>
      <c r="AN329" s="1" t="s">
        <v>55</v>
      </c>
      <c r="AO329" s="1" t="s">
        <v>55</v>
      </c>
      <c r="AP329" s="1" t="s">
        <v>1836</v>
      </c>
      <c r="AQ329" s="3" t="str">
        <f>HYPERLINK("https://icf.clappia.com/app/GMB253374/submission/CIW34664799/ICF247370-GMB253374-52hea6ncc52o00000000/SIG-20250702_12578kmn.jpeg", "SIG-20250702_12578kmn.jpeg")</f>
        <v>SIG-20250702_12578kmn.jpeg</v>
      </c>
      <c r="AR329" s="1" t="s">
        <v>1837</v>
      </c>
      <c r="AS329" s="3" t="str">
        <f>HYPERLINK("https://icf.clappia.com/app/GMB253374/submission/CIW34664799/ICF247370-GMB253374-5i7cn3oanmnm00000000/SIG-20250702_125896nhm.jpeg", "SIG-20250702_125896nhm.jpeg")</f>
        <v>SIG-20250702_125896nhm.jpeg</v>
      </c>
      <c r="AT329" s="1" t="s">
        <v>1838</v>
      </c>
      <c r="AU329" s="3" t="str">
        <f>HYPERLINK("https://icf.clappia.com/app/GMB253374/submission/CIW34664799/ICF247370-GMB253374-2j4ham7bg2ma00000000/SIG-20250702_1258og21j.jpeg", "SIG-20250702_1258og21j.jpeg")</f>
        <v>SIG-20250702_1258og21j.jpeg</v>
      </c>
      <c r="AV329" s="3" t="str">
        <f>HYPERLINK("https://www.google.com/maps/place/7.5568067%2C-11.86943", "7.5568067,-11.86943")</f>
        <v>7.5568067,-11.86943</v>
      </c>
    </row>
    <row r="330" ht="15.75" customHeight="1">
      <c r="A330" s="1" t="s">
        <v>1839</v>
      </c>
      <c r="B330" s="1" t="s">
        <v>342</v>
      </c>
      <c r="C330" s="1" t="s">
        <v>1840</v>
      </c>
      <c r="D330" s="1" t="s">
        <v>1840</v>
      </c>
      <c r="E330" s="1" t="s">
        <v>1841</v>
      </c>
      <c r="F330" s="1" t="s">
        <v>64</v>
      </c>
      <c r="G330" s="1">
        <v>140.0</v>
      </c>
      <c r="H330" s="1" t="s">
        <v>50</v>
      </c>
      <c r="I330" s="1">
        <v>30.0</v>
      </c>
      <c r="J330" s="1">
        <v>15.0</v>
      </c>
      <c r="K330" s="1">
        <v>10.0</v>
      </c>
      <c r="L330" s="1">
        <v>15.0</v>
      </c>
      <c r="M330" s="1">
        <v>12.0</v>
      </c>
      <c r="N330" s="1" t="s">
        <v>51</v>
      </c>
      <c r="O330" s="1">
        <v>28.0</v>
      </c>
      <c r="P330" s="1">
        <v>13.0</v>
      </c>
      <c r="Q330" s="1">
        <v>10.0</v>
      </c>
      <c r="R330" s="1">
        <v>15.0</v>
      </c>
      <c r="S330" s="1">
        <v>14.0</v>
      </c>
      <c r="T330" s="1" t="s">
        <v>52</v>
      </c>
      <c r="U330" s="1">
        <v>27.0</v>
      </c>
      <c r="V330" s="1">
        <v>11.0</v>
      </c>
      <c r="W330" s="1">
        <v>10.0</v>
      </c>
      <c r="X330" s="1">
        <v>16.0</v>
      </c>
      <c r="Y330" s="1">
        <v>13.0</v>
      </c>
      <c r="Z330" s="1" t="s">
        <v>53</v>
      </c>
      <c r="AA330" s="1">
        <v>25.0</v>
      </c>
      <c r="AB330" s="1">
        <v>12.0</v>
      </c>
      <c r="AC330" s="1">
        <v>10.0</v>
      </c>
      <c r="AD330" s="1">
        <v>13.0</v>
      </c>
      <c r="AE330" s="1">
        <v>12.0</v>
      </c>
      <c r="AF330" s="1" t="s">
        <v>54</v>
      </c>
      <c r="AG330" s="1">
        <v>30.0</v>
      </c>
      <c r="AH330" s="1">
        <v>15.0</v>
      </c>
      <c r="AI330" s="1">
        <v>10.0</v>
      </c>
      <c r="AJ330" s="1">
        <v>15.0</v>
      </c>
      <c r="AK330" s="1">
        <v>12.0</v>
      </c>
      <c r="AL330" s="1">
        <v>113.0</v>
      </c>
      <c r="AM330" s="1" t="s">
        <v>55</v>
      </c>
      <c r="AN330" s="1">
        <v>27.0</v>
      </c>
      <c r="AO330" s="1">
        <v>27.0</v>
      </c>
      <c r="AP330" s="1" t="s">
        <v>1842</v>
      </c>
      <c r="AQ330" s="3" t="str">
        <f>HYPERLINK("https://icf.clappia.com/app/GMB253374/submission/ATS37734491/ICF247370-GMB253374-nkkkk25j5g4g000000/SIG-20250702_1240n3dld.jpeg", "SIG-20250702_1240n3dld.jpeg")</f>
        <v>SIG-20250702_1240n3dld.jpeg</v>
      </c>
      <c r="AR330" s="1" t="s">
        <v>1843</v>
      </c>
      <c r="AS330" s="3" t="str">
        <f>HYPERLINK("https://icf.clappia.com/app/GMB253374/submission/ATS37734491/ICF247370-GMB253374-4aj68a6o908g00000000/SIG-20250702_12427e334.jpeg", "SIG-20250702_12427e334.jpeg")</f>
        <v>SIG-20250702_12427e334.jpeg</v>
      </c>
      <c r="AT330" s="1" t="s">
        <v>1844</v>
      </c>
      <c r="AU330" s="3" t="str">
        <f>HYPERLINK("https://icf.clappia.com/app/GMB253374/submission/ATS37734491/ICF247370-GMB253374-611hbdl38p8c00000000/SIG-20250702_12434p0e.jpeg", "SIG-20250702_12434p0e.jpeg")</f>
        <v>SIG-20250702_12434p0e.jpeg</v>
      </c>
      <c r="AV330" s="3" t="str">
        <f>HYPERLINK("https://www.google.com/maps/place/9.1027205%2C-12.2049112", "9.1027205,-12.2049112")</f>
        <v>9.1027205,-12.2049112</v>
      </c>
    </row>
    <row r="331" ht="15.75" customHeight="1">
      <c r="A331" s="1" t="s">
        <v>1845</v>
      </c>
      <c r="B331" s="1" t="s">
        <v>60</v>
      </c>
      <c r="C331" s="1" t="s">
        <v>1840</v>
      </c>
      <c r="D331" s="1" t="s">
        <v>1840</v>
      </c>
      <c r="E331" s="1" t="s">
        <v>1846</v>
      </c>
      <c r="F331" s="1" t="s">
        <v>64</v>
      </c>
      <c r="G331" s="1">
        <v>150.0</v>
      </c>
      <c r="H331" s="1" t="s">
        <v>50</v>
      </c>
      <c r="I331" s="1">
        <v>54.0</v>
      </c>
      <c r="J331" s="1">
        <v>33.0</v>
      </c>
      <c r="K331" s="1">
        <v>33.0</v>
      </c>
      <c r="L331" s="1">
        <v>21.0</v>
      </c>
      <c r="M331" s="1">
        <v>21.0</v>
      </c>
      <c r="N331" s="1" t="s">
        <v>51</v>
      </c>
      <c r="O331" s="1">
        <v>19.0</v>
      </c>
      <c r="P331" s="1">
        <v>7.0</v>
      </c>
      <c r="Q331" s="1">
        <v>7.0</v>
      </c>
      <c r="R331" s="1">
        <v>12.0</v>
      </c>
      <c r="S331" s="1">
        <v>12.0</v>
      </c>
      <c r="T331" s="1" t="s">
        <v>52</v>
      </c>
      <c r="U331" s="1">
        <v>27.0</v>
      </c>
      <c r="V331" s="1">
        <v>16.0</v>
      </c>
      <c r="W331" s="1">
        <v>16.0</v>
      </c>
      <c r="X331" s="1">
        <v>11.0</v>
      </c>
      <c r="Y331" s="1">
        <v>11.0</v>
      </c>
      <c r="Z331" s="1" t="s">
        <v>53</v>
      </c>
      <c r="AA331" s="1">
        <v>18.0</v>
      </c>
      <c r="AB331" s="1">
        <v>9.0</v>
      </c>
      <c r="AC331" s="1">
        <v>9.0</v>
      </c>
      <c r="AD331" s="1">
        <v>9.0</v>
      </c>
      <c r="AE331" s="1">
        <v>9.0</v>
      </c>
      <c r="AF331" s="1" t="s">
        <v>54</v>
      </c>
      <c r="AG331" s="1">
        <v>13.0</v>
      </c>
      <c r="AH331" s="1">
        <v>5.0</v>
      </c>
      <c r="AI331" s="1">
        <v>5.0</v>
      </c>
      <c r="AJ331" s="1">
        <v>8.0</v>
      </c>
      <c r="AK331" s="1">
        <v>8.0</v>
      </c>
      <c r="AL331" s="1">
        <v>131.0</v>
      </c>
      <c r="AM331" s="1">
        <v>10.0</v>
      </c>
      <c r="AN331" s="1">
        <v>9.0</v>
      </c>
      <c r="AO331" s="1">
        <v>9.0</v>
      </c>
      <c r="AP331" s="1" t="s">
        <v>65</v>
      </c>
      <c r="AQ331" s="3" t="str">
        <f>HYPERLINK("https://icf.clappia.com/app/GMB253374/submission/JIW20996950/ICF247370-GMB253374-1l1nelp01dfp20000000/SIG-20250702_1320okgfp.jpeg", "SIG-20250702_1320okgfp.jpeg")</f>
        <v>SIG-20250702_1320okgfp.jpeg</v>
      </c>
      <c r="AR331" s="1" t="s">
        <v>66</v>
      </c>
      <c r="AS331" s="3" t="str">
        <f>HYPERLINK("https://icf.clappia.com/app/GMB253374/submission/JIW20996950/ICF247370-GMB253374-42n0ink0fmg600000000/SIG-20250702_13201772k8.jpeg", "SIG-20250702_13201772k8.jpeg")</f>
        <v>SIG-20250702_13201772k8.jpeg</v>
      </c>
      <c r="AT331" s="1" t="s">
        <v>67</v>
      </c>
      <c r="AU331" s="3" t="str">
        <f>HYPERLINK("https://icf.clappia.com/app/GMB253374/submission/JIW20996950/ICF247370-GMB253374-4hpin11ljc6c00000000/SIG-20250702_132014pblm.jpeg", "SIG-20250702_132014pblm.jpeg")</f>
        <v>SIG-20250702_132014pblm.jpeg</v>
      </c>
      <c r="AV331" s="3" t="str">
        <f>HYPERLINK("https://www.google.com/maps/place/8.9736683%2C-12.0872767", "8.9736683,-12.0872767")</f>
        <v>8.9736683,-12.0872767</v>
      </c>
    </row>
    <row r="332" ht="15.75" customHeight="1">
      <c r="A332" s="1" t="s">
        <v>1847</v>
      </c>
      <c r="B332" s="1" t="s">
        <v>46</v>
      </c>
      <c r="C332" s="1" t="s">
        <v>1528</v>
      </c>
      <c r="D332" s="1" t="s">
        <v>1528</v>
      </c>
      <c r="E332" s="1" t="s">
        <v>1848</v>
      </c>
      <c r="F332" s="1" t="s">
        <v>64</v>
      </c>
      <c r="G332" s="1">
        <v>419.0</v>
      </c>
      <c r="H332" s="1" t="s">
        <v>50</v>
      </c>
      <c r="I332" s="1">
        <v>96.0</v>
      </c>
      <c r="J332" s="1">
        <v>39.0</v>
      </c>
      <c r="K332" s="1">
        <v>39.0</v>
      </c>
      <c r="L332" s="1">
        <v>57.0</v>
      </c>
      <c r="M332" s="1">
        <v>57.0</v>
      </c>
      <c r="N332" s="1" t="s">
        <v>51</v>
      </c>
      <c r="O332" s="1">
        <v>95.0</v>
      </c>
      <c r="P332" s="1">
        <v>46.0</v>
      </c>
      <c r="Q332" s="1">
        <v>46.0</v>
      </c>
      <c r="R332" s="1">
        <v>49.0</v>
      </c>
      <c r="S332" s="1">
        <v>49.0</v>
      </c>
      <c r="T332" s="1" t="s">
        <v>52</v>
      </c>
      <c r="U332" s="1">
        <v>79.0</v>
      </c>
      <c r="V332" s="1">
        <v>40.0</v>
      </c>
      <c r="W332" s="1">
        <v>40.0</v>
      </c>
      <c r="X332" s="1">
        <v>39.0</v>
      </c>
      <c r="Y332" s="1">
        <v>39.0</v>
      </c>
      <c r="Z332" s="1" t="s">
        <v>53</v>
      </c>
      <c r="AA332" s="1">
        <v>73.0</v>
      </c>
      <c r="AB332" s="1">
        <v>39.0</v>
      </c>
      <c r="AC332" s="1">
        <v>39.0</v>
      </c>
      <c r="AD332" s="1">
        <v>34.0</v>
      </c>
      <c r="AE332" s="1">
        <v>34.0</v>
      </c>
      <c r="AF332" s="1" t="s">
        <v>54</v>
      </c>
      <c r="AG332" s="1">
        <v>76.0</v>
      </c>
      <c r="AH332" s="1">
        <v>38.0</v>
      </c>
      <c r="AI332" s="1">
        <v>38.0</v>
      </c>
      <c r="AJ332" s="1">
        <v>38.0</v>
      </c>
      <c r="AK332" s="1">
        <v>38.0</v>
      </c>
      <c r="AL332" s="1">
        <v>419.0</v>
      </c>
      <c r="AM332" s="1" t="s">
        <v>55</v>
      </c>
      <c r="AN332" s="1" t="s">
        <v>55</v>
      </c>
      <c r="AO332" s="1" t="s">
        <v>55</v>
      </c>
      <c r="AP332" s="1" t="s">
        <v>1849</v>
      </c>
      <c r="AQ332" s="3" t="str">
        <f>HYPERLINK("https://icf.clappia.com/app/GMB253374/submission/QHY64123517/ICF247370-GMB253374-4p66akkl6nde00000000/SIG-20250702_1146f6jpi.jpeg", "SIG-20250702_1146f6jpi.jpeg")</f>
        <v>SIG-20250702_1146f6jpi.jpeg</v>
      </c>
      <c r="AR332" s="1" t="s">
        <v>1850</v>
      </c>
      <c r="AS332" s="3" t="str">
        <f>HYPERLINK("https://icf.clappia.com/app/GMB253374/submission/QHY64123517/ICF247370-GMB253374-4fkl08cm3m9400000000/SIG-20250702_1148fl1lm.jpeg", "SIG-20250702_1148fl1lm.jpeg")</f>
        <v>SIG-20250702_1148fl1lm.jpeg</v>
      </c>
      <c r="AT332" s="1" t="s">
        <v>1851</v>
      </c>
      <c r="AU332" s="3" t="str">
        <f>HYPERLINK("https://icf.clappia.com/app/GMB253374/submission/QHY64123517/ICF247370-GMB253374-30p889mcdnki00000000/SIG-20250702_1146l68nf.jpeg", "SIG-20250702_1146l68nf.jpeg")</f>
        <v>SIG-20250702_1146l68nf.jpeg</v>
      </c>
      <c r="AV332" s="3" t="str">
        <f>HYPERLINK("https://www.google.com/maps/place/8.9169725%2C-12.0317086", "8.9169725,-12.0317086")</f>
        <v>8.9169725,-12.0317086</v>
      </c>
    </row>
    <row r="333" ht="15.75" customHeight="1">
      <c r="A333" s="1" t="s">
        <v>1852</v>
      </c>
      <c r="B333" s="1" t="s">
        <v>161</v>
      </c>
      <c r="C333" s="1" t="s">
        <v>1853</v>
      </c>
      <c r="D333" s="1" t="s">
        <v>1853</v>
      </c>
      <c r="E333" s="1" t="s">
        <v>1854</v>
      </c>
      <c r="F333" s="1" t="s">
        <v>64</v>
      </c>
      <c r="G333" s="1">
        <v>250.0</v>
      </c>
      <c r="H333" s="1" t="s">
        <v>50</v>
      </c>
      <c r="I333" s="1">
        <v>72.0</v>
      </c>
      <c r="J333" s="1">
        <v>32.0</v>
      </c>
      <c r="K333" s="1">
        <v>32.0</v>
      </c>
      <c r="L333" s="1">
        <v>40.0</v>
      </c>
      <c r="M333" s="1">
        <v>40.0</v>
      </c>
      <c r="N333" s="1" t="s">
        <v>51</v>
      </c>
      <c r="O333" s="1">
        <v>34.0</v>
      </c>
      <c r="P333" s="1">
        <v>13.0</v>
      </c>
      <c r="Q333" s="1">
        <v>13.0</v>
      </c>
      <c r="R333" s="1">
        <v>21.0</v>
      </c>
      <c r="S333" s="1">
        <v>21.0</v>
      </c>
      <c r="T333" s="1" t="s">
        <v>52</v>
      </c>
      <c r="U333" s="1">
        <v>49.0</v>
      </c>
      <c r="V333" s="1">
        <v>20.0</v>
      </c>
      <c r="W333" s="1">
        <v>20.0</v>
      </c>
      <c r="X333" s="1">
        <v>29.0</v>
      </c>
      <c r="Y333" s="1">
        <v>29.0</v>
      </c>
      <c r="Z333" s="1" t="s">
        <v>53</v>
      </c>
      <c r="AA333" s="1">
        <v>36.0</v>
      </c>
      <c r="AB333" s="1">
        <v>18.0</v>
      </c>
      <c r="AC333" s="1">
        <v>18.0</v>
      </c>
      <c r="AD333" s="1">
        <v>18.0</v>
      </c>
      <c r="AE333" s="1">
        <v>18.0</v>
      </c>
      <c r="AF333" s="1" t="s">
        <v>54</v>
      </c>
      <c r="AG333" s="1">
        <v>49.0</v>
      </c>
      <c r="AH333" s="1">
        <v>30.0</v>
      </c>
      <c r="AI333" s="1">
        <v>30.0</v>
      </c>
      <c r="AJ333" s="1">
        <v>19.0</v>
      </c>
      <c r="AK333" s="1">
        <v>19.0</v>
      </c>
      <c r="AL333" s="1">
        <v>240.0</v>
      </c>
      <c r="AM333" s="1">
        <v>5.0</v>
      </c>
      <c r="AN333" s="1">
        <v>5.0</v>
      </c>
      <c r="AO333" s="1">
        <v>5.0</v>
      </c>
      <c r="AP333" s="1" t="s">
        <v>1200</v>
      </c>
      <c r="AQ333" s="3" t="str">
        <f>HYPERLINK("https://icf.clappia.com/app/GMB253374/submission/YDG85774831/ICF247370-GMB253374-12o1eg9j5i6n20000000/SIG-20250702_13141699dp.jpeg", "SIG-20250702_13141699dp.jpeg")</f>
        <v>SIG-20250702_13141699dp.jpeg</v>
      </c>
      <c r="AR333" s="1" t="s">
        <v>1855</v>
      </c>
      <c r="AS333" s="3" t="str">
        <f>HYPERLINK("https://icf.clappia.com/app/GMB253374/submission/YDG85774831/ICF247370-GMB253374-3idmh78fok8c00000000/SIG-20250702_1314eldjp.jpeg", "SIG-20250702_1314eldjp.jpeg")</f>
        <v>SIG-20250702_1314eldjp.jpeg</v>
      </c>
      <c r="AT333" s="1" t="s">
        <v>1856</v>
      </c>
      <c r="AU333" s="3" t="str">
        <f>HYPERLINK("https://icf.clappia.com/app/GMB253374/submission/YDG85774831/ICF247370-GMB253374-336oad2o3h1i00000000/SIG-20250702_1315bb5ka.jpeg", "SIG-20250702_1315bb5ka.jpeg")</f>
        <v>SIG-20250702_1315bb5ka.jpeg</v>
      </c>
      <c r="AV333" s="3" t="str">
        <f>HYPERLINK("https://www.google.com/maps/place/7.937805%2C-11.6352767", "7.937805,-11.6352767")</f>
        <v>7.937805,-11.6352767</v>
      </c>
    </row>
    <row r="334" ht="15.75" customHeight="1">
      <c r="A334" s="1" t="s">
        <v>1857</v>
      </c>
      <c r="B334" s="1" t="s">
        <v>161</v>
      </c>
      <c r="C334" s="1" t="s">
        <v>1858</v>
      </c>
      <c r="D334" s="1" t="s">
        <v>1859</v>
      </c>
      <c r="E334" s="1" t="s">
        <v>1860</v>
      </c>
      <c r="F334" s="1" t="s">
        <v>64</v>
      </c>
      <c r="G334" s="1">
        <v>200.0</v>
      </c>
      <c r="H334" s="1" t="s">
        <v>50</v>
      </c>
      <c r="I334" s="1">
        <v>23.0</v>
      </c>
      <c r="J334" s="1" t="s">
        <v>55</v>
      </c>
      <c r="K334" s="1" t="s">
        <v>55</v>
      </c>
      <c r="L334" s="1">
        <v>23.0</v>
      </c>
      <c r="M334" s="1">
        <v>20.0</v>
      </c>
      <c r="N334" s="1" t="s">
        <v>51</v>
      </c>
      <c r="O334" s="1">
        <v>32.0</v>
      </c>
      <c r="P334" s="1" t="s">
        <v>55</v>
      </c>
      <c r="Q334" s="1" t="s">
        <v>55</v>
      </c>
      <c r="R334" s="1">
        <v>32.0</v>
      </c>
      <c r="S334" s="1">
        <v>29.0</v>
      </c>
      <c r="T334" s="1" t="s">
        <v>52</v>
      </c>
      <c r="U334" s="1">
        <v>31.0</v>
      </c>
      <c r="V334" s="1" t="s">
        <v>55</v>
      </c>
      <c r="W334" s="1" t="s">
        <v>55</v>
      </c>
      <c r="X334" s="1">
        <v>31.0</v>
      </c>
      <c r="Y334" s="1">
        <v>25.0</v>
      </c>
      <c r="Z334" s="1" t="s">
        <v>53</v>
      </c>
      <c r="AA334" s="1">
        <v>32.0</v>
      </c>
      <c r="AB334" s="1" t="s">
        <v>55</v>
      </c>
      <c r="AC334" s="1" t="s">
        <v>55</v>
      </c>
      <c r="AD334" s="1">
        <v>32.0</v>
      </c>
      <c r="AE334" s="1">
        <v>31.0</v>
      </c>
      <c r="AF334" s="1" t="s">
        <v>54</v>
      </c>
      <c r="AG334" s="1">
        <v>39.0</v>
      </c>
      <c r="AH334" s="1" t="s">
        <v>55</v>
      </c>
      <c r="AI334" s="1" t="s">
        <v>55</v>
      </c>
      <c r="AJ334" s="1">
        <v>39.0</v>
      </c>
      <c r="AK334" s="1">
        <v>35.0</v>
      </c>
      <c r="AL334" s="1">
        <v>140.0</v>
      </c>
      <c r="AM334" s="1" t="s">
        <v>55</v>
      </c>
      <c r="AN334" s="1">
        <v>60.0</v>
      </c>
      <c r="AO334" s="1">
        <v>60.0</v>
      </c>
      <c r="AP334" s="1" t="s">
        <v>1861</v>
      </c>
      <c r="AQ334" s="3" t="str">
        <f>HYPERLINK("https://icf.clappia.com/app/GMB253374/submission/AZF38150544/ICF247370-GMB253374-43aghoog1ig200000000/SIG-20250702_124215cb1g.jpeg", "SIG-20250702_124215cb1g.jpeg")</f>
        <v>SIG-20250702_124215cb1g.jpeg</v>
      </c>
      <c r="AR334" s="1" t="s">
        <v>1862</v>
      </c>
      <c r="AS334" s="3" t="str">
        <f>HYPERLINK("https://icf.clappia.com/app/GMB253374/submission/AZF38150544/ICF247370-GMB253374-2kni9jf5lc2g00000000/SIG-20250702_124232h5l.jpeg", "SIG-20250702_124232h5l.jpeg")</f>
        <v>SIG-20250702_124232h5l.jpeg</v>
      </c>
      <c r="AT334" s="1" t="s">
        <v>1863</v>
      </c>
      <c r="AU334" s="3" t="str">
        <f>HYPERLINK("https://icf.clappia.com/app/GMB253374/submission/AZF38150544/ICF247370-GMB253374-1ac4c73524pbe0000000/SIG-20250702_124314d5gc.jpeg", "SIG-20250702_124314d5gc.jpeg")</f>
        <v>SIG-20250702_124314d5gc.jpeg</v>
      </c>
      <c r="AV334" s="3" t="str">
        <f>HYPERLINK("https://www.google.com/maps/place/7.9311117%2C-11.7179017", "7.9311117,-11.7179017")</f>
        <v>7.9311117,-11.7179017</v>
      </c>
    </row>
    <row r="335" ht="15.75" customHeight="1">
      <c r="A335" s="1" t="s">
        <v>1864</v>
      </c>
      <c r="B335" s="1" t="s">
        <v>161</v>
      </c>
      <c r="C335" s="1" t="s">
        <v>1865</v>
      </c>
      <c r="D335" s="1" t="s">
        <v>1859</v>
      </c>
      <c r="E335" s="1" t="s">
        <v>1866</v>
      </c>
      <c r="F335" s="1" t="s">
        <v>64</v>
      </c>
      <c r="G335" s="1">
        <v>208.0</v>
      </c>
      <c r="H335" s="1" t="s">
        <v>50</v>
      </c>
      <c r="I335" s="1">
        <v>38.0</v>
      </c>
      <c r="J335" s="1">
        <v>17.0</v>
      </c>
      <c r="K335" s="1">
        <v>15.0</v>
      </c>
      <c r="L335" s="1">
        <v>21.0</v>
      </c>
      <c r="M335" s="1">
        <v>18.0</v>
      </c>
      <c r="N335" s="1" t="s">
        <v>51</v>
      </c>
      <c r="O335" s="1">
        <v>34.0</v>
      </c>
      <c r="P335" s="1">
        <v>15.0</v>
      </c>
      <c r="Q335" s="1">
        <v>13.0</v>
      </c>
      <c r="R335" s="1">
        <v>19.0</v>
      </c>
      <c r="S335" s="1">
        <v>14.0</v>
      </c>
      <c r="T335" s="1" t="s">
        <v>52</v>
      </c>
      <c r="U335" s="1">
        <v>44.0</v>
      </c>
      <c r="V335" s="1">
        <v>21.0</v>
      </c>
      <c r="W335" s="1">
        <v>19.0</v>
      </c>
      <c r="X335" s="1">
        <v>23.0</v>
      </c>
      <c r="Y335" s="1">
        <v>19.0</v>
      </c>
      <c r="Z335" s="1" t="s">
        <v>53</v>
      </c>
      <c r="AA335" s="1">
        <v>38.0</v>
      </c>
      <c r="AB335" s="1">
        <v>19.0</v>
      </c>
      <c r="AC335" s="1">
        <v>16.0</v>
      </c>
      <c r="AD335" s="1">
        <v>19.0</v>
      </c>
      <c r="AE335" s="1">
        <v>14.0</v>
      </c>
      <c r="AF335" s="1" t="s">
        <v>54</v>
      </c>
      <c r="AG335" s="1">
        <v>48.0</v>
      </c>
      <c r="AH335" s="1">
        <v>22.0</v>
      </c>
      <c r="AI335" s="1">
        <v>18.0</v>
      </c>
      <c r="AJ335" s="1">
        <v>26.0</v>
      </c>
      <c r="AK335" s="1">
        <v>22.0</v>
      </c>
      <c r="AL335" s="1">
        <v>168.0</v>
      </c>
      <c r="AM335" s="1" t="s">
        <v>55</v>
      </c>
      <c r="AN335" s="1">
        <v>40.0</v>
      </c>
      <c r="AO335" s="1">
        <v>40.0</v>
      </c>
      <c r="AP335" s="1" t="s">
        <v>1861</v>
      </c>
      <c r="AQ335" s="3" t="str">
        <f>HYPERLINK("https://icf.clappia.com/app/GMB253374/submission/TFK29666419/ICF247370-GMB253374-5kkh1ajp5jmg00000000/SIG-20250701_1117117o65.jpeg", "SIG-20250701_1117117o65.jpeg")</f>
        <v>SIG-20250701_1117117o65.jpeg</v>
      </c>
      <c r="AR335" s="1" t="s">
        <v>1867</v>
      </c>
      <c r="AS335" s="3" t="str">
        <f>HYPERLINK("https://icf.clappia.com/app/GMB253374/submission/TFK29666419/ICF247370-GMB253374-5hmeba42iaoo00000000/SIG-20250701_113413ik60.jpeg", "SIG-20250701_113413ik60.jpeg")</f>
        <v>SIG-20250701_113413ik60.jpeg</v>
      </c>
      <c r="AT335" s="1" t="s">
        <v>1862</v>
      </c>
      <c r="AU335" s="3" t="str">
        <f>HYPERLINK("https://icf.clappia.com/app/GMB253374/submission/TFK29666419/ICF247370-GMB253374-10p3p0k8md2ic0000000/SIG-20250701_11341hhgj.jpeg", "SIG-20250701_11341hhgj.jpeg")</f>
        <v>SIG-20250701_11341hhgj.jpeg</v>
      </c>
      <c r="AV335" s="3" t="str">
        <f>HYPERLINK("https://www.google.com/maps/place/7.93631%2C-11.7224433", "7.93631,-11.7224433")</f>
        <v>7.93631,-11.7224433</v>
      </c>
    </row>
    <row r="336" ht="15.75" customHeight="1">
      <c r="A336" s="1" t="s">
        <v>1868</v>
      </c>
      <c r="B336" s="1" t="s">
        <v>248</v>
      </c>
      <c r="C336" s="1" t="s">
        <v>1869</v>
      </c>
      <c r="D336" s="1" t="s">
        <v>1870</v>
      </c>
      <c r="E336" s="1" t="s">
        <v>1871</v>
      </c>
      <c r="F336" s="1" t="s">
        <v>64</v>
      </c>
      <c r="G336" s="1">
        <v>150.0</v>
      </c>
      <c r="H336" s="1" t="s">
        <v>50</v>
      </c>
      <c r="I336" s="1">
        <v>47.0</v>
      </c>
      <c r="J336" s="1">
        <v>20.0</v>
      </c>
      <c r="K336" s="1">
        <v>20.0</v>
      </c>
      <c r="L336" s="1">
        <v>27.0</v>
      </c>
      <c r="M336" s="1">
        <v>27.0</v>
      </c>
      <c r="N336" s="1" t="s">
        <v>51</v>
      </c>
      <c r="O336" s="1">
        <v>35.0</v>
      </c>
      <c r="P336" s="1">
        <v>20.0</v>
      </c>
      <c r="Q336" s="1">
        <v>20.0</v>
      </c>
      <c r="R336" s="1">
        <v>15.0</v>
      </c>
      <c r="S336" s="1">
        <v>15.0</v>
      </c>
      <c r="T336" s="1" t="s">
        <v>52</v>
      </c>
      <c r="U336" s="1">
        <v>23.0</v>
      </c>
      <c r="V336" s="1">
        <v>10.0</v>
      </c>
      <c r="W336" s="1">
        <v>10.0</v>
      </c>
      <c r="X336" s="1">
        <v>13.0</v>
      </c>
      <c r="Y336" s="1">
        <v>13.0</v>
      </c>
      <c r="Z336" s="1" t="s">
        <v>53</v>
      </c>
      <c r="AA336" s="1" t="s">
        <v>55</v>
      </c>
      <c r="AB336" s="1" t="s">
        <v>55</v>
      </c>
      <c r="AC336" s="1" t="s">
        <v>55</v>
      </c>
      <c r="AD336" s="1" t="s">
        <v>55</v>
      </c>
      <c r="AE336" s="1" t="s">
        <v>55</v>
      </c>
      <c r="AF336" s="1" t="s">
        <v>54</v>
      </c>
      <c r="AG336" s="1" t="s">
        <v>55</v>
      </c>
      <c r="AH336" s="1" t="s">
        <v>55</v>
      </c>
      <c r="AI336" s="1" t="s">
        <v>55</v>
      </c>
      <c r="AJ336" s="1" t="s">
        <v>55</v>
      </c>
      <c r="AK336" s="1" t="s">
        <v>55</v>
      </c>
      <c r="AL336" s="1">
        <v>105.0</v>
      </c>
      <c r="AM336" s="1" t="s">
        <v>55</v>
      </c>
      <c r="AN336" s="1">
        <v>45.0</v>
      </c>
      <c r="AO336" s="1">
        <v>45.0</v>
      </c>
      <c r="AP336" s="1" t="s">
        <v>1872</v>
      </c>
      <c r="AQ336" s="3" t="str">
        <f>HYPERLINK("https://icf.clappia.com/app/GMB253374/submission/WPC94614006/ICF247370-GMB253374-230cbeifio9da0000000/SIG-20250702_13038gf25.jpeg", "SIG-20250702_13038gf25.jpeg")</f>
        <v>SIG-20250702_13038gf25.jpeg</v>
      </c>
      <c r="AR336" s="1" t="s">
        <v>1873</v>
      </c>
      <c r="AS336" s="3" t="str">
        <f>HYPERLINK("https://icf.clappia.com/app/GMB253374/submission/WPC94614006/ICF247370-GMB253374-65cpkj3h5jec00000000/SIG-20250702_1303170nep.jpeg", "SIG-20250702_1303170nep.jpeg")</f>
        <v>SIG-20250702_1303170nep.jpeg</v>
      </c>
      <c r="AT336" s="1" t="s">
        <v>1874</v>
      </c>
      <c r="AU336" s="3" t="str">
        <f>HYPERLINK("https://icf.clappia.com/app/GMB253374/submission/WPC94614006/ICF247370-GMB253374-175ckc9emencc0000000/SIG-20250702_130418ldfg.jpeg", "SIG-20250702_130418ldfg.jpeg")</f>
        <v>SIG-20250702_130418ldfg.jpeg</v>
      </c>
      <c r="AV336" s="3" t="str">
        <f>HYPERLINK("https://www.google.com/maps/place/8.0970643%2C-11.3369011", "8.0970643,-11.3369011")</f>
        <v>8.0970643,-11.3369011</v>
      </c>
    </row>
    <row r="337" ht="15.75" customHeight="1">
      <c r="A337" s="1" t="s">
        <v>1875</v>
      </c>
      <c r="B337" s="1" t="s">
        <v>248</v>
      </c>
      <c r="C337" s="1" t="s">
        <v>1876</v>
      </c>
      <c r="D337" s="1" t="s">
        <v>1877</v>
      </c>
      <c r="E337" s="1" t="s">
        <v>1878</v>
      </c>
      <c r="F337" s="1" t="s">
        <v>64</v>
      </c>
      <c r="G337" s="1">
        <v>197.0</v>
      </c>
      <c r="H337" s="1" t="s">
        <v>50</v>
      </c>
      <c r="I337" s="1">
        <v>62.0</v>
      </c>
      <c r="J337" s="1">
        <v>30.0</v>
      </c>
      <c r="K337" s="1">
        <v>30.0</v>
      </c>
      <c r="L337" s="1">
        <v>32.0</v>
      </c>
      <c r="M337" s="1">
        <v>32.0</v>
      </c>
      <c r="N337" s="1" t="s">
        <v>51</v>
      </c>
      <c r="O337" s="1">
        <v>55.0</v>
      </c>
      <c r="P337" s="1">
        <v>25.0</v>
      </c>
      <c r="Q337" s="1">
        <v>25.0</v>
      </c>
      <c r="R337" s="1">
        <v>30.0</v>
      </c>
      <c r="S337" s="1">
        <v>30.0</v>
      </c>
      <c r="T337" s="1" t="s">
        <v>52</v>
      </c>
      <c r="U337" s="1">
        <v>39.0</v>
      </c>
      <c r="V337" s="1">
        <v>20.0</v>
      </c>
      <c r="W337" s="1">
        <v>20.0</v>
      </c>
      <c r="X337" s="1">
        <v>19.0</v>
      </c>
      <c r="Y337" s="1">
        <v>19.0</v>
      </c>
      <c r="Z337" s="1" t="s">
        <v>53</v>
      </c>
      <c r="AA337" s="1">
        <v>22.0</v>
      </c>
      <c r="AB337" s="1">
        <v>12.0</v>
      </c>
      <c r="AC337" s="1">
        <v>12.0</v>
      </c>
      <c r="AD337" s="1">
        <v>10.0</v>
      </c>
      <c r="AE337" s="1">
        <v>10.0</v>
      </c>
      <c r="AF337" s="1" t="s">
        <v>54</v>
      </c>
      <c r="AG337" s="1">
        <v>19.0</v>
      </c>
      <c r="AH337" s="1">
        <v>10.0</v>
      </c>
      <c r="AI337" s="1">
        <v>10.0</v>
      </c>
      <c r="AJ337" s="1">
        <v>9.0</v>
      </c>
      <c r="AK337" s="1">
        <v>9.0</v>
      </c>
      <c r="AL337" s="1">
        <v>197.0</v>
      </c>
      <c r="AM337" s="1" t="s">
        <v>55</v>
      </c>
      <c r="AN337" s="1" t="s">
        <v>55</v>
      </c>
      <c r="AO337" s="1" t="s">
        <v>55</v>
      </c>
      <c r="AP337" s="1" t="s">
        <v>1872</v>
      </c>
      <c r="AQ337" s="3" t="str">
        <f>HYPERLINK("https://icf.clappia.com/app/GMB253374/submission/ZWZ32555432/ICF247370-GMB253374-lok95a9o2cb20000000/SIG-20250701_101216n87m.jpeg", "SIG-20250701_101216n87m.jpeg")</f>
        <v>SIG-20250701_101216n87m.jpeg</v>
      </c>
      <c r="AR337" s="1" t="s">
        <v>1873</v>
      </c>
      <c r="AS337" s="3" t="str">
        <f>HYPERLINK("https://icf.clappia.com/app/GMB253374/submission/ZWZ32555432/ICF247370-GMB253374-3gc6d1b184mo00000000/SIG-20250701_101310i02j.jpeg", "SIG-20250701_101310i02j.jpeg")</f>
        <v>SIG-20250701_101310i02j.jpeg</v>
      </c>
      <c r="AT337" s="1" t="s">
        <v>1874</v>
      </c>
      <c r="AU337" s="3" t="str">
        <f>HYPERLINK("https://icf.clappia.com/app/GMB253374/submission/ZWZ32555432/ICF247370-GMB253374-4nkcj13agne800000000/SIG-20250701_101415e67g.jpeg", "SIG-20250701_101415e67g.jpeg")</f>
        <v>SIG-20250701_101415e67g.jpeg</v>
      </c>
      <c r="AV337" s="3" t="str">
        <f>HYPERLINK("https://www.google.com/maps/place/8.017421%2C-11.5821865", "8.017421,-11.5821865")</f>
        <v>8.017421,-11.5821865</v>
      </c>
    </row>
    <row r="338" ht="15.75" customHeight="1">
      <c r="A338" s="1" t="s">
        <v>1879</v>
      </c>
      <c r="B338" s="1" t="s">
        <v>81</v>
      </c>
      <c r="C338" s="1" t="s">
        <v>1880</v>
      </c>
      <c r="D338" s="1" t="s">
        <v>1880</v>
      </c>
      <c r="E338" s="1" t="s">
        <v>1881</v>
      </c>
      <c r="F338" s="1" t="s">
        <v>64</v>
      </c>
      <c r="G338" s="1">
        <v>244.0</v>
      </c>
      <c r="H338" s="1" t="s">
        <v>50</v>
      </c>
      <c r="I338" s="1">
        <v>50.0</v>
      </c>
      <c r="J338" s="1">
        <v>18.0</v>
      </c>
      <c r="K338" s="1">
        <v>18.0</v>
      </c>
      <c r="L338" s="1">
        <v>32.0</v>
      </c>
      <c r="M338" s="1">
        <v>32.0</v>
      </c>
      <c r="N338" s="1" t="s">
        <v>51</v>
      </c>
      <c r="O338" s="1">
        <v>46.0</v>
      </c>
      <c r="P338" s="1">
        <v>24.0</v>
      </c>
      <c r="Q338" s="1">
        <v>24.0</v>
      </c>
      <c r="R338" s="1">
        <v>22.0</v>
      </c>
      <c r="S338" s="1">
        <v>22.0</v>
      </c>
      <c r="T338" s="1" t="s">
        <v>52</v>
      </c>
      <c r="U338" s="1">
        <v>48.0</v>
      </c>
      <c r="V338" s="1">
        <v>24.0</v>
      </c>
      <c r="W338" s="1">
        <v>24.0</v>
      </c>
      <c r="X338" s="1">
        <v>24.0</v>
      </c>
      <c r="Y338" s="1">
        <v>24.0</v>
      </c>
      <c r="Z338" s="1" t="s">
        <v>53</v>
      </c>
      <c r="AA338" s="1">
        <v>50.0</v>
      </c>
      <c r="AB338" s="1">
        <v>24.0</v>
      </c>
      <c r="AC338" s="1">
        <v>24.0</v>
      </c>
      <c r="AD338" s="1">
        <v>26.0</v>
      </c>
      <c r="AE338" s="1">
        <v>26.0</v>
      </c>
      <c r="AF338" s="1" t="s">
        <v>54</v>
      </c>
      <c r="AG338" s="1">
        <v>50.0</v>
      </c>
      <c r="AH338" s="1">
        <v>25.0</v>
      </c>
      <c r="AI338" s="1">
        <v>25.0</v>
      </c>
      <c r="AJ338" s="1">
        <v>25.0</v>
      </c>
      <c r="AK338" s="1">
        <v>25.0</v>
      </c>
      <c r="AL338" s="1">
        <v>244.0</v>
      </c>
      <c r="AM338" s="1" t="s">
        <v>55</v>
      </c>
      <c r="AN338" s="1" t="s">
        <v>55</v>
      </c>
      <c r="AO338" s="1" t="s">
        <v>55</v>
      </c>
      <c r="AP338" s="1" t="s">
        <v>1882</v>
      </c>
      <c r="AQ338" s="3" t="str">
        <f>HYPERLINK("https://icf.clappia.com/app/GMB253374/submission/SXL63529926/ICF247370-GMB253374-io00m46hon5i0000000/SIG-20250702_1309b93l7.jpeg", "SIG-20250702_1309b93l7.jpeg")</f>
        <v>SIG-20250702_1309b93l7.jpeg</v>
      </c>
      <c r="AR338" s="1" t="s">
        <v>1883</v>
      </c>
      <c r="AS338" s="3" t="str">
        <f>HYPERLINK("https://icf.clappia.com/app/GMB253374/submission/SXL63529926/ICF247370-GMB253374-3g0kj3h4ib9200000000/SIG-20250702_1310cl7nm.jpeg", "SIG-20250702_1310cl7nm.jpeg")</f>
        <v>SIG-20250702_1310cl7nm.jpeg</v>
      </c>
      <c r="AT338" s="1" t="s">
        <v>1151</v>
      </c>
      <c r="AU338" s="3" t="str">
        <f>HYPERLINK("https://icf.clappia.com/app/GMB253374/submission/SXL63529926/ICF247370-GMB253374-1kcea84n7k2a40000000/SIG-20250702_13109d2ok.jpeg", "SIG-20250702_13109d2ok.jpeg")</f>
        <v>SIG-20250702_13109d2ok.jpeg</v>
      </c>
      <c r="AV338" s="3" t="str">
        <f>HYPERLINK("https://www.google.com/maps/place/7.925305%2C-11.7199633", "7.925305,-11.7199633")</f>
        <v>7.925305,-11.7199633</v>
      </c>
    </row>
    <row r="339" ht="15.75" customHeight="1">
      <c r="A339" s="1" t="s">
        <v>1884</v>
      </c>
      <c r="B339" s="1" t="s">
        <v>81</v>
      </c>
      <c r="C339" s="1" t="s">
        <v>1885</v>
      </c>
      <c r="D339" s="1" t="s">
        <v>1880</v>
      </c>
      <c r="E339" s="1" t="s">
        <v>1886</v>
      </c>
      <c r="F339" s="1" t="s">
        <v>64</v>
      </c>
      <c r="G339" s="1">
        <v>100.0</v>
      </c>
      <c r="H339" s="1" t="s">
        <v>50</v>
      </c>
      <c r="I339" s="1">
        <v>22.0</v>
      </c>
      <c r="J339" s="1">
        <v>10.0</v>
      </c>
      <c r="K339" s="1">
        <v>10.0</v>
      </c>
      <c r="L339" s="1">
        <v>12.0</v>
      </c>
      <c r="M339" s="1">
        <v>12.0</v>
      </c>
      <c r="N339" s="1" t="s">
        <v>51</v>
      </c>
      <c r="O339" s="1">
        <v>21.0</v>
      </c>
      <c r="P339" s="1">
        <v>11.0</v>
      </c>
      <c r="Q339" s="1">
        <v>11.0</v>
      </c>
      <c r="R339" s="1">
        <v>10.0</v>
      </c>
      <c r="S339" s="1">
        <v>10.0</v>
      </c>
      <c r="T339" s="1" t="s">
        <v>52</v>
      </c>
      <c r="U339" s="1">
        <v>19.0</v>
      </c>
      <c r="V339" s="1">
        <v>9.0</v>
      </c>
      <c r="W339" s="1">
        <v>9.0</v>
      </c>
      <c r="X339" s="1">
        <v>10.0</v>
      </c>
      <c r="Y339" s="1">
        <v>10.0</v>
      </c>
      <c r="Z339" s="1" t="s">
        <v>53</v>
      </c>
      <c r="AA339" s="1">
        <v>18.0</v>
      </c>
      <c r="AB339" s="1">
        <v>8.0</v>
      </c>
      <c r="AC339" s="1">
        <v>8.0</v>
      </c>
      <c r="AD339" s="1">
        <v>10.0</v>
      </c>
      <c r="AE339" s="1">
        <v>10.0</v>
      </c>
      <c r="AF339" s="1" t="s">
        <v>54</v>
      </c>
      <c r="AG339" s="1">
        <v>13.0</v>
      </c>
      <c r="AH339" s="1">
        <v>6.0</v>
      </c>
      <c r="AI339" s="1">
        <v>6.0</v>
      </c>
      <c r="AJ339" s="1">
        <v>7.0</v>
      </c>
      <c r="AK339" s="1">
        <v>7.0</v>
      </c>
      <c r="AL339" s="1">
        <v>93.0</v>
      </c>
      <c r="AM339" s="1" t="s">
        <v>55</v>
      </c>
      <c r="AN339" s="1">
        <v>7.0</v>
      </c>
      <c r="AO339" s="1">
        <v>7.0</v>
      </c>
      <c r="AP339" s="1" t="s">
        <v>1753</v>
      </c>
      <c r="AQ339" s="3" t="str">
        <f>HYPERLINK("https://icf.clappia.com/app/GMB253374/submission/DPO77891064/ICF247370-GMB253374-4ckhjlf4moge00000000/SIG-20250701_1154ahbf.jpeg", "SIG-20250701_1154ahbf.jpeg")</f>
        <v>SIG-20250701_1154ahbf.jpeg</v>
      </c>
      <c r="AR339" s="1" t="s">
        <v>1754</v>
      </c>
      <c r="AS339" s="3" t="str">
        <f>HYPERLINK("https://icf.clappia.com/app/GMB253374/submission/DPO77891064/ICF247370-GMB253374-533phghdbm8600000000/SIG-20250701_1155hjcfb.jpeg", "SIG-20250701_1155hjcfb.jpeg")</f>
        <v>SIG-20250701_1155hjcfb.jpeg</v>
      </c>
      <c r="AT339" s="1" t="s">
        <v>1887</v>
      </c>
      <c r="AU339" s="3" t="str">
        <f>HYPERLINK("https://icf.clappia.com/app/GMB253374/submission/DPO77891064/ICF247370-GMB253374-5bff0efbinc800000000/SIG-20250701_115619nk1.jpeg", "SIG-20250701_115619nk1.jpeg")</f>
        <v>SIG-20250701_115619nk1.jpeg</v>
      </c>
      <c r="AV339" s="3" t="str">
        <f>HYPERLINK("https://www.google.com/maps/place/7.9777283%2C-11.67153", "7.9777283,-11.67153")</f>
        <v>7.9777283,-11.67153</v>
      </c>
    </row>
    <row r="340" ht="15.75" customHeight="1">
      <c r="A340" s="1" t="s">
        <v>1888</v>
      </c>
      <c r="B340" s="1" t="s">
        <v>81</v>
      </c>
      <c r="C340" s="1" t="s">
        <v>1889</v>
      </c>
      <c r="D340" s="1" t="s">
        <v>1890</v>
      </c>
      <c r="E340" s="1" t="s">
        <v>1891</v>
      </c>
      <c r="F340" s="1" t="s">
        <v>64</v>
      </c>
      <c r="G340" s="1">
        <v>100.0</v>
      </c>
      <c r="H340" s="1" t="s">
        <v>50</v>
      </c>
      <c r="I340" s="1">
        <v>39.0</v>
      </c>
      <c r="J340" s="1">
        <v>20.0</v>
      </c>
      <c r="K340" s="1">
        <v>20.0</v>
      </c>
      <c r="L340" s="1">
        <v>19.0</v>
      </c>
      <c r="M340" s="1">
        <v>19.0</v>
      </c>
      <c r="N340" s="1" t="s">
        <v>51</v>
      </c>
      <c r="O340" s="1">
        <v>25.0</v>
      </c>
      <c r="P340" s="1">
        <v>10.0</v>
      </c>
      <c r="Q340" s="1">
        <v>10.0</v>
      </c>
      <c r="R340" s="1">
        <v>15.0</v>
      </c>
      <c r="S340" s="1">
        <v>15.0</v>
      </c>
      <c r="T340" s="1" t="s">
        <v>52</v>
      </c>
      <c r="U340" s="1">
        <v>20.0</v>
      </c>
      <c r="V340" s="1">
        <v>10.0</v>
      </c>
      <c r="W340" s="1">
        <v>10.0</v>
      </c>
      <c r="X340" s="1">
        <v>10.0</v>
      </c>
      <c r="Y340" s="1">
        <v>10.0</v>
      </c>
      <c r="Z340" s="1" t="s">
        <v>53</v>
      </c>
      <c r="AA340" s="1">
        <v>16.0</v>
      </c>
      <c r="AB340" s="1">
        <v>6.0</v>
      </c>
      <c r="AC340" s="1">
        <v>6.0</v>
      </c>
      <c r="AD340" s="1">
        <v>10.0</v>
      </c>
      <c r="AE340" s="1">
        <v>10.0</v>
      </c>
      <c r="AF340" s="1" t="s">
        <v>54</v>
      </c>
      <c r="AG340" s="1" t="s">
        <v>55</v>
      </c>
      <c r="AH340" s="1" t="s">
        <v>55</v>
      </c>
      <c r="AI340" s="1" t="s">
        <v>55</v>
      </c>
      <c r="AJ340" s="1" t="s">
        <v>55</v>
      </c>
      <c r="AK340" s="1" t="s">
        <v>55</v>
      </c>
      <c r="AL340" s="1">
        <v>100.0</v>
      </c>
      <c r="AM340" s="1" t="s">
        <v>55</v>
      </c>
      <c r="AN340" s="1" t="s">
        <v>55</v>
      </c>
      <c r="AO340" s="1" t="s">
        <v>55</v>
      </c>
      <c r="AP340" s="1" t="s">
        <v>1892</v>
      </c>
      <c r="AQ340" s="3" t="str">
        <f>HYPERLINK("https://icf.clappia.com/app/GMB253374/submission/ONV50574360/ICF247370-GMB253374-112nd89h6c4fa0000000/SIG-20250630_16351aah6b.jpeg", "SIG-20250630_16351aah6b.jpeg")</f>
        <v>SIG-20250630_16351aah6b.jpeg</v>
      </c>
      <c r="AR340" s="1" t="s">
        <v>1754</v>
      </c>
      <c r="AS340" s="3" t="str">
        <f>HYPERLINK("https://icf.clappia.com/app/GMB253374/submission/ONV50574360/ICF247370-GMB253374-4p9ipf1cfjpe00000000/SIG-20250630_1636151epl.jpeg", "SIG-20250630_1636151epl.jpeg")</f>
        <v>SIG-20250630_1636151epl.jpeg</v>
      </c>
      <c r="AT340" s="1" t="s">
        <v>1755</v>
      </c>
      <c r="AU340" s="3" t="str">
        <f>HYPERLINK("https://icf.clappia.com/app/GMB253374/submission/ONV50574360/ICF247370-GMB253374-2m092epn4i3g00000000/SIG-20250630_1636159a43.jpeg", "SIG-20250630_1636159a43.jpeg")</f>
        <v>SIG-20250630_1636159a43.jpeg</v>
      </c>
      <c r="AV340" s="3" t="str">
        <f>HYPERLINK("https://www.google.com/maps/place/7.9608017%2C-11.7214583", "7.9608017,-11.7214583")</f>
        <v>7.9608017,-11.7214583</v>
      </c>
    </row>
    <row r="341" ht="15.75" customHeight="1">
      <c r="A341" s="1" t="s">
        <v>1893</v>
      </c>
      <c r="B341" s="1" t="s">
        <v>189</v>
      </c>
      <c r="C341" s="1" t="s">
        <v>1890</v>
      </c>
      <c r="D341" s="1" t="s">
        <v>1890</v>
      </c>
      <c r="E341" s="1" t="s">
        <v>1894</v>
      </c>
      <c r="F341" s="1" t="s">
        <v>49</v>
      </c>
      <c r="G341" s="1">
        <v>300.0</v>
      </c>
      <c r="H341" s="1" t="s">
        <v>50</v>
      </c>
      <c r="I341" s="1">
        <v>29.0</v>
      </c>
      <c r="J341" s="1">
        <v>19.0</v>
      </c>
      <c r="K341" s="1">
        <v>19.0</v>
      </c>
      <c r="L341" s="1">
        <v>10.0</v>
      </c>
      <c r="M341" s="1">
        <v>10.0</v>
      </c>
      <c r="N341" s="1" t="s">
        <v>51</v>
      </c>
      <c r="O341" s="1">
        <v>25.0</v>
      </c>
      <c r="P341" s="1">
        <v>11.0</v>
      </c>
      <c r="Q341" s="1">
        <v>11.0</v>
      </c>
      <c r="R341" s="1">
        <v>14.0</v>
      </c>
      <c r="S341" s="1">
        <v>14.0</v>
      </c>
      <c r="T341" s="1" t="s">
        <v>52</v>
      </c>
      <c r="U341" s="1">
        <v>26.0</v>
      </c>
      <c r="V341" s="1">
        <v>11.0</v>
      </c>
      <c r="W341" s="1">
        <v>11.0</v>
      </c>
      <c r="X341" s="1">
        <v>15.0</v>
      </c>
      <c r="Y341" s="1">
        <v>15.0</v>
      </c>
      <c r="Z341" s="1" t="s">
        <v>53</v>
      </c>
      <c r="AA341" s="1">
        <v>25.0</v>
      </c>
      <c r="AB341" s="1">
        <v>11.0</v>
      </c>
      <c r="AC341" s="1">
        <v>11.0</v>
      </c>
      <c r="AD341" s="1">
        <v>14.0</v>
      </c>
      <c r="AE341" s="1">
        <v>14.0</v>
      </c>
      <c r="AF341" s="1" t="s">
        <v>54</v>
      </c>
      <c r="AG341" s="1">
        <v>30.0</v>
      </c>
      <c r="AH341" s="1">
        <v>17.0</v>
      </c>
      <c r="AI341" s="1">
        <v>17.0</v>
      </c>
      <c r="AJ341" s="1">
        <v>13.0</v>
      </c>
      <c r="AK341" s="1">
        <v>13.0</v>
      </c>
      <c r="AL341" s="1">
        <v>135.0</v>
      </c>
      <c r="AM341" s="1" t="s">
        <v>55</v>
      </c>
      <c r="AN341" s="1">
        <v>165.0</v>
      </c>
      <c r="AO341" s="1">
        <v>165.0</v>
      </c>
      <c r="AP341" s="1" t="s">
        <v>1895</v>
      </c>
      <c r="AQ341" s="3" t="str">
        <f>HYPERLINK("https://icf.clappia.com/app/GMB253374/submission/UMZ54485225/ICF247370-GMB253374-6bagjmb986ao00000000/SIG-20250702_1259170075.jpeg", "SIG-20250702_1259170075.jpeg")</f>
        <v>SIG-20250702_1259170075.jpeg</v>
      </c>
      <c r="AR341" s="1" t="s">
        <v>1896</v>
      </c>
      <c r="AS341" s="3" t="str">
        <f>HYPERLINK("https://icf.clappia.com/app/GMB253374/submission/UMZ54485225/ICF247370-GMB253374-hgkgacb7l3n60000000/SIG-20250702_1132196odj.jpeg", "SIG-20250702_1132196odj.jpeg")</f>
        <v>SIG-20250702_1132196odj.jpeg</v>
      </c>
      <c r="AT341" s="1" t="s">
        <v>1897</v>
      </c>
      <c r="AU341" s="3" t="str">
        <f>HYPERLINK("https://icf.clappia.com/app/GMB253374/submission/UMZ54485225/ICF247370-GMB253374-624liajd9g2800000000/SIG-20250702_1134ob9ba.jpeg", "SIG-20250702_1134ob9ba.jpeg")</f>
        <v>SIG-20250702_1134ob9ba.jpeg</v>
      </c>
      <c r="AV341" s="3" t="str">
        <f>HYPERLINK("https://www.google.com/maps/place/8.9024801%2C-12.0395083", "8.9024801,-12.0395083")</f>
        <v>8.9024801,-12.0395083</v>
      </c>
    </row>
    <row r="342" ht="15.75" customHeight="1">
      <c r="A342" s="1" t="s">
        <v>1898</v>
      </c>
      <c r="B342" s="1" t="s">
        <v>189</v>
      </c>
      <c r="C342" s="1" t="s">
        <v>1899</v>
      </c>
      <c r="D342" s="1" t="s">
        <v>1899</v>
      </c>
      <c r="E342" s="1" t="s">
        <v>1900</v>
      </c>
      <c r="F342" s="1" t="s">
        <v>64</v>
      </c>
      <c r="G342" s="1">
        <v>300.0</v>
      </c>
      <c r="H342" s="1" t="s">
        <v>50</v>
      </c>
      <c r="I342" s="1">
        <v>64.0</v>
      </c>
      <c r="J342" s="1">
        <v>33.0</v>
      </c>
      <c r="K342" s="1">
        <v>28.0</v>
      </c>
      <c r="L342" s="1">
        <v>31.0</v>
      </c>
      <c r="M342" s="1">
        <v>30.0</v>
      </c>
      <c r="N342" s="1" t="s">
        <v>51</v>
      </c>
      <c r="O342" s="1">
        <v>56.0</v>
      </c>
      <c r="P342" s="1">
        <v>25.0</v>
      </c>
      <c r="Q342" s="1">
        <v>21.0</v>
      </c>
      <c r="R342" s="1">
        <v>31.0</v>
      </c>
      <c r="S342" s="1">
        <v>27.0</v>
      </c>
      <c r="T342" s="1" t="s">
        <v>52</v>
      </c>
      <c r="U342" s="1">
        <v>60.0</v>
      </c>
      <c r="V342" s="1">
        <v>26.0</v>
      </c>
      <c r="W342" s="1">
        <v>25.0</v>
      </c>
      <c r="X342" s="1">
        <v>34.0</v>
      </c>
      <c r="Y342" s="1">
        <v>34.0</v>
      </c>
      <c r="Z342" s="1" t="s">
        <v>53</v>
      </c>
      <c r="AA342" s="1">
        <v>75.0</v>
      </c>
      <c r="AB342" s="1">
        <v>47.0</v>
      </c>
      <c r="AC342" s="1">
        <v>44.0</v>
      </c>
      <c r="AD342" s="1">
        <v>28.0</v>
      </c>
      <c r="AE342" s="1">
        <v>28.0</v>
      </c>
      <c r="AF342" s="1" t="s">
        <v>54</v>
      </c>
      <c r="AG342" s="1">
        <v>64.0</v>
      </c>
      <c r="AH342" s="1">
        <v>30.0</v>
      </c>
      <c r="AI342" s="1">
        <v>29.0</v>
      </c>
      <c r="AJ342" s="1">
        <v>34.0</v>
      </c>
      <c r="AK342" s="1">
        <v>34.0</v>
      </c>
      <c r="AL342" s="1">
        <v>300.0</v>
      </c>
      <c r="AM342" s="1" t="s">
        <v>55</v>
      </c>
      <c r="AN342" s="1" t="s">
        <v>55</v>
      </c>
      <c r="AO342" s="1" t="s">
        <v>55</v>
      </c>
      <c r="AP342" s="1" t="s">
        <v>1901</v>
      </c>
      <c r="AQ342" s="3" t="str">
        <f>HYPERLINK("https://icf.clappia.com/app/GMB253374/submission/NYB05584935/ICF247370-GMB253374-13ojkddpnmgna0000000/SIG-20250702_13042mpcn.jpeg", "SIG-20250702_13042mpcn.jpeg")</f>
        <v>SIG-20250702_13042mpcn.jpeg</v>
      </c>
      <c r="AR342" s="1" t="s">
        <v>1902</v>
      </c>
      <c r="AS342" s="3" t="str">
        <f>HYPERLINK("https://icf.clappia.com/app/GMB253374/submission/NYB05584935/ICF247370-GMB253374-d3iipgknao9k0000000/SIG-20250702_13043coc6.jpeg", "SIG-20250702_13043coc6.jpeg")</f>
        <v>SIG-20250702_13043coc6.jpeg</v>
      </c>
      <c r="AT342" s="1" t="s">
        <v>1903</v>
      </c>
      <c r="AU342" s="3" t="str">
        <f>HYPERLINK("https://icf.clappia.com/app/GMB253374/submission/NYB05584935/ICF247370-GMB253374-3f14aca780mo00000000/SIG-20250702_13051aebj4.jpeg", "SIG-20250702_13051aebj4.jpeg")</f>
        <v>SIG-20250702_13051aebj4.jpeg</v>
      </c>
      <c r="AV342" s="3" t="str">
        <f>HYPERLINK("https://www.google.com/maps/place/8.8963985%2C-12.0409474", "8.8963985,-12.0409474")</f>
        <v>8.8963985,-12.0409474</v>
      </c>
    </row>
    <row r="343" ht="15.75" customHeight="1">
      <c r="A343" s="1" t="s">
        <v>1904</v>
      </c>
      <c r="B343" s="1" t="s">
        <v>778</v>
      </c>
      <c r="C343" s="1" t="s">
        <v>1905</v>
      </c>
      <c r="D343" s="1" t="s">
        <v>1905</v>
      </c>
      <c r="E343" s="1" t="s">
        <v>1906</v>
      </c>
      <c r="F343" s="1" t="s">
        <v>64</v>
      </c>
      <c r="G343" s="1">
        <v>130.0</v>
      </c>
      <c r="H343" s="1" t="s">
        <v>50</v>
      </c>
      <c r="I343" s="1">
        <v>84.0</v>
      </c>
      <c r="J343" s="1">
        <v>45.0</v>
      </c>
      <c r="K343" s="1">
        <v>45.0</v>
      </c>
      <c r="L343" s="1">
        <v>39.0</v>
      </c>
      <c r="M343" s="1">
        <v>39.0</v>
      </c>
      <c r="N343" s="1" t="s">
        <v>51</v>
      </c>
      <c r="O343" s="1">
        <v>44.0</v>
      </c>
      <c r="P343" s="1">
        <v>21.0</v>
      </c>
      <c r="Q343" s="1">
        <v>21.0</v>
      </c>
      <c r="R343" s="1">
        <v>23.0</v>
      </c>
      <c r="S343" s="1">
        <v>23.0</v>
      </c>
      <c r="T343" s="1" t="s">
        <v>52</v>
      </c>
      <c r="U343" s="1" t="s">
        <v>55</v>
      </c>
      <c r="V343" s="1" t="s">
        <v>55</v>
      </c>
      <c r="W343" s="1" t="s">
        <v>55</v>
      </c>
      <c r="X343" s="1" t="s">
        <v>55</v>
      </c>
      <c r="Y343" s="1" t="s">
        <v>55</v>
      </c>
      <c r="Z343" s="1" t="s">
        <v>53</v>
      </c>
      <c r="AA343" s="1" t="s">
        <v>55</v>
      </c>
      <c r="AB343" s="1" t="s">
        <v>55</v>
      </c>
      <c r="AC343" s="1" t="s">
        <v>55</v>
      </c>
      <c r="AD343" s="1" t="s">
        <v>55</v>
      </c>
      <c r="AE343" s="1" t="s">
        <v>55</v>
      </c>
      <c r="AF343" s="1" t="s">
        <v>54</v>
      </c>
      <c r="AG343" s="1" t="s">
        <v>55</v>
      </c>
      <c r="AH343" s="1" t="s">
        <v>55</v>
      </c>
      <c r="AI343" s="1" t="s">
        <v>55</v>
      </c>
      <c r="AJ343" s="1" t="s">
        <v>55</v>
      </c>
      <c r="AK343" s="1" t="s">
        <v>55</v>
      </c>
      <c r="AL343" s="1">
        <v>128.0</v>
      </c>
      <c r="AM343" s="1">
        <v>1.0</v>
      </c>
      <c r="AN343" s="1">
        <v>1.0</v>
      </c>
      <c r="AO343" s="1">
        <v>1.0</v>
      </c>
      <c r="AP343" s="1" t="s">
        <v>781</v>
      </c>
      <c r="AQ343" s="3" t="str">
        <f>HYPERLINK("https://icf.clappia.com/app/GMB253374/submission/KVV52149800/ICF247370-GMB253374-1hogbfi3k6h7m0000000/SIG-20250702_1303d77kc.jpeg", "SIG-20250702_1303d77kc.jpeg")</f>
        <v>SIG-20250702_1303d77kc.jpeg</v>
      </c>
      <c r="AR343" s="1" t="s">
        <v>782</v>
      </c>
      <c r="AS343" s="3" t="str">
        <f>HYPERLINK("https://icf.clappia.com/app/GMB253374/submission/KVV52149800/ICF247370-GMB253374-25b7j4dfefa2i0000000/SIG-20250702_1303g9jo4.jpeg", "SIG-20250702_1303g9jo4.jpeg")</f>
        <v>SIG-20250702_1303g9jo4.jpeg</v>
      </c>
      <c r="AT343" s="1" t="s">
        <v>1907</v>
      </c>
      <c r="AU343" s="3" t="str">
        <f>HYPERLINK("https://icf.clappia.com/app/GMB253374/submission/KVV52149800/ICF247370-GMB253374-5c9cgc608gc600000000/SIG-20250702_13035559d.jpeg", "SIG-20250702_13035559d.jpeg")</f>
        <v>SIG-20250702_13035559d.jpeg</v>
      </c>
      <c r="AV343" s="3" t="str">
        <f>HYPERLINK("https://www.google.com/maps/place/7.768975%2C-11.6566133", "7.768975,-11.6566133")</f>
        <v>7.768975,-11.6566133</v>
      </c>
    </row>
    <row r="344" ht="15.75" customHeight="1">
      <c r="A344" s="1" t="s">
        <v>1908</v>
      </c>
      <c r="B344" s="1" t="s">
        <v>155</v>
      </c>
      <c r="C344" s="1" t="s">
        <v>1869</v>
      </c>
      <c r="D344" s="1" t="s">
        <v>1909</v>
      </c>
      <c r="E344" s="1" t="s">
        <v>1910</v>
      </c>
      <c r="F344" s="1" t="s">
        <v>64</v>
      </c>
      <c r="G344" s="1">
        <v>151.0</v>
      </c>
      <c r="H344" s="1" t="s">
        <v>50</v>
      </c>
      <c r="I344" s="1">
        <v>57.0</v>
      </c>
      <c r="J344" s="1">
        <v>25.0</v>
      </c>
      <c r="K344" s="1">
        <v>11.0</v>
      </c>
      <c r="L344" s="1">
        <v>32.0</v>
      </c>
      <c r="M344" s="1">
        <v>19.0</v>
      </c>
      <c r="N344" s="1" t="s">
        <v>51</v>
      </c>
      <c r="O344" s="1">
        <v>75.0</v>
      </c>
      <c r="P344" s="1">
        <v>30.0</v>
      </c>
      <c r="Q344" s="1">
        <v>13.0</v>
      </c>
      <c r="R344" s="1">
        <v>45.0</v>
      </c>
      <c r="S344" s="1">
        <v>12.0</v>
      </c>
      <c r="T344" s="1" t="s">
        <v>52</v>
      </c>
      <c r="U344" s="1">
        <v>71.0</v>
      </c>
      <c r="V344" s="1">
        <v>31.0</v>
      </c>
      <c r="W344" s="1">
        <v>15.0</v>
      </c>
      <c r="X344" s="1">
        <v>40.0</v>
      </c>
      <c r="Y344" s="1">
        <v>24.0</v>
      </c>
      <c r="Z344" s="1" t="s">
        <v>53</v>
      </c>
      <c r="AA344" s="1">
        <v>46.0</v>
      </c>
      <c r="AB344" s="1">
        <v>19.0</v>
      </c>
      <c r="AC344" s="1">
        <v>10.0</v>
      </c>
      <c r="AD344" s="1">
        <v>27.0</v>
      </c>
      <c r="AE344" s="1">
        <v>25.0</v>
      </c>
      <c r="AF344" s="1" t="s">
        <v>54</v>
      </c>
      <c r="AG344" s="1">
        <v>61.0</v>
      </c>
      <c r="AH344" s="1">
        <v>22.0</v>
      </c>
      <c r="AI344" s="1">
        <v>10.0</v>
      </c>
      <c r="AJ344" s="1">
        <v>39.0</v>
      </c>
      <c r="AK344" s="1">
        <v>12.0</v>
      </c>
      <c r="AL344" s="1">
        <v>151.0</v>
      </c>
      <c r="AM344" s="1" t="s">
        <v>55</v>
      </c>
      <c r="AN344" s="1" t="s">
        <v>55</v>
      </c>
      <c r="AO344" s="1" t="s">
        <v>55</v>
      </c>
      <c r="AP344" s="1" t="s">
        <v>1911</v>
      </c>
      <c r="AQ344" s="3" t="str">
        <f>HYPERLINK("https://icf.clappia.com/app/GMB253374/submission/IUS23879914/ICF247370-GMB253374-68bknl30l0e000000000/SIG-20250702_125527ce7.jpeg", "SIG-20250702_125527ce7.jpeg")</f>
        <v>SIG-20250702_125527ce7.jpeg</v>
      </c>
      <c r="AR344" s="1" t="s">
        <v>1912</v>
      </c>
      <c r="AS344" s="3" t="str">
        <f>HYPERLINK("https://icf.clappia.com/app/GMB253374/submission/IUS23879914/ICF247370-GMB253374-2jifn603lp4c00000000/SIG-20250702_125614mo7l.jpeg", "SIG-20250702_125614mo7l.jpeg")</f>
        <v>SIG-20250702_125614mo7l.jpeg</v>
      </c>
      <c r="AT344" s="1" t="s">
        <v>1913</v>
      </c>
      <c r="AU344" s="3" t="str">
        <f>HYPERLINK("https://icf.clappia.com/app/GMB253374/submission/IUS23879914/ICF247370-GMB253374-5pefjjk231a400000000/SIG-20250702_13053i5ie.jpeg", "SIG-20250702_13053i5ie.jpeg")</f>
        <v>SIG-20250702_13053i5ie.jpeg</v>
      </c>
      <c r="AV344" s="3" t="str">
        <f>HYPERLINK("https://www.google.com/maps/place/8.8772183%2C-11.9285033", "8.8772183,-11.9285033")</f>
        <v>8.8772183,-11.9285033</v>
      </c>
    </row>
    <row r="345" ht="15.75" customHeight="1">
      <c r="A345" s="1" t="s">
        <v>1914</v>
      </c>
      <c r="B345" s="1" t="s">
        <v>189</v>
      </c>
      <c r="C345" s="1" t="s">
        <v>1869</v>
      </c>
      <c r="D345" s="1" t="s">
        <v>1869</v>
      </c>
      <c r="E345" s="1" t="s">
        <v>1915</v>
      </c>
      <c r="F345" s="1" t="s">
        <v>49</v>
      </c>
      <c r="G345" s="1">
        <v>150.0</v>
      </c>
      <c r="H345" s="1" t="s">
        <v>50</v>
      </c>
      <c r="I345" s="1">
        <v>34.0</v>
      </c>
      <c r="J345" s="1">
        <v>16.0</v>
      </c>
      <c r="K345" s="1">
        <v>16.0</v>
      </c>
      <c r="L345" s="1">
        <v>16.0</v>
      </c>
      <c r="M345" s="1">
        <v>16.0</v>
      </c>
      <c r="N345" s="1" t="s">
        <v>51</v>
      </c>
      <c r="O345" s="1">
        <v>34.0</v>
      </c>
      <c r="P345" s="1">
        <v>21.0</v>
      </c>
      <c r="Q345" s="1">
        <v>21.0</v>
      </c>
      <c r="R345" s="1">
        <v>12.0</v>
      </c>
      <c r="S345" s="1">
        <v>12.0</v>
      </c>
      <c r="T345" s="1" t="s">
        <v>52</v>
      </c>
      <c r="U345" s="1">
        <v>26.0</v>
      </c>
      <c r="V345" s="1">
        <v>10.0</v>
      </c>
      <c r="W345" s="1">
        <v>10.0</v>
      </c>
      <c r="X345" s="1">
        <v>15.0</v>
      </c>
      <c r="Y345" s="1">
        <v>15.0</v>
      </c>
      <c r="Z345" s="1" t="s">
        <v>53</v>
      </c>
      <c r="AA345" s="1">
        <v>26.0</v>
      </c>
      <c r="AB345" s="1">
        <v>14.0</v>
      </c>
      <c r="AC345" s="1">
        <v>14.0</v>
      </c>
      <c r="AD345" s="1">
        <v>12.0</v>
      </c>
      <c r="AE345" s="1">
        <v>12.0</v>
      </c>
      <c r="AF345" s="1" t="s">
        <v>54</v>
      </c>
      <c r="AG345" s="1">
        <v>30.0</v>
      </c>
      <c r="AH345" s="1">
        <v>16.0</v>
      </c>
      <c r="AI345" s="1">
        <v>16.0</v>
      </c>
      <c r="AJ345" s="1">
        <v>14.0</v>
      </c>
      <c r="AK345" s="1">
        <v>14.0</v>
      </c>
      <c r="AL345" s="1">
        <v>146.0</v>
      </c>
      <c r="AM345" s="1">
        <v>4.0</v>
      </c>
      <c r="AN345" s="1" t="s">
        <v>55</v>
      </c>
      <c r="AO345" s="1" t="s">
        <v>55</v>
      </c>
      <c r="AP345" s="1" t="s">
        <v>1916</v>
      </c>
      <c r="AQ345" s="3" t="str">
        <f>HYPERLINK("https://icf.clappia.com/app/GMB253374/submission/FXE71069844/ICF247370-GMB253374-3ig9l15j79ae00000000/SIG-20250702_130416mhhc.jpeg", "SIG-20250702_130416mhhc.jpeg")</f>
        <v>SIG-20250702_130416mhhc.jpeg</v>
      </c>
      <c r="AR345" s="1" t="s">
        <v>1917</v>
      </c>
      <c r="AS345" s="3" t="str">
        <f>HYPERLINK("https://icf.clappia.com/app/GMB253374/submission/FXE71069844/ICF247370-GMB253374-2g0mbn1n27cg00000000/SIG-20250702_1304163fnb.jpeg", "SIG-20250702_1304163fnb.jpeg")</f>
        <v>SIG-20250702_1304163fnb.jpeg</v>
      </c>
      <c r="AT345" s="1" t="s">
        <v>1918</v>
      </c>
      <c r="AU345" s="3" t="str">
        <f>HYPERLINK("https://icf.clappia.com/app/GMB253374/submission/FXE71069844/ICF247370-GMB253374-2l58nplcoc0k00000000/SIG-20250702_130411ei.jpeg", "SIG-20250702_130411ei.jpeg")</f>
        <v>SIG-20250702_130411ei.jpeg</v>
      </c>
      <c r="AV345" s="3" t="str">
        <f>HYPERLINK("https://www.google.com/maps/place/8.9041251%2C-12.0427322", "8.9041251,-12.0427322")</f>
        <v>8.9041251,-12.0427322</v>
      </c>
    </row>
    <row r="346" ht="15.75" customHeight="1">
      <c r="A346" s="1" t="s">
        <v>1919</v>
      </c>
      <c r="B346" s="1" t="s">
        <v>356</v>
      </c>
      <c r="C346" s="1" t="s">
        <v>1920</v>
      </c>
      <c r="D346" s="1" t="s">
        <v>1920</v>
      </c>
      <c r="E346" s="1" t="s">
        <v>1921</v>
      </c>
      <c r="F346" s="1" t="s">
        <v>64</v>
      </c>
      <c r="G346" s="1">
        <v>200.0</v>
      </c>
      <c r="H346" s="1" t="s">
        <v>50</v>
      </c>
      <c r="I346" s="1">
        <v>52.0</v>
      </c>
      <c r="J346" s="1">
        <v>25.0</v>
      </c>
      <c r="K346" s="1">
        <v>20.0</v>
      </c>
      <c r="L346" s="1">
        <v>27.0</v>
      </c>
      <c r="M346" s="1">
        <v>22.0</v>
      </c>
      <c r="N346" s="1" t="s">
        <v>51</v>
      </c>
      <c r="O346" s="1">
        <v>43.0</v>
      </c>
      <c r="P346" s="1">
        <v>20.0</v>
      </c>
      <c r="Q346" s="1">
        <v>20.0</v>
      </c>
      <c r="R346" s="1">
        <v>23.0</v>
      </c>
      <c r="S346" s="1">
        <v>23.0</v>
      </c>
      <c r="T346" s="1" t="s">
        <v>52</v>
      </c>
      <c r="U346" s="1">
        <v>45.0</v>
      </c>
      <c r="V346" s="1">
        <v>22.0</v>
      </c>
      <c r="W346" s="1">
        <v>22.0</v>
      </c>
      <c r="X346" s="1">
        <v>23.0</v>
      </c>
      <c r="Y346" s="1">
        <v>23.0</v>
      </c>
      <c r="Z346" s="1" t="s">
        <v>53</v>
      </c>
      <c r="AA346" s="1">
        <v>39.0</v>
      </c>
      <c r="AB346" s="1">
        <v>17.0</v>
      </c>
      <c r="AC346" s="1">
        <v>17.0</v>
      </c>
      <c r="AD346" s="1">
        <v>22.0</v>
      </c>
      <c r="AE346" s="1">
        <v>22.0</v>
      </c>
      <c r="AF346" s="1" t="s">
        <v>54</v>
      </c>
      <c r="AG346" s="1">
        <v>21.0</v>
      </c>
      <c r="AH346" s="1">
        <v>9.0</v>
      </c>
      <c r="AI346" s="1">
        <v>9.0</v>
      </c>
      <c r="AJ346" s="1">
        <v>12.0</v>
      </c>
      <c r="AK346" s="1">
        <v>12.0</v>
      </c>
      <c r="AL346" s="1">
        <v>190.0</v>
      </c>
      <c r="AM346" s="1">
        <v>10.0</v>
      </c>
      <c r="AN346" s="1" t="s">
        <v>55</v>
      </c>
      <c r="AO346" s="1" t="s">
        <v>55</v>
      </c>
      <c r="AP346" s="1" t="s">
        <v>1922</v>
      </c>
      <c r="AQ346" s="3" t="str">
        <f>HYPERLINK("https://icf.clappia.com/app/GMB253374/submission/EKA30638343/ICF247370-GMB253374-57p6dpkgob0800000000/SIG-20250702_1301ogj35.jpeg", "SIG-20250702_1301ogj35.jpeg")</f>
        <v>SIG-20250702_1301ogj35.jpeg</v>
      </c>
      <c r="AR346" s="1" t="s">
        <v>1923</v>
      </c>
      <c r="AS346" s="3" t="str">
        <f>HYPERLINK("https://icf.clappia.com/app/GMB253374/submission/EKA30638343/ICF247370-GMB253374-66hn9mdod0g200000000/SIG-20250702_1301efcja.jpeg", "SIG-20250702_1301efcja.jpeg")</f>
        <v>SIG-20250702_1301efcja.jpeg</v>
      </c>
      <c r="AT346" s="1" t="s">
        <v>1924</v>
      </c>
      <c r="AU346" s="3" t="str">
        <f>HYPERLINK("https://icf.clappia.com/app/GMB253374/submission/EKA30638343/ICF247370-GMB253374-f52nl9aj040g0000000/SIG-20250702_1302goc3e.jpeg", "SIG-20250702_1302goc3e.jpeg")</f>
        <v>SIG-20250702_1302goc3e.jpeg</v>
      </c>
      <c r="AV346" s="3" t="str">
        <f>HYPERLINK("https://www.google.com/maps/place/8.2272629%2C-11.6726615", "8.2272629,-11.6726615")</f>
        <v>8.2272629,-11.6726615</v>
      </c>
    </row>
    <row r="347" ht="15.75" customHeight="1">
      <c r="A347" s="1" t="s">
        <v>1925</v>
      </c>
      <c r="B347" s="1" t="s">
        <v>189</v>
      </c>
      <c r="C347" s="1" t="s">
        <v>1926</v>
      </c>
      <c r="D347" s="1" t="s">
        <v>1926</v>
      </c>
      <c r="E347" s="1" t="s">
        <v>1927</v>
      </c>
      <c r="F347" s="1" t="s">
        <v>49</v>
      </c>
      <c r="G347" s="1">
        <v>200.0</v>
      </c>
      <c r="H347" s="1" t="s">
        <v>50</v>
      </c>
      <c r="I347" s="1">
        <v>45.0</v>
      </c>
      <c r="J347" s="1">
        <v>30.0</v>
      </c>
      <c r="K347" s="1">
        <v>30.0</v>
      </c>
      <c r="L347" s="1">
        <v>15.0</v>
      </c>
      <c r="M347" s="1">
        <v>15.0</v>
      </c>
      <c r="N347" s="1" t="s">
        <v>51</v>
      </c>
      <c r="O347" s="1">
        <v>35.0</v>
      </c>
      <c r="P347" s="1">
        <v>20.0</v>
      </c>
      <c r="Q347" s="1">
        <v>20.0</v>
      </c>
      <c r="R347" s="1">
        <v>15.0</v>
      </c>
      <c r="S347" s="1">
        <v>15.0</v>
      </c>
      <c r="T347" s="1" t="s">
        <v>52</v>
      </c>
      <c r="U347" s="1">
        <v>47.0</v>
      </c>
      <c r="V347" s="1">
        <v>27.0</v>
      </c>
      <c r="W347" s="1">
        <v>27.0</v>
      </c>
      <c r="X347" s="1">
        <v>20.0</v>
      </c>
      <c r="Y347" s="1">
        <v>20.0</v>
      </c>
      <c r="Z347" s="1" t="s">
        <v>53</v>
      </c>
      <c r="AA347" s="1">
        <v>35.0</v>
      </c>
      <c r="AB347" s="1">
        <v>15.0</v>
      </c>
      <c r="AC347" s="1">
        <v>15.0</v>
      </c>
      <c r="AD347" s="1">
        <v>20.0</v>
      </c>
      <c r="AE347" s="1">
        <v>20.0</v>
      </c>
      <c r="AF347" s="1" t="s">
        <v>54</v>
      </c>
      <c r="AG347" s="1">
        <v>38.0</v>
      </c>
      <c r="AH347" s="1">
        <v>20.0</v>
      </c>
      <c r="AI347" s="1">
        <v>20.0</v>
      </c>
      <c r="AJ347" s="1">
        <v>18.0</v>
      </c>
      <c r="AK347" s="1">
        <v>18.0</v>
      </c>
      <c r="AL347" s="1">
        <v>200.0</v>
      </c>
      <c r="AM347" s="1" t="s">
        <v>55</v>
      </c>
      <c r="AN347" s="1" t="s">
        <v>55</v>
      </c>
      <c r="AO347" s="1" t="s">
        <v>55</v>
      </c>
      <c r="AP347" s="1" t="s">
        <v>1928</v>
      </c>
      <c r="AQ347" s="3" t="str">
        <f>HYPERLINK("https://icf.clappia.com/app/GMB253374/submission/BKN39615081/ICF247370-GMB253374-306c8jbkjd5c00000000/SIG-20250702_1300chje1.jpeg", "SIG-20250702_1300chje1.jpeg")</f>
        <v>SIG-20250702_1300chje1.jpeg</v>
      </c>
      <c r="AR347" s="1" t="s">
        <v>1929</v>
      </c>
      <c r="AS347" s="3" t="str">
        <f>HYPERLINK("https://icf.clappia.com/app/GMB253374/submission/BKN39615081/ICF247370-GMB253374-1omc3be41lhoe0000000/SIG-20250702_13017hhj8.jpeg", "SIG-20250702_13017hhj8.jpeg")</f>
        <v>SIG-20250702_13017hhj8.jpeg</v>
      </c>
      <c r="AT347" s="1" t="s">
        <v>1930</v>
      </c>
      <c r="AU347" s="3" t="str">
        <f>HYPERLINK("https://icf.clappia.com/app/GMB253374/submission/BKN39615081/ICF247370-GMB253374-358b9dn4mc080000000/SIG-20250702_1301oiab1.jpeg", "SIG-20250702_1301oiab1.jpeg")</f>
        <v>SIG-20250702_1301oiab1.jpeg</v>
      </c>
      <c r="AV347" s="3" t="str">
        <f>HYPERLINK("https://www.google.com/maps/place/8.8785881%2C-12.0506848", "8.8785881,-12.0506848")</f>
        <v>8.8785881,-12.0506848</v>
      </c>
    </row>
    <row r="348" ht="15.75" customHeight="1">
      <c r="A348" s="1" t="s">
        <v>1931</v>
      </c>
      <c r="B348" s="1" t="s">
        <v>690</v>
      </c>
      <c r="C348" s="1" t="s">
        <v>1926</v>
      </c>
      <c r="D348" s="1" t="s">
        <v>1926</v>
      </c>
      <c r="E348" s="1" t="s">
        <v>1932</v>
      </c>
      <c r="F348" s="1" t="s">
        <v>64</v>
      </c>
      <c r="G348" s="1">
        <v>326.0</v>
      </c>
      <c r="H348" s="1" t="s">
        <v>50</v>
      </c>
      <c r="I348" s="1">
        <v>109.0</v>
      </c>
      <c r="J348" s="1">
        <v>53.0</v>
      </c>
      <c r="K348" s="1">
        <v>53.0</v>
      </c>
      <c r="L348" s="1">
        <v>56.0</v>
      </c>
      <c r="M348" s="1">
        <v>56.0</v>
      </c>
      <c r="N348" s="1" t="s">
        <v>51</v>
      </c>
      <c r="O348" s="1">
        <v>75.0</v>
      </c>
      <c r="P348" s="1">
        <v>36.0</v>
      </c>
      <c r="Q348" s="1">
        <v>35.0</v>
      </c>
      <c r="R348" s="1">
        <v>39.0</v>
      </c>
      <c r="S348" s="1">
        <v>37.0</v>
      </c>
      <c r="T348" s="1" t="s">
        <v>52</v>
      </c>
      <c r="U348" s="1">
        <v>54.0</v>
      </c>
      <c r="V348" s="1">
        <v>28.0</v>
      </c>
      <c r="W348" s="1">
        <v>28.0</v>
      </c>
      <c r="X348" s="1">
        <v>26.0</v>
      </c>
      <c r="Y348" s="1">
        <v>26.0</v>
      </c>
      <c r="Z348" s="1" t="s">
        <v>53</v>
      </c>
      <c r="AA348" s="1">
        <v>49.0</v>
      </c>
      <c r="AB348" s="1">
        <v>22.0</v>
      </c>
      <c r="AC348" s="1">
        <v>20.0</v>
      </c>
      <c r="AD348" s="1">
        <v>27.0</v>
      </c>
      <c r="AE348" s="1">
        <v>25.0</v>
      </c>
      <c r="AF348" s="1" t="s">
        <v>54</v>
      </c>
      <c r="AG348" s="1">
        <v>39.0</v>
      </c>
      <c r="AH348" s="1">
        <v>15.0</v>
      </c>
      <c r="AI348" s="1">
        <v>13.0</v>
      </c>
      <c r="AJ348" s="1">
        <v>24.0</v>
      </c>
      <c r="AK348" s="1">
        <v>23.0</v>
      </c>
      <c r="AL348" s="1">
        <v>316.0</v>
      </c>
      <c r="AM348" s="1">
        <v>10.0</v>
      </c>
      <c r="AN348" s="1" t="s">
        <v>55</v>
      </c>
      <c r="AO348" s="1" t="s">
        <v>55</v>
      </c>
      <c r="AP348" s="1" t="s">
        <v>1933</v>
      </c>
      <c r="AQ348" s="3" t="str">
        <f>HYPERLINK("https://icf.clappia.com/app/GMB253374/submission/ECS19800293/ICF247370-GMB253374-47eie2indbe400000000/SIG-20250702_125918mk06.jpeg", "SIG-20250702_125918mk06.jpeg")</f>
        <v>SIG-20250702_125918mk06.jpeg</v>
      </c>
      <c r="AR348" s="1" t="s">
        <v>1317</v>
      </c>
      <c r="AS348" s="3" t="str">
        <f>HYPERLINK("https://icf.clappia.com/app/GMB253374/submission/ECS19800293/ICF247370-GMB253374-696epo2n12oo00000000/SIG-20250702_1300ap3oj.jpeg", "SIG-20250702_1300ap3oj.jpeg")</f>
        <v>SIG-20250702_1300ap3oj.jpeg</v>
      </c>
      <c r="AT348" s="1" t="s">
        <v>1934</v>
      </c>
      <c r="AU348" s="3" t="str">
        <f>HYPERLINK("https://icf.clappia.com/app/GMB253374/submission/ECS19800293/ICF247370-GMB253374-7f9i359edkm40000000/SIG-20250702_130080e4c.jpeg", "SIG-20250702_130080e4c.jpeg")</f>
        <v>SIG-20250702_130080e4c.jpeg</v>
      </c>
      <c r="AV348" s="3" t="str">
        <f>HYPERLINK("https://www.google.com/maps/place/8.8091583%2C-12.039325", "8.8091583,-12.039325")</f>
        <v>8.8091583,-12.039325</v>
      </c>
    </row>
    <row r="349" ht="15.75" customHeight="1">
      <c r="A349" s="1" t="s">
        <v>1935</v>
      </c>
      <c r="B349" s="1" t="s">
        <v>75</v>
      </c>
      <c r="C349" s="1" t="s">
        <v>1936</v>
      </c>
      <c r="D349" s="1" t="s">
        <v>1936</v>
      </c>
      <c r="E349" s="1" t="s">
        <v>1937</v>
      </c>
      <c r="F349" s="1" t="s">
        <v>64</v>
      </c>
      <c r="G349" s="1">
        <v>200.0</v>
      </c>
      <c r="H349" s="1" t="s">
        <v>50</v>
      </c>
      <c r="I349" s="1">
        <v>45.0</v>
      </c>
      <c r="J349" s="1">
        <v>20.0</v>
      </c>
      <c r="K349" s="1">
        <v>20.0</v>
      </c>
      <c r="L349" s="1">
        <v>25.0</v>
      </c>
      <c r="M349" s="1">
        <v>25.0</v>
      </c>
      <c r="N349" s="1" t="s">
        <v>51</v>
      </c>
      <c r="O349" s="1">
        <v>35.0</v>
      </c>
      <c r="P349" s="1">
        <v>15.0</v>
      </c>
      <c r="Q349" s="1">
        <v>15.0</v>
      </c>
      <c r="R349" s="1">
        <v>20.0</v>
      </c>
      <c r="S349" s="1">
        <v>20.0</v>
      </c>
      <c r="T349" s="1" t="s">
        <v>52</v>
      </c>
      <c r="U349" s="1">
        <v>39.0</v>
      </c>
      <c r="V349" s="1">
        <v>20.0</v>
      </c>
      <c r="W349" s="1">
        <v>20.0</v>
      </c>
      <c r="X349" s="1">
        <v>19.0</v>
      </c>
      <c r="Y349" s="1">
        <v>19.0</v>
      </c>
      <c r="Z349" s="1" t="s">
        <v>53</v>
      </c>
      <c r="AA349" s="1">
        <v>39.0</v>
      </c>
      <c r="AB349" s="1">
        <v>19.0</v>
      </c>
      <c r="AC349" s="1">
        <v>19.0</v>
      </c>
      <c r="AD349" s="1">
        <v>20.0</v>
      </c>
      <c r="AE349" s="1">
        <v>20.0</v>
      </c>
      <c r="AF349" s="1" t="s">
        <v>54</v>
      </c>
      <c r="AG349" s="1">
        <v>40.0</v>
      </c>
      <c r="AH349" s="1">
        <v>20.0</v>
      </c>
      <c r="AI349" s="1">
        <v>20.0</v>
      </c>
      <c r="AJ349" s="1">
        <v>20.0</v>
      </c>
      <c r="AK349" s="1">
        <v>20.0</v>
      </c>
      <c r="AL349" s="1">
        <v>198.0</v>
      </c>
      <c r="AM349" s="1">
        <v>2.0</v>
      </c>
      <c r="AN349" s="1" t="s">
        <v>55</v>
      </c>
      <c r="AO349" s="1" t="s">
        <v>55</v>
      </c>
      <c r="AP349" s="1" t="s">
        <v>1830</v>
      </c>
      <c r="AQ349" s="3" t="str">
        <f>HYPERLINK("https://icf.clappia.com/app/GMB253374/submission/CRW82483693/ICF247370-GMB253374-1ii0lg5l7ag2i0000000/SIG-20250702_12543jpem.jpeg", "SIG-20250702_12543jpem.jpeg")</f>
        <v>SIG-20250702_12543jpem.jpeg</v>
      </c>
      <c r="AR349" s="1" t="s">
        <v>1831</v>
      </c>
      <c r="AS349" s="3" t="str">
        <f>HYPERLINK("https://icf.clappia.com/app/GMB253374/submission/CRW82483693/ICF247370-GMB253374-60e0d00idf6e00000000/SIG-20250702_1255leg9a.jpeg", "SIG-20250702_1255leg9a.jpeg")</f>
        <v>SIG-20250702_1255leg9a.jpeg</v>
      </c>
      <c r="AT349" s="1" t="s">
        <v>1938</v>
      </c>
      <c r="AU349" s="3" t="str">
        <f>HYPERLINK("https://icf.clappia.com/app/GMB253374/submission/CRW82483693/ICF247370-GMB253374-69153enb9n5a00000000/SIG-20250702_12559ngfi.jpeg", "SIG-20250702_12559ngfi.jpeg")</f>
        <v>SIG-20250702_12559ngfi.jpeg</v>
      </c>
      <c r="AV349" s="3" t="str">
        <f>HYPERLINK("https://www.google.com/maps/place/8.9705817%2C-12.1598883", "8.9705817,-12.1598883")</f>
        <v>8.9705817,-12.1598883</v>
      </c>
    </row>
    <row r="350" ht="15.75" customHeight="1">
      <c r="A350" s="1" t="s">
        <v>1939</v>
      </c>
      <c r="B350" s="1" t="s">
        <v>278</v>
      </c>
      <c r="C350" s="1" t="s">
        <v>1940</v>
      </c>
      <c r="D350" s="1" t="s">
        <v>1941</v>
      </c>
      <c r="E350" s="1" t="s">
        <v>1942</v>
      </c>
      <c r="F350" s="1" t="s">
        <v>64</v>
      </c>
      <c r="G350" s="1">
        <v>538.0</v>
      </c>
      <c r="H350" s="1" t="s">
        <v>50</v>
      </c>
      <c r="I350" s="1">
        <v>116.0</v>
      </c>
      <c r="J350" s="1">
        <v>43.0</v>
      </c>
      <c r="K350" s="1">
        <v>43.0</v>
      </c>
      <c r="L350" s="1">
        <v>73.0</v>
      </c>
      <c r="M350" s="1">
        <v>73.0</v>
      </c>
      <c r="N350" s="1" t="s">
        <v>51</v>
      </c>
      <c r="O350" s="1">
        <v>91.0</v>
      </c>
      <c r="P350" s="1">
        <v>40.0</v>
      </c>
      <c r="Q350" s="1">
        <v>40.0</v>
      </c>
      <c r="R350" s="1">
        <v>51.0</v>
      </c>
      <c r="S350" s="1">
        <v>51.0</v>
      </c>
      <c r="T350" s="1" t="s">
        <v>52</v>
      </c>
      <c r="U350" s="1">
        <v>83.0</v>
      </c>
      <c r="V350" s="1">
        <v>48.0</v>
      </c>
      <c r="W350" s="1">
        <v>48.0</v>
      </c>
      <c r="X350" s="1">
        <v>35.0</v>
      </c>
      <c r="Y350" s="1">
        <v>35.0</v>
      </c>
      <c r="Z350" s="1" t="s">
        <v>53</v>
      </c>
      <c r="AA350" s="1">
        <v>72.0</v>
      </c>
      <c r="AB350" s="1">
        <v>32.0</v>
      </c>
      <c r="AC350" s="1">
        <v>32.0</v>
      </c>
      <c r="AD350" s="1">
        <v>40.0</v>
      </c>
      <c r="AE350" s="1">
        <v>40.0</v>
      </c>
      <c r="AF350" s="1" t="s">
        <v>54</v>
      </c>
      <c r="AG350" s="1">
        <v>77.0</v>
      </c>
      <c r="AH350" s="1">
        <v>34.0</v>
      </c>
      <c r="AI350" s="1">
        <v>34.0</v>
      </c>
      <c r="AJ350" s="1">
        <v>43.0</v>
      </c>
      <c r="AK350" s="1">
        <v>43.0</v>
      </c>
      <c r="AL350" s="1">
        <v>439.0</v>
      </c>
      <c r="AM350" s="1" t="s">
        <v>55</v>
      </c>
      <c r="AN350" s="1">
        <v>99.0</v>
      </c>
      <c r="AO350" s="1">
        <v>99.0</v>
      </c>
      <c r="AP350" s="1" t="s">
        <v>1943</v>
      </c>
      <c r="AQ350" s="3" t="str">
        <f>HYPERLINK("https://icf.clappia.com/app/GMB253374/submission/LYC79705257/ICF247370-GMB253374-5ehlk5nf506k00000000/SIG-20250701_1345cm2ha.jpeg", "SIG-20250701_1345cm2ha.jpeg")</f>
        <v>SIG-20250701_1345cm2ha.jpeg</v>
      </c>
      <c r="AR350" s="1" t="s">
        <v>1944</v>
      </c>
      <c r="AS350" s="3" t="str">
        <f>HYPERLINK("https://icf.clappia.com/app/GMB253374/submission/LYC79705257/ICF247370-GMB253374-489c8ah650fg00000000/SIG-20250701_134715918j.jpeg", "SIG-20250701_134715918j.jpeg")</f>
        <v>SIG-20250701_134715918j.jpeg</v>
      </c>
      <c r="AT350" s="1" t="s">
        <v>1945</v>
      </c>
      <c r="AU350" s="3" t="str">
        <f>HYPERLINK("https://icf.clappia.com/app/GMB253374/submission/LYC79705257/ICF247370-GMB253374-2h4iee6b8de800000000/SIG-20250701_1348181h8b.jpeg", "SIG-20250701_1348181h8b.jpeg")</f>
        <v>SIG-20250701_1348181h8b.jpeg</v>
      </c>
      <c r="AV350" s="3" t="str">
        <f>HYPERLINK("https://www.google.com/maps/place/9.2986966%2C-12.2060882", "9.2986966,-12.2060882")</f>
        <v>9.2986966,-12.2060882</v>
      </c>
    </row>
    <row r="351" ht="15.75" customHeight="1">
      <c r="A351" s="1" t="s">
        <v>1946</v>
      </c>
      <c r="B351" s="1" t="s">
        <v>161</v>
      </c>
      <c r="C351" s="1" t="s">
        <v>1941</v>
      </c>
      <c r="D351" s="1" t="s">
        <v>1941</v>
      </c>
      <c r="E351" s="1" t="s">
        <v>1947</v>
      </c>
      <c r="F351" s="1" t="s">
        <v>64</v>
      </c>
      <c r="G351" s="1">
        <v>200.0</v>
      </c>
      <c r="H351" s="1" t="s">
        <v>50</v>
      </c>
      <c r="I351" s="1">
        <v>66.0</v>
      </c>
      <c r="J351" s="1">
        <v>33.0</v>
      </c>
      <c r="K351" s="1">
        <v>24.0</v>
      </c>
      <c r="L351" s="1">
        <v>33.0</v>
      </c>
      <c r="M351" s="1">
        <v>26.0</v>
      </c>
      <c r="N351" s="1" t="s">
        <v>51</v>
      </c>
      <c r="O351" s="1">
        <v>48.0</v>
      </c>
      <c r="P351" s="1">
        <v>22.0</v>
      </c>
      <c r="Q351" s="1">
        <v>22.0</v>
      </c>
      <c r="R351" s="1">
        <v>26.0</v>
      </c>
      <c r="S351" s="1">
        <v>23.0</v>
      </c>
      <c r="T351" s="1" t="s">
        <v>52</v>
      </c>
      <c r="U351" s="1">
        <v>52.0</v>
      </c>
      <c r="V351" s="1">
        <v>28.0</v>
      </c>
      <c r="W351" s="1">
        <v>24.0</v>
      </c>
      <c r="X351" s="1">
        <v>24.0</v>
      </c>
      <c r="Y351" s="1">
        <v>23.0</v>
      </c>
      <c r="Z351" s="1" t="s">
        <v>53</v>
      </c>
      <c r="AA351" s="1">
        <v>34.0</v>
      </c>
      <c r="AB351" s="1">
        <v>14.0</v>
      </c>
      <c r="AC351" s="1">
        <v>14.0</v>
      </c>
      <c r="AD351" s="1">
        <v>20.0</v>
      </c>
      <c r="AE351" s="1">
        <v>19.0</v>
      </c>
      <c r="AF351" s="1" t="s">
        <v>54</v>
      </c>
      <c r="AG351" s="1">
        <v>30.0</v>
      </c>
      <c r="AH351" s="1">
        <v>14.0</v>
      </c>
      <c r="AI351" s="1">
        <v>11.0</v>
      </c>
      <c r="AJ351" s="1">
        <v>16.0</v>
      </c>
      <c r="AK351" s="1">
        <v>14.0</v>
      </c>
      <c r="AL351" s="1">
        <v>200.0</v>
      </c>
      <c r="AM351" s="1" t="s">
        <v>55</v>
      </c>
      <c r="AN351" s="1" t="s">
        <v>55</v>
      </c>
      <c r="AO351" s="1" t="s">
        <v>55</v>
      </c>
      <c r="AP351" s="1" t="s">
        <v>1948</v>
      </c>
      <c r="AQ351" s="3" t="str">
        <f>HYPERLINK("https://icf.clappia.com/app/GMB253374/submission/MPH32699599/ICF247370-GMB253374-3hepab1k58e000000000/SIG-20250702_1253gbo6l.jpeg", "SIG-20250702_1253gbo6l.jpeg")</f>
        <v>SIG-20250702_1253gbo6l.jpeg</v>
      </c>
      <c r="AR351" s="1" t="s">
        <v>1949</v>
      </c>
      <c r="AS351" s="3" t="str">
        <f>HYPERLINK("https://icf.clappia.com/app/GMB253374/submission/MPH32699599/ICF247370-GMB253374-10jn4i2i1joik0000000/SIG-20250702_1253ld7h2.jpeg", "SIG-20250702_1253ld7h2.jpeg")</f>
        <v>SIG-20250702_1253ld7h2.jpeg</v>
      </c>
      <c r="AT351" s="1" t="s">
        <v>1950</v>
      </c>
      <c r="AU351" s="3" t="str">
        <f>HYPERLINK("https://icf.clappia.com/app/GMB253374/submission/MPH32699599/ICF247370-GMB253374-645hpg0p0b1e00000000/SIG-20250702_12543gl6f.jpeg", "SIG-20250702_12543gl6f.jpeg")</f>
        <v>SIG-20250702_12543gl6f.jpeg</v>
      </c>
      <c r="AV351" s="3" t="str">
        <f>HYPERLINK("https://www.google.com/maps/place/7.9846267%2C-11.7288017", "7.9846267,-11.7288017")</f>
        <v>7.9846267,-11.7288017</v>
      </c>
    </row>
    <row r="352" ht="15.75" customHeight="1">
      <c r="A352" s="1" t="s">
        <v>1951</v>
      </c>
      <c r="B352" s="1" t="s">
        <v>161</v>
      </c>
      <c r="C352" s="1" t="s">
        <v>1952</v>
      </c>
      <c r="D352" s="1" t="s">
        <v>1953</v>
      </c>
      <c r="E352" s="1" t="s">
        <v>1954</v>
      </c>
      <c r="F352" s="1" t="s">
        <v>64</v>
      </c>
      <c r="G352" s="1">
        <v>100.0</v>
      </c>
      <c r="H352" s="1" t="s">
        <v>50</v>
      </c>
      <c r="I352" s="1">
        <v>19.0</v>
      </c>
      <c r="J352" s="1">
        <v>11.0</v>
      </c>
      <c r="K352" s="1">
        <v>8.0</v>
      </c>
      <c r="L352" s="1">
        <v>8.0</v>
      </c>
      <c r="M352" s="1">
        <v>8.0</v>
      </c>
      <c r="N352" s="1" t="s">
        <v>51</v>
      </c>
      <c r="O352" s="1">
        <v>16.0</v>
      </c>
      <c r="P352" s="1">
        <v>7.0</v>
      </c>
      <c r="Q352" s="1">
        <v>7.0</v>
      </c>
      <c r="R352" s="1">
        <v>9.0</v>
      </c>
      <c r="S352" s="1">
        <v>9.0</v>
      </c>
      <c r="T352" s="1" t="s">
        <v>52</v>
      </c>
      <c r="U352" s="1">
        <v>27.0</v>
      </c>
      <c r="V352" s="1">
        <v>15.0</v>
      </c>
      <c r="W352" s="1">
        <v>15.0</v>
      </c>
      <c r="X352" s="1">
        <v>12.0</v>
      </c>
      <c r="Y352" s="1">
        <v>12.0</v>
      </c>
      <c r="Z352" s="1" t="s">
        <v>53</v>
      </c>
      <c r="AA352" s="1">
        <v>30.0</v>
      </c>
      <c r="AB352" s="1">
        <v>20.0</v>
      </c>
      <c r="AC352" s="1">
        <v>20.0</v>
      </c>
      <c r="AD352" s="1">
        <v>10.0</v>
      </c>
      <c r="AE352" s="1">
        <v>10.0</v>
      </c>
      <c r="AF352" s="1" t="s">
        <v>54</v>
      </c>
      <c r="AG352" s="1">
        <v>17.0</v>
      </c>
      <c r="AH352" s="1">
        <v>7.0</v>
      </c>
      <c r="AI352" s="1">
        <v>7.0</v>
      </c>
      <c r="AJ352" s="1">
        <v>10.0</v>
      </c>
      <c r="AK352" s="1">
        <v>4.0</v>
      </c>
      <c r="AL352" s="1">
        <v>100.0</v>
      </c>
      <c r="AM352" s="1" t="s">
        <v>55</v>
      </c>
      <c r="AN352" s="1" t="s">
        <v>55</v>
      </c>
      <c r="AO352" s="1" t="s">
        <v>55</v>
      </c>
      <c r="AP352" s="1" t="s">
        <v>1268</v>
      </c>
      <c r="AQ352" s="3" t="str">
        <f>HYPERLINK("https://icf.clappia.com/app/GMB253374/submission/EMW42064852/ICF247370-GMB253374-3fo4kpl88p1g00000000/SIG-20250702_12514oha0.jpeg", "SIG-20250702_12514oha0.jpeg")</f>
        <v>SIG-20250702_12514oha0.jpeg</v>
      </c>
      <c r="AR352" s="1" t="s">
        <v>1269</v>
      </c>
      <c r="AS352" s="3" t="str">
        <f>HYPERLINK("https://icf.clappia.com/app/GMB253374/submission/EMW42064852/ICF247370-GMB253374-2jcegca3jnhm0000000/SIG-20250702_1251akfc4.jpeg", "SIG-20250702_1251akfc4.jpeg")</f>
        <v>SIG-20250702_1251akfc4.jpeg</v>
      </c>
      <c r="AT352" s="1" t="s">
        <v>1270</v>
      </c>
      <c r="AU352" s="3" t="str">
        <f>HYPERLINK("https://icf.clappia.com/app/GMB253374/submission/EMW42064852/ICF247370-GMB253374-4n2icc1a7kcm0000000/SIG-20250702_12515b37j.jpeg", "SIG-20250702_12515b37j.jpeg")</f>
        <v>SIG-20250702_12515b37j.jpeg</v>
      </c>
      <c r="AV352" s="3" t="str">
        <f>HYPERLINK("https://www.google.com/maps/place/7.9065739%2C-11.6349496", "7.9065739,-11.6349496")</f>
        <v>7.9065739,-11.6349496</v>
      </c>
    </row>
    <row r="353" ht="15.75" customHeight="1">
      <c r="A353" s="1" t="s">
        <v>1955</v>
      </c>
      <c r="B353" s="1" t="s">
        <v>75</v>
      </c>
      <c r="C353" s="1" t="s">
        <v>1956</v>
      </c>
      <c r="D353" s="1" t="s">
        <v>1956</v>
      </c>
      <c r="E353" s="1" t="s">
        <v>1957</v>
      </c>
      <c r="F353" s="1" t="s">
        <v>64</v>
      </c>
      <c r="G353" s="1">
        <v>450.0</v>
      </c>
      <c r="H353" s="1" t="s">
        <v>50</v>
      </c>
      <c r="I353" s="1">
        <v>45.0</v>
      </c>
      <c r="J353" s="1">
        <v>20.0</v>
      </c>
      <c r="K353" s="1">
        <v>20.0</v>
      </c>
      <c r="L353" s="1">
        <v>25.0</v>
      </c>
      <c r="M353" s="1">
        <v>25.0</v>
      </c>
      <c r="N353" s="1" t="s">
        <v>51</v>
      </c>
      <c r="O353" s="1">
        <v>55.0</v>
      </c>
      <c r="P353" s="1">
        <v>25.0</v>
      </c>
      <c r="Q353" s="1">
        <v>25.0</v>
      </c>
      <c r="R353" s="1">
        <v>30.0</v>
      </c>
      <c r="S353" s="1">
        <v>30.0</v>
      </c>
      <c r="T353" s="1" t="s">
        <v>52</v>
      </c>
      <c r="U353" s="1">
        <v>40.0</v>
      </c>
      <c r="V353" s="1">
        <v>20.0</v>
      </c>
      <c r="W353" s="1">
        <v>20.0</v>
      </c>
      <c r="X353" s="1">
        <v>20.0</v>
      </c>
      <c r="Y353" s="1">
        <v>20.0</v>
      </c>
      <c r="Z353" s="1" t="s">
        <v>53</v>
      </c>
      <c r="AA353" s="1">
        <v>50.0</v>
      </c>
      <c r="AB353" s="1">
        <v>22.0</v>
      </c>
      <c r="AC353" s="1">
        <v>22.0</v>
      </c>
      <c r="AD353" s="1">
        <v>28.0</v>
      </c>
      <c r="AE353" s="1">
        <v>28.0</v>
      </c>
      <c r="AF353" s="1" t="s">
        <v>54</v>
      </c>
      <c r="AG353" s="1">
        <v>37.0</v>
      </c>
      <c r="AH353" s="1">
        <v>21.0</v>
      </c>
      <c r="AI353" s="1">
        <v>21.0</v>
      </c>
      <c r="AJ353" s="1">
        <v>16.0</v>
      </c>
      <c r="AK353" s="1">
        <v>16.0</v>
      </c>
      <c r="AL353" s="1">
        <v>227.0</v>
      </c>
      <c r="AM353" s="1" t="s">
        <v>55</v>
      </c>
      <c r="AN353" s="1">
        <v>223.0</v>
      </c>
      <c r="AO353" s="1">
        <v>223.0</v>
      </c>
      <c r="AP353" s="1" t="s">
        <v>1830</v>
      </c>
      <c r="AQ353" s="3" t="str">
        <f>HYPERLINK("https://icf.clappia.com/app/GMB253374/submission/MKQ61328973/ICF247370-GMB253374-54d58dnjld6i00000000/SIG-20250702_12281m7b9.jpeg", "SIG-20250702_12281m7b9.jpeg")</f>
        <v>SIG-20250702_12281m7b9.jpeg</v>
      </c>
      <c r="AR353" s="1" t="s">
        <v>1831</v>
      </c>
      <c r="AS353" s="3" t="str">
        <f>HYPERLINK("https://icf.clappia.com/app/GMB253374/submission/MKQ61328973/ICF247370-GMB253374-1cgne25c6oi9e0000000/SIG-20250702_1229mbmo2.jpeg", "SIG-20250702_1229mbmo2.jpeg")</f>
        <v>SIG-20250702_1229mbmo2.jpeg</v>
      </c>
      <c r="AT353" s="1" t="s">
        <v>1832</v>
      </c>
      <c r="AU353" s="3" t="str">
        <f>HYPERLINK("https://icf.clappia.com/app/GMB253374/submission/MKQ61328973/ICF247370-GMB253374-pgcae6c7f6320000000/SIG-20250702_1229n5fgk.jpeg", "SIG-20250702_1229n5fgk.jpeg")</f>
        <v>SIG-20250702_1229n5fgk.jpeg</v>
      </c>
      <c r="AV353" s="3" t="str">
        <f>HYPERLINK("https://www.google.com/maps/place/8.9708283%2C-12.15982", "8.9708283,-12.15982")</f>
        <v>8.9708283,-12.15982</v>
      </c>
    </row>
    <row r="354" ht="15.75" customHeight="1">
      <c r="A354" s="1" t="s">
        <v>1958</v>
      </c>
      <c r="B354" s="1" t="s">
        <v>81</v>
      </c>
      <c r="C354" s="1" t="s">
        <v>1959</v>
      </c>
      <c r="D354" s="1" t="s">
        <v>1959</v>
      </c>
      <c r="E354" s="1" t="s">
        <v>1960</v>
      </c>
      <c r="F354" s="1" t="s">
        <v>64</v>
      </c>
      <c r="G354" s="1">
        <v>379.0</v>
      </c>
      <c r="H354" s="1" t="s">
        <v>50</v>
      </c>
      <c r="I354" s="1">
        <v>130.0</v>
      </c>
      <c r="J354" s="1">
        <v>80.0</v>
      </c>
      <c r="K354" s="1">
        <v>80.0</v>
      </c>
      <c r="L354" s="1">
        <v>50.0</v>
      </c>
      <c r="M354" s="1">
        <v>50.0</v>
      </c>
      <c r="N354" s="1" t="s">
        <v>51</v>
      </c>
      <c r="O354" s="1">
        <v>80.0</v>
      </c>
      <c r="P354" s="1">
        <v>50.0</v>
      </c>
      <c r="Q354" s="1">
        <v>50.0</v>
      </c>
      <c r="R354" s="1">
        <v>30.0</v>
      </c>
      <c r="S354" s="1">
        <v>30.0</v>
      </c>
      <c r="T354" s="1" t="s">
        <v>52</v>
      </c>
      <c r="U354" s="1">
        <v>70.0</v>
      </c>
      <c r="V354" s="1">
        <v>35.0</v>
      </c>
      <c r="W354" s="1">
        <v>35.0</v>
      </c>
      <c r="X354" s="1">
        <v>35.0</v>
      </c>
      <c r="Y354" s="1">
        <v>35.0</v>
      </c>
      <c r="Z354" s="1" t="s">
        <v>53</v>
      </c>
      <c r="AA354" s="1">
        <v>40.0</v>
      </c>
      <c r="AB354" s="1">
        <v>27.0</v>
      </c>
      <c r="AC354" s="1">
        <v>27.0</v>
      </c>
      <c r="AD354" s="1">
        <v>13.0</v>
      </c>
      <c r="AE354" s="1">
        <v>13.0</v>
      </c>
      <c r="AF354" s="1" t="s">
        <v>54</v>
      </c>
      <c r="AG354" s="1">
        <v>59.0</v>
      </c>
      <c r="AH354" s="1">
        <v>19.0</v>
      </c>
      <c r="AI354" s="1">
        <v>19.0</v>
      </c>
      <c r="AJ354" s="1">
        <v>40.0</v>
      </c>
      <c r="AK354" s="1">
        <v>40.0</v>
      </c>
      <c r="AL354" s="1">
        <v>379.0</v>
      </c>
      <c r="AM354" s="1" t="s">
        <v>55</v>
      </c>
      <c r="AN354" s="1" t="s">
        <v>55</v>
      </c>
      <c r="AO354" s="1" t="s">
        <v>55</v>
      </c>
      <c r="AP354" s="1" t="s">
        <v>1961</v>
      </c>
      <c r="AQ354" s="3" t="str">
        <f>HYPERLINK("https://icf.clappia.com/app/GMB253374/submission/VVK56370482/ICF247370-GMB253374-4ja4a77841hm00000000/SIG-20250702_1234181jb8.jpeg", "SIG-20250702_1234181jb8.jpeg")</f>
        <v>SIG-20250702_1234181jb8.jpeg</v>
      </c>
      <c r="AR354" s="1" t="s">
        <v>1962</v>
      </c>
      <c r="AS354" s="3" t="str">
        <f>HYPERLINK("https://icf.clappia.com/app/GMB253374/submission/VVK56370482/ICF247370-GMB253374-1g0dlnli9in3m0000000/SIG-20250702_1234gehle.jpeg", "SIG-20250702_1234gehle.jpeg")</f>
        <v>SIG-20250702_1234gehle.jpeg</v>
      </c>
      <c r="AT354" s="1" t="s">
        <v>1963</v>
      </c>
      <c r="AU354" s="3" t="str">
        <f>HYPERLINK("https://icf.clappia.com/app/GMB253374/submission/VVK56370482/ICF247370-GMB253374-3690ec7473gi00000000/SIG-20250702_1247pi2a5.jpeg", "SIG-20250702_1247pi2a5.jpeg")</f>
        <v>SIG-20250702_1247pi2a5.jpeg</v>
      </c>
      <c r="AV354" s="3" t="str">
        <f>HYPERLINK("https://www.google.com/maps/place/7.9571137%2C-11.7397462", "7.9571137,-11.7397462")</f>
        <v>7.9571137,-11.7397462</v>
      </c>
    </row>
    <row r="355" ht="15.75" customHeight="1">
      <c r="A355" s="1" t="s">
        <v>1964</v>
      </c>
      <c r="B355" s="1" t="s">
        <v>129</v>
      </c>
      <c r="C355" s="1" t="s">
        <v>1965</v>
      </c>
      <c r="D355" s="1" t="s">
        <v>1965</v>
      </c>
      <c r="E355" s="1" t="s">
        <v>1966</v>
      </c>
      <c r="F355" s="1" t="s">
        <v>64</v>
      </c>
      <c r="G355" s="1">
        <v>88.0</v>
      </c>
      <c r="H355" s="1" t="s">
        <v>50</v>
      </c>
      <c r="I355" s="1">
        <v>44.0</v>
      </c>
      <c r="J355" s="1">
        <v>24.0</v>
      </c>
      <c r="K355" s="1">
        <v>16.0</v>
      </c>
      <c r="L355" s="1">
        <v>20.0</v>
      </c>
      <c r="M355" s="1">
        <v>10.0</v>
      </c>
      <c r="N355" s="1" t="s">
        <v>51</v>
      </c>
      <c r="O355" s="1">
        <v>20.0</v>
      </c>
      <c r="P355" s="1">
        <v>11.0</v>
      </c>
      <c r="Q355" s="1">
        <v>7.0</v>
      </c>
      <c r="R355" s="1">
        <v>9.0</v>
      </c>
      <c r="S355" s="1">
        <v>6.0</v>
      </c>
      <c r="T355" s="1" t="s">
        <v>52</v>
      </c>
      <c r="U355" s="1">
        <v>18.0</v>
      </c>
      <c r="V355" s="1">
        <v>10.0</v>
      </c>
      <c r="W355" s="1">
        <v>6.0</v>
      </c>
      <c r="X355" s="1">
        <v>8.0</v>
      </c>
      <c r="Y355" s="1">
        <v>5.0</v>
      </c>
      <c r="Z355" s="1" t="s">
        <v>53</v>
      </c>
      <c r="AA355" s="1">
        <v>10.0</v>
      </c>
      <c r="AB355" s="1">
        <v>6.0</v>
      </c>
      <c r="AC355" s="1">
        <v>5.0</v>
      </c>
      <c r="AD355" s="1">
        <v>4.0</v>
      </c>
      <c r="AE355" s="1">
        <v>2.0</v>
      </c>
      <c r="AF355" s="1" t="s">
        <v>54</v>
      </c>
      <c r="AG355" s="1" t="s">
        <v>55</v>
      </c>
      <c r="AH355" s="1" t="s">
        <v>55</v>
      </c>
      <c r="AI355" s="1" t="s">
        <v>55</v>
      </c>
      <c r="AJ355" s="1" t="s">
        <v>55</v>
      </c>
      <c r="AK355" s="1" t="s">
        <v>55</v>
      </c>
      <c r="AL355" s="1">
        <v>57.0</v>
      </c>
      <c r="AM355" s="1" t="s">
        <v>55</v>
      </c>
      <c r="AN355" s="1">
        <v>31.0</v>
      </c>
      <c r="AO355" s="1">
        <v>31.0</v>
      </c>
      <c r="AP355" s="1" t="s">
        <v>1967</v>
      </c>
      <c r="AQ355" s="3" t="str">
        <f>HYPERLINK("https://icf.clappia.com/app/GMB253374/submission/CKT69918223/ICF247370-GMB253374-g8jkc7ad7g080000000/SIG-20250702_124511n9cn.jpeg", "SIG-20250702_124511n9cn.jpeg")</f>
        <v>SIG-20250702_124511n9cn.jpeg</v>
      </c>
      <c r="AR355" s="1" t="s">
        <v>1968</v>
      </c>
      <c r="AS355" s="3" t="str">
        <f>HYPERLINK("https://icf.clappia.com/app/GMB253374/submission/CKT69918223/ICF247370-GMB253374-4coh35470dp600000000/SIG-20250702_1246hidlb.jpeg", "SIG-20250702_1246hidlb.jpeg")</f>
        <v>SIG-20250702_1246hidlb.jpeg</v>
      </c>
      <c r="AT355" s="1" t="s">
        <v>1969</v>
      </c>
      <c r="AU355" s="3" t="str">
        <f>HYPERLINK("https://icf.clappia.com/app/GMB253374/submission/CKT69918223/ICF247370-GMB253374-2ecfghj226ho00000000/SIG-20250702_1247fkkjd.jpeg", "SIG-20250702_1247fkkjd.jpeg")</f>
        <v>SIG-20250702_1247fkkjd.jpeg</v>
      </c>
      <c r="AV355" s="3" t="str">
        <f>HYPERLINK("https://www.google.com/maps/place/8.1214183%2C-11.757605", "8.1214183,-11.757605")</f>
        <v>8.1214183,-11.757605</v>
      </c>
    </row>
    <row r="356" ht="15.75" customHeight="1">
      <c r="A356" s="1" t="s">
        <v>1970</v>
      </c>
      <c r="B356" s="1" t="s">
        <v>161</v>
      </c>
      <c r="C356" s="1" t="s">
        <v>1965</v>
      </c>
      <c r="D356" s="1" t="s">
        <v>1965</v>
      </c>
      <c r="E356" s="1" t="s">
        <v>1971</v>
      </c>
      <c r="F356" s="1" t="s">
        <v>49</v>
      </c>
      <c r="G356" s="1">
        <v>127.0</v>
      </c>
      <c r="H356" s="1" t="s">
        <v>50</v>
      </c>
      <c r="I356" s="1">
        <v>38.0</v>
      </c>
      <c r="J356" s="1">
        <v>20.0</v>
      </c>
      <c r="K356" s="1">
        <v>20.0</v>
      </c>
      <c r="L356" s="1">
        <v>18.0</v>
      </c>
      <c r="M356" s="1">
        <v>18.0</v>
      </c>
      <c r="N356" s="1" t="s">
        <v>51</v>
      </c>
      <c r="O356" s="1">
        <v>36.0</v>
      </c>
      <c r="P356" s="1">
        <v>14.0</v>
      </c>
      <c r="Q356" s="1">
        <v>12.0</v>
      </c>
      <c r="R356" s="1">
        <v>22.0</v>
      </c>
      <c r="S356" s="1">
        <v>19.0</v>
      </c>
      <c r="T356" s="1" t="s">
        <v>52</v>
      </c>
      <c r="U356" s="1">
        <v>14.0</v>
      </c>
      <c r="V356" s="1">
        <v>5.0</v>
      </c>
      <c r="W356" s="1">
        <v>5.0</v>
      </c>
      <c r="X356" s="1">
        <v>9.0</v>
      </c>
      <c r="Y356" s="1">
        <v>9.0</v>
      </c>
      <c r="Z356" s="1" t="s">
        <v>53</v>
      </c>
      <c r="AA356" s="1">
        <v>14.0</v>
      </c>
      <c r="AB356" s="1">
        <v>9.0</v>
      </c>
      <c r="AC356" s="1">
        <v>9.0</v>
      </c>
      <c r="AD356" s="1">
        <v>5.0</v>
      </c>
      <c r="AE356" s="1">
        <v>5.0</v>
      </c>
      <c r="AF356" s="1" t="s">
        <v>54</v>
      </c>
      <c r="AG356" s="1">
        <v>18.0</v>
      </c>
      <c r="AH356" s="1">
        <v>10.0</v>
      </c>
      <c r="AI356" s="1">
        <v>10.0</v>
      </c>
      <c r="AJ356" s="1">
        <v>8.0</v>
      </c>
      <c r="AK356" s="1">
        <v>8.0</v>
      </c>
      <c r="AL356" s="1">
        <v>115.0</v>
      </c>
      <c r="AM356" s="1" t="s">
        <v>55</v>
      </c>
      <c r="AN356" s="1">
        <v>12.0</v>
      </c>
      <c r="AO356" s="1" t="s">
        <v>55</v>
      </c>
      <c r="AP356" s="1" t="s">
        <v>962</v>
      </c>
      <c r="AQ356" s="3" t="str">
        <f>HYPERLINK("https://icf.clappia.com/app/GMB253374/submission/WJE59997358/ICF247370-GMB253374-5o3o8g1e751a00000000/SIG-20250702_1212jg12p.jpeg", "SIG-20250702_1212jg12p.jpeg")</f>
        <v>SIG-20250702_1212jg12p.jpeg</v>
      </c>
      <c r="AR356" s="1" t="s">
        <v>963</v>
      </c>
      <c r="AS356" s="3" t="str">
        <f>HYPERLINK("https://icf.clappia.com/app/GMB253374/submission/WJE59997358/ICF247370-GMB253374-30ohok3jemnk00000000/SIG-20250702_121313b27n.jpeg", "SIG-20250702_121313b27n.jpeg")</f>
        <v>SIG-20250702_121313b27n.jpeg</v>
      </c>
      <c r="AT356" s="1" t="s">
        <v>964</v>
      </c>
      <c r="AU356" s="3" t="str">
        <f>HYPERLINK("https://icf.clappia.com/app/GMB253374/submission/WJE59997358/ICF247370-GMB253374-47599ee4cae800000000/SIG-20250702_12143pomm.jpeg", "SIG-20250702_12143pomm.jpeg")</f>
        <v>SIG-20250702_12143pomm.jpeg</v>
      </c>
      <c r="AV356" s="3" t="str">
        <f>HYPERLINK("https://www.google.com/maps/place/7.9808267%2C-11.7298917", "7.9808267,-11.7298917")</f>
        <v>7.9808267,-11.7298917</v>
      </c>
    </row>
    <row r="357" ht="15.75" customHeight="1">
      <c r="A357" s="1" t="s">
        <v>1972</v>
      </c>
      <c r="B357" s="1" t="s">
        <v>60</v>
      </c>
      <c r="C357" s="1" t="s">
        <v>1858</v>
      </c>
      <c r="D357" s="1" t="s">
        <v>1858</v>
      </c>
      <c r="E357" s="1" t="s">
        <v>1973</v>
      </c>
      <c r="F357" s="1" t="s">
        <v>64</v>
      </c>
      <c r="G357" s="1">
        <v>203.0</v>
      </c>
      <c r="H357" s="1" t="s">
        <v>50</v>
      </c>
      <c r="I357" s="1">
        <v>63.0</v>
      </c>
      <c r="J357" s="1">
        <v>35.0</v>
      </c>
      <c r="K357" s="1">
        <v>34.0</v>
      </c>
      <c r="L357" s="1">
        <v>28.0</v>
      </c>
      <c r="M357" s="1">
        <v>28.0</v>
      </c>
      <c r="N357" s="1" t="s">
        <v>51</v>
      </c>
      <c r="O357" s="1">
        <v>56.0</v>
      </c>
      <c r="P357" s="1">
        <v>24.0</v>
      </c>
      <c r="Q357" s="1">
        <v>13.0</v>
      </c>
      <c r="R357" s="1">
        <v>32.0</v>
      </c>
      <c r="S357" s="1">
        <v>20.0</v>
      </c>
      <c r="T357" s="1" t="s">
        <v>52</v>
      </c>
      <c r="U357" s="1">
        <v>40.0</v>
      </c>
      <c r="V357" s="1">
        <v>23.0</v>
      </c>
      <c r="W357" s="1">
        <v>16.0</v>
      </c>
      <c r="X357" s="1">
        <v>16.0</v>
      </c>
      <c r="Y357" s="1">
        <v>16.0</v>
      </c>
      <c r="Z357" s="1" t="s">
        <v>53</v>
      </c>
      <c r="AA357" s="1">
        <v>39.0</v>
      </c>
      <c r="AB357" s="1">
        <v>15.0</v>
      </c>
      <c r="AC357" s="1">
        <v>12.0</v>
      </c>
      <c r="AD357" s="1">
        <v>24.0</v>
      </c>
      <c r="AE357" s="1">
        <v>23.0</v>
      </c>
      <c r="AF357" s="1" t="s">
        <v>54</v>
      </c>
      <c r="AG357" s="1">
        <v>43.0</v>
      </c>
      <c r="AH357" s="1">
        <v>20.0</v>
      </c>
      <c r="AI357" s="1">
        <v>20.0</v>
      </c>
      <c r="AJ357" s="1">
        <v>22.0</v>
      </c>
      <c r="AK357" s="1">
        <v>21.0</v>
      </c>
      <c r="AL357" s="1">
        <v>203.0</v>
      </c>
      <c r="AM357" s="1" t="s">
        <v>55</v>
      </c>
      <c r="AN357" s="1" t="s">
        <v>55</v>
      </c>
      <c r="AO357" s="1" t="s">
        <v>55</v>
      </c>
      <c r="AP357" s="1" t="s">
        <v>1974</v>
      </c>
      <c r="AQ357" s="3" t="str">
        <f>HYPERLINK("https://icf.clappia.com/app/GMB253374/submission/JSR17138998/ICF247370-GMB253374-12mfnbl8j1imk0000000/SIG-20250702_124394m0d.jpeg", "SIG-20250702_124394m0d.jpeg")</f>
        <v>SIG-20250702_124394m0d.jpeg</v>
      </c>
      <c r="AR357" s="1" t="s">
        <v>1975</v>
      </c>
      <c r="AS357" s="3" t="str">
        <f>HYPERLINK("https://icf.clappia.com/app/GMB253374/submission/JSR17138998/ICF247370-GMB253374-5h6b9lgopf8400000000/SIG-20250702_12428f8fp.jpeg", "SIG-20250702_12428f8fp.jpeg")</f>
        <v>SIG-20250702_12428f8fp.jpeg</v>
      </c>
      <c r="AT357" s="1" t="s">
        <v>1976</v>
      </c>
      <c r="AU357" s="3" t="str">
        <f>HYPERLINK("https://icf.clappia.com/app/GMB253374/submission/JSR17138998/ICF247370-GMB253374-2na33afng3gc00000000/SIG-20250702_124457go0.jpeg", "SIG-20250702_124457go0.jpeg")</f>
        <v>SIG-20250702_124457go0.jpeg</v>
      </c>
      <c r="AV357" s="3" t="str">
        <f>HYPERLINK("https://www.google.com/maps/place/8.9008302%2C-12.0582041", "8.9008302,-12.0582041")</f>
        <v>8.9008302,-12.0582041</v>
      </c>
    </row>
    <row r="358" ht="15.75" customHeight="1">
      <c r="A358" s="1" t="s">
        <v>1977</v>
      </c>
      <c r="B358" s="1" t="s">
        <v>81</v>
      </c>
      <c r="C358" s="1" t="s">
        <v>1858</v>
      </c>
      <c r="D358" s="1" t="s">
        <v>1858</v>
      </c>
      <c r="E358" s="1" t="s">
        <v>1978</v>
      </c>
      <c r="F358" s="1" t="s">
        <v>64</v>
      </c>
      <c r="G358" s="1">
        <v>200.0</v>
      </c>
      <c r="H358" s="1" t="s">
        <v>50</v>
      </c>
      <c r="I358" s="1">
        <v>39.0</v>
      </c>
      <c r="J358" s="1">
        <v>25.0</v>
      </c>
      <c r="K358" s="1">
        <v>10.0</v>
      </c>
      <c r="L358" s="1">
        <v>14.0</v>
      </c>
      <c r="M358" s="1">
        <v>3.0</v>
      </c>
      <c r="N358" s="1" t="s">
        <v>51</v>
      </c>
      <c r="O358" s="1">
        <v>25.0</v>
      </c>
      <c r="P358" s="1">
        <v>12.0</v>
      </c>
      <c r="Q358" s="1">
        <v>3.0</v>
      </c>
      <c r="R358" s="1">
        <v>13.0</v>
      </c>
      <c r="S358" s="1">
        <v>3.0</v>
      </c>
      <c r="T358" s="1" t="s">
        <v>52</v>
      </c>
      <c r="U358" s="1">
        <v>26.0</v>
      </c>
      <c r="V358" s="1">
        <v>18.0</v>
      </c>
      <c r="W358" s="1">
        <v>13.0</v>
      </c>
      <c r="X358" s="1">
        <v>8.0</v>
      </c>
      <c r="Y358" s="1">
        <v>2.0</v>
      </c>
      <c r="Z358" s="1" t="s">
        <v>53</v>
      </c>
      <c r="AA358" s="1">
        <v>63.0</v>
      </c>
      <c r="AB358" s="1">
        <v>27.0</v>
      </c>
      <c r="AC358" s="1">
        <v>8.0</v>
      </c>
      <c r="AD358" s="1">
        <v>36.0</v>
      </c>
      <c r="AE358" s="1">
        <v>16.0</v>
      </c>
      <c r="AF358" s="1" t="s">
        <v>54</v>
      </c>
      <c r="AG358" s="1">
        <v>32.0</v>
      </c>
      <c r="AH358" s="1">
        <v>19.0</v>
      </c>
      <c r="AI358" s="1">
        <v>14.0</v>
      </c>
      <c r="AJ358" s="1">
        <v>13.0</v>
      </c>
      <c r="AK358" s="1">
        <v>10.0</v>
      </c>
      <c r="AL358" s="1">
        <v>82.0</v>
      </c>
      <c r="AM358" s="1" t="s">
        <v>55</v>
      </c>
      <c r="AN358" s="1">
        <v>118.0</v>
      </c>
      <c r="AO358" s="1">
        <v>118.0</v>
      </c>
      <c r="AP358" s="1" t="s">
        <v>125</v>
      </c>
      <c r="AQ358" s="3" t="str">
        <f>HYPERLINK("https://icf.clappia.com/app/GMB253374/submission/BHF37229115/ICF247370-GMB253374-nfdhjpc4nhig0000000/SIG-20250702_1242ged20.jpeg", "SIG-20250702_1242ged20.jpeg")</f>
        <v>SIG-20250702_1242ged20.jpeg</v>
      </c>
      <c r="AR358" s="1" t="s">
        <v>126</v>
      </c>
      <c r="AS358" s="3" t="str">
        <f>HYPERLINK("https://icf.clappia.com/app/GMB253374/submission/BHF37229115/ICF247370-GMB253374-150odkpjabo3a0000000/SIG-20250702_1243mc8jc.jpeg", "SIG-20250702_1243mc8jc.jpeg")</f>
        <v>SIG-20250702_1243mc8jc.jpeg</v>
      </c>
      <c r="AT358" s="1" t="s">
        <v>127</v>
      </c>
      <c r="AU358" s="3" t="str">
        <f>HYPERLINK("https://icf.clappia.com/app/GMB253374/submission/BHF37229115/ICF247370-GMB253374-667ae43d008000000000/SIG-20250702_124315m625.jpeg", "SIG-20250702_124315m625.jpeg")</f>
        <v>SIG-20250702_124315m625.jpeg</v>
      </c>
      <c r="AV358" s="3" t="str">
        <f>HYPERLINK("https://www.google.com/maps/place/7.9726883%2C-11.731735", "7.9726883,-11.731735")</f>
        <v>7.9726883,-11.731735</v>
      </c>
    </row>
    <row r="359" ht="15.75" customHeight="1">
      <c r="A359" s="1" t="s">
        <v>1979</v>
      </c>
      <c r="B359" s="1" t="s">
        <v>81</v>
      </c>
      <c r="C359" s="1" t="s">
        <v>1980</v>
      </c>
      <c r="D359" s="1" t="s">
        <v>1980</v>
      </c>
      <c r="E359" s="1" t="s">
        <v>1981</v>
      </c>
      <c r="F359" s="1" t="s">
        <v>64</v>
      </c>
      <c r="G359" s="1">
        <v>186.0</v>
      </c>
      <c r="H359" s="1" t="s">
        <v>50</v>
      </c>
      <c r="I359" s="1">
        <v>34.0</v>
      </c>
      <c r="J359" s="1">
        <v>15.0</v>
      </c>
      <c r="K359" s="1">
        <v>15.0</v>
      </c>
      <c r="L359" s="1">
        <v>19.0</v>
      </c>
      <c r="M359" s="1">
        <v>19.0</v>
      </c>
      <c r="N359" s="1" t="s">
        <v>51</v>
      </c>
      <c r="O359" s="1">
        <v>18.0</v>
      </c>
      <c r="P359" s="1">
        <v>6.0</v>
      </c>
      <c r="Q359" s="1">
        <v>6.0</v>
      </c>
      <c r="R359" s="1">
        <v>12.0</v>
      </c>
      <c r="S359" s="1">
        <v>12.0</v>
      </c>
      <c r="T359" s="1" t="s">
        <v>52</v>
      </c>
      <c r="U359" s="1">
        <v>37.0</v>
      </c>
      <c r="V359" s="1">
        <v>18.0</v>
      </c>
      <c r="W359" s="1">
        <v>18.0</v>
      </c>
      <c r="X359" s="1">
        <v>19.0</v>
      </c>
      <c r="Y359" s="1">
        <v>19.0</v>
      </c>
      <c r="Z359" s="1" t="s">
        <v>53</v>
      </c>
      <c r="AA359" s="1">
        <v>47.0</v>
      </c>
      <c r="AB359" s="1">
        <v>21.0</v>
      </c>
      <c r="AC359" s="1">
        <v>21.0</v>
      </c>
      <c r="AD359" s="1">
        <v>26.0</v>
      </c>
      <c r="AE359" s="1">
        <v>26.0</v>
      </c>
      <c r="AF359" s="1" t="s">
        <v>54</v>
      </c>
      <c r="AG359" s="1">
        <v>50.0</v>
      </c>
      <c r="AH359" s="1">
        <v>26.0</v>
      </c>
      <c r="AI359" s="1">
        <v>26.0</v>
      </c>
      <c r="AJ359" s="1">
        <v>24.0</v>
      </c>
      <c r="AK359" s="1">
        <v>24.0</v>
      </c>
      <c r="AL359" s="1">
        <v>186.0</v>
      </c>
      <c r="AM359" s="1" t="s">
        <v>55</v>
      </c>
      <c r="AN359" s="1" t="s">
        <v>55</v>
      </c>
      <c r="AO359" s="1" t="s">
        <v>55</v>
      </c>
      <c r="AP359" s="1" t="s">
        <v>1982</v>
      </c>
      <c r="AQ359" s="3" t="str">
        <f>HYPERLINK("https://icf.clappia.com/app/GMB253374/submission/XPP48776575/ICF247370-GMB253374-5d833d88hp2o00000000/SIG-20250702_1218jbb7c.jpeg", "SIG-20250702_1218jbb7c.jpeg")</f>
        <v>SIG-20250702_1218jbb7c.jpeg</v>
      </c>
      <c r="AR359" s="1" t="s">
        <v>1983</v>
      </c>
      <c r="AS359" s="3" t="str">
        <f>HYPERLINK("https://icf.clappia.com/app/GMB253374/submission/XPP48776575/ICF247370-GMB253374-5ao6ijjo1h9a00000000/SIG-20250702_122014ij3f.jpeg", "SIG-20250702_122014ij3f.jpeg")</f>
        <v>SIG-20250702_122014ij3f.jpeg</v>
      </c>
      <c r="AT359" s="1" t="s">
        <v>1984</v>
      </c>
      <c r="AU359" s="3" t="str">
        <f>HYPERLINK("https://icf.clappia.com/app/GMB253374/submission/XPP48776575/ICF247370-GMB253374-60agehg728c000000000/SIG-20250702_122219oj01.jpeg", "SIG-20250702_122219oj01.jpeg")</f>
        <v>SIG-20250702_122219oj01.jpeg</v>
      </c>
      <c r="AV359" s="3" t="str">
        <f>HYPERLINK("https://www.google.com/maps/place/7.9359433%2C-11.7072133", "7.9359433,-11.7072133")</f>
        <v>7.9359433,-11.7072133</v>
      </c>
    </row>
    <row r="360" ht="15.75" customHeight="1">
      <c r="A360" s="1" t="s">
        <v>1985</v>
      </c>
      <c r="B360" s="1" t="s">
        <v>302</v>
      </c>
      <c r="C360" s="1" t="s">
        <v>1986</v>
      </c>
      <c r="D360" s="1" t="s">
        <v>1987</v>
      </c>
      <c r="E360" s="1" t="s">
        <v>1988</v>
      </c>
      <c r="F360" s="1" t="s">
        <v>64</v>
      </c>
      <c r="G360" s="1">
        <v>400.0</v>
      </c>
      <c r="H360" s="1" t="s">
        <v>50</v>
      </c>
      <c r="I360" s="1">
        <v>96.0</v>
      </c>
      <c r="J360" s="1">
        <v>40.0</v>
      </c>
      <c r="K360" s="1">
        <v>40.0</v>
      </c>
      <c r="L360" s="1">
        <v>56.0</v>
      </c>
      <c r="M360" s="1">
        <v>56.0</v>
      </c>
      <c r="N360" s="1" t="s">
        <v>51</v>
      </c>
      <c r="O360" s="1">
        <v>69.0</v>
      </c>
      <c r="P360" s="1">
        <v>29.0</v>
      </c>
      <c r="Q360" s="1">
        <v>29.0</v>
      </c>
      <c r="R360" s="1">
        <v>40.0</v>
      </c>
      <c r="S360" s="1">
        <v>40.0</v>
      </c>
      <c r="T360" s="1" t="s">
        <v>52</v>
      </c>
      <c r="U360" s="1">
        <v>65.0</v>
      </c>
      <c r="V360" s="1">
        <v>27.0</v>
      </c>
      <c r="W360" s="1">
        <v>27.0</v>
      </c>
      <c r="X360" s="1">
        <v>38.0</v>
      </c>
      <c r="Y360" s="1">
        <v>38.0</v>
      </c>
      <c r="Z360" s="1" t="s">
        <v>53</v>
      </c>
      <c r="AA360" s="1">
        <v>45.0</v>
      </c>
      <c r="AB360" s="1">
        <v>28.0</v>
      </c>
      <c r="AC360" s="1">
        <v>28.0</v>
      </c>
      <c r="AD360" s="1">
        <v>17.0</v>
      </c>
      <c r="AE360" s="1">
        <v>17.0</v>
      </c>
      <c r="AF360" s="1" t="s">
        <v>54</v>
      </c>
      <c r="AG360" s="1">
        <v>38.0</v>
      </c>
      <c r="AH360" s="1">
        <v>22.0</v>
      </c>
      <c r="AI360" s="1">
        <v>22.0</v>
      </c>
      <c r="AJ360" s="1">
        <v>16.0</v>
      </c>
      <c r="AK360" s="1">
        <v>16.0</v>
      </c>
      <c r="AL360" s="1">
        <v>313.0</v>
      </c>
      <c r="AM360" s="1" t="s">
        <v>55</v>
      </c>
      <c r="AN360" s="1">
        <v>87.0</v>
      </c>
      <c r="AO360" s="1" t="s">
        <v>55</v>
      </c>
      <c r="AP360" s="1" t="s">
        <v>1989</v>
      </c>
      <c r="AQ360" s="3" t="str">
        <f>HYPERLINK("https://icf.clappia.com/app/GMB253374/submission/VAT49333102/ICF247370-GMB253374-486lk4c8o2ig00000000/SIG-20250630_122011kfhg.jpeg", "SIG-20250630_122011kfhg.jpeg")</f>
        <v>SIG-20250630_122011kfhg.jpeg</v>
      </c>
      <c r="AR360" s="1" t="s">
        <v>1990</v>
      </c>
      <c r="AS360" s="3" t="str">
        <f>HYPERLINK("https://icf.clappia.com/app/GMB253374/submission/VAT49333102/ICF247370-GMB253374-28fb5hjgmj9cc0000000/SIG-20250630_1221k5b8.jpeg", "SIG-20250630_1221k5b8.jpeg")</f>
        <v>SIG-20250630_1221k5b8.jpeg</v>
      </c>
      <c r="AT360" s="1" t="s">
        <v>1991</v>
      </c>
      <c r="AU360" s="3" t="str">
        <f>HYPERLINK("https://icf.clappia.com/app/GMB253374/submission/VAT49333102/ICF247370-GMB253374-695oo2peo80200000000/SIG-20250630_1224cc907.jpeg", "SIG-20250630_1224cc907.jpeg")</f>
        <v>SIG-20250630_1224cc907.jpeg</v>
      </c>
      <c r="AV360" s="3" t="str">
        <f>HYPERLINK("https://www.google.com/maps/place/8.7486467%2C-12.048565", "8.7486467,-12.048565")</f>
        <v>8.7486467,-12.048565</v>
      </c>
    </row>
    <row r="361" ht="15.75" customHeight="1">
      <c r="A361" s="1" t="s">
        <v>1992</v>
      </c>
      <c r="B361" s="1" t="s">
        <v>167</v>
      </c>
      <c r="C361" s="1" t="s">
        <v>1987</v>
      </c>
      <c r="D361" s="1" t="s">
        <v>1987</v>
      </c>
      <c r="E361" s="1" t="s">
        <v>1993</v>
      </c>
      <c r="F361" s="1" t="s">
        <v>64</v>
      </c>
      <c r="G361" s="1">
        <v>234.0</v>
      </c>
      <c r="H361" s="1" t="s">
        <v>50</v>
      </c>
      <c r="I361" s="1">
        <v>63.0</v>
      </c>
      <c r="J361" s="1">
        <v>28.0</v>
      </c>
      <c r="K361" s="1">
        <v>28.0</v>
      </c>
      <c r="L361" s="1">
        <v>35.0</v>
      </c>
      <c r="M361" s="1">
        <v>35.0</v>
      </c>
      <c r="N361" s="1" t="s">
        <v>51</v>
      </c>
      <c r="O361" s="1">
        <v>45.0</v>
      </c>
      <c r="P361" s="1">
        <v>23.0</v>
      </c>
      <c r="Q361" s="1">
        <v>19.0</v>
      </c>
      <c r="R361" s="1">
        <v>22.0</v>
      </c>
      <c r="S361" s="1">
        <v>19.0</v>
      </c>
      <c r="T361" s="1" t="s">
        <v>52</v>
      </c>
      <c r="U361" s="1">
        <v>29.0</v>
      </c>
      <c r="V361" s="1">
        <v>12.0</v>
      </c>
      <c r="W361" s="1">
        <v>12.0</v>
      </c>
      <c r="X361" s="1">
        <v>17.0</v>
      </c>
      <c r="Y361" s="1">
        <v>13.0</v>
      </c>
      <c r="Z361" s="1" t="s">
        <v>53</v>
      </c>
      <c r="AA361" s="1">
        <v>20.0</v>
      </c>
      <c r="AB361" s="1">
        <v>6.0</v>
      </c>
      <c r="AC361" s="1">
        <v>6.0</v>
      </c>
      <c r="AD361" s="1">
        <v>14.0</v>
      </c>
      <c r="AE361" s="1">
        <v>14.0</v>
      </c>
      <c r="AF361" s="1" t="s">
        <v>54</v>
      </c>
      <c r="AG361" s="1">
        <v>48.0</v>
      </c>
      <c r="AH361" s="1">
        <v>22.0</v>
      </c>
      <c r="AI361" s="1">
        <v>22.0</v>
      </c>
      <c r="AJ361" s="1">
        <v>26.0</v>
      </c>
      <c r="AK361" s="1">
        <v>26.0</v>
      </c>
      <c r="AL361" s="1">
        <v>194.0</v>
      </c>
      <c r="AM361" s="1" t="s">
        <v>55</v>
      </c>
      <c r="AN361" s="1">
        <v>40.0</v>
      </c>
      <c r="AO361" s="1">
        <v>40.0</v>
      </c>
      <c r="AP361" s="1" t="s">
        <v>1994</v>
      </c>
      <c r="AQ361" s="3" t="str">
        <f>HYPERLINK("https://icf.clappia.com/app/GMB253374/submission/JIT65202652/ICF247370-GMB253374-18cg4681p1j120000000/SIG-20250702_12387akak.jpeg", "SIG-20250702_12387akak.jpeg")</f>
        <v>SIG-20250702_12387akak.jpeg</v>
      </c>
      <c r="AR361" s="1" t="s">
        <v>1995</v>
      </c>
      <c r="AS361" s="3" t="str">
        <f>HYPERLINK("https://icf.clappia.com/app/GMB253374/submission/JIT65202652/ICF247370-GMB253374-1171ifajhml760000000/SIG-20250702_123847ehc.jpeg", "SIG-20250702_123847ehc.jpeg")</f>
        <v>SIG-20250702_123847ehc.jpeg</v>
      </c>
      <c r="AT361" s="1" t="s">
        <v>1996</v>
      </c>
      <c r="AU361" s="3" t="str">
        <f>HYPERLINK("https://icf.clappia.com/app/GMB253374/submission/JIT65202652/ICF247370-GMB253374-5ahmm15hf2o800000000/SIG-20250702_12381b797.jpeg", "SIG-20250702_12381b797.jpeg")</f>
        <v>SIG-20250702_12381b797.jpeg</v>
      </c>
      <c r="AV361" s="3" t="str">
        <f>HYPERLINK("https://www.google.com/maps/place/7.8703615%2C-11.7084306", "7.8703615,-11.7084306")</f>
        <v>7.8703615,-11.7084306</v>
      </c>
    </row>
    <row r="362" ht="15.75" customHeight="1">
      <c r="A362" s="1" t="s">
        <v>1997</v>
      </c>
      <c r="B362" s="1" t="s">
        <v>155</v>
      </c>
      <c r="C362" s="1" t="s">
        <v>1986</v>
      </c>
      <c r="D362" s="1" t="s">
        <v>1986</v>
      </c>
      <c r="E362" s="1" t="s">
        <v>1998</v>
      </c>
      <c r="F362" s="1" t="s">
        <v>64</v>
      </c>
      <c r="G362" s="1">
        <v>268.0</v>
      </c>
      <c r="H362" s="1" t="s">
        <v>50</v>
      </c>
      <c r="I362" s="1">
        <v>33.0</v>
      </c>
      <c r="J362" s="1">
        <v>11.0</v>
      </c>
      <c r="K362" s="1">
        <v>9.0</v>
      </c>
      <c r="L362" s="1">
        <v>22.0</v>
      </c>
      <c r="M362" s="1">
        <v>21.0</v>
      </c>
      <c r="N362" s="1" t="s">
        <v>51</v>
      </c>
      <c r="O362" s="1">
        <v>32.0</v>
      </c>
      <c r="P362" s="1">
        <v>15.0</v>
      </c>
      <c r="Q362" s="1">
        <v>13.0</v>
      </c>
      <c r="R362" s="1">
        <v>17.0</v>
      </c>
      <c r="S362" s="1">
        <v>14.0</v>
      </c>
      <c r="T362" s="1" t="s">
        <v>52</v>
      </c>
      <c r="U362" s="1">
        <v>19.0</v>
      </c>
      <c r="V362" s="1">
        <v>10.0</v>
      </c>
      <c r="W362" s="1">
        <v>8.0</v>
      </c>
      <c r="X362" s="1">
        <v>9.0</v>
      </c>
      <c r="Y362" s="1">
        <v>7.0</v>
      </c>
      <c r="Z362" s="1" t="s">
        <v>53</v>
      </c>
      <c r="AA362" s="1">
        <v>24.0</v>
      </c>
      <c r="AB362" s="1">
        <v>14.0</v>
      </c>
      <c r="AC362" s="1">
        <v>9.0</v>
      </c>
      <c r="AD362" s="1">
        <v>10.0</v>
      </c>
      <c r="AE362" s="1">
        <v>7.0</v>
      </c>
      <c r="AF362" s="1" t="s">
        <v>54</v>
      </c>
      <c r="AG362" s="1">
        <v>23.0</v>
      </c>
      <c r="AH362" s="1">
        <v>11.0</v>
      </c>
      <c r="AI362" s="1">
        <v>7.0</v>
      </c>
      <c r="AJ362" s="1">
        <v>12.0</v>
      </c>
      <c r="AK362" s="1">
        <v>11.0</v>
      </c>
      <c r="AL362" s="1">
        <v>106.0</v>
      </c>
      <c r="AM362" s="1" t="s">
        <v>55</v>
      </c>
      <c r="AN362" s="1">
        <v>162.0</v>
      </c>
      <c r="AO362" s="1">
        <v>162.0</v>
      </c>
      <c r="AP362" s="1" t="s">
        <v>1999</v>
      </c>
      <c r="AQ362" s="3" t="str">
        <f>HYPERLINK("https://icf.clappia.com/app/GMB253374/submission/OSN73037398/ICF247370-GMB253374-34c02g6m9nn600000000/SIG-20250701_1845l6fn6.jpeg", "SIG-20250701_1845l6fn6.jpeg")</f>
        <v>SIG-20250701_1845l6fn6.jpeg</v>
      </c>
      <c r="AR362" s="1" t="s">
        <v>2000</v>
      </c>
      <c r="AS362" s="3" t="str">
        <f>HYPERLINK("https://icf.clappia.com/app/GMB253374/submission/OSN73037398/ICF247370-GMB253374-7jekm2pepe0m0000000/SIG-20250701_1856m4nca.jpeg", "SIG-20250701_1856m4nca.jpeg")</f>
        <v>SIG-20250701_1856m4nca.jpeg</v>
      </c>
      <c r="AT362" s="1" t="s">
        <v>1548</v>
      </c>
      <c r="AU362" s="3" t="str">
        <f>HYPERLINK("https://icf.clappia.com/app/GMB253374/submission/OSN73037398/ICF247370-GMB253374-1o32122b9of840000000/SIG-20250701_184573c4i.jpeg", "SIG-20250701_184573c4i.jpeg")</f>
        <v>SIG-20250701_184573c4i.jpeg</v>
      </c>
      <c r="AV362" s="3" t="str">
        <f>HYPERLINK("https://www.google.com/maps/place/8.7468783%2C-11.9434383", "8.7468783,-11.9434383")</f>
        <v>8.7468783,-11.9434383</v>
      </c>
    </row>
    <row r="363" ht="15.75" customHeight="1">
      <c r="A363" s="1" t="s">
        <v>2001</v>
      </c>
      <c r="B363" s="1" t="s">
        <v>129</v>
      </c>
      <c r="C363" s="1" t="s">
        <v>2002</v>
      </c>
      <c r="D363" s="1" t="s">
        <v>2003</v>
      </c>
      <c r="E363" s="1" t="s">
        <v>2004</v>
      </c>
      <c r="F363" s="1" t="s">
        <v>64</v>
      </c>
      <c r="G363" s="1">
        <v>94.0</v>
      </c>
      <c r="H363" s="1" t="s">
        <v>50</v>
      </c>
      <c r="I363" s="1">
        <v>37.0</v>
      </c>
      <c r="J363" s="1">
        <v>15.0</v>
      </c>
      <c r="K363" s="1">
        <v>15.0</v>
      </c>
      <c r="L363" s="1">
        <v>22.0</v>
      </c>
      <c r="M363" s="1">
        <v>17.0</v>
      </c>
      <c r="N363" s="1" t="s">
        <v>51</v>
      </c>
      <c r="O363" s="1">
        <v>11.0</v>
      </c>
      <c r="P363" s="1">
        <v>7.0</v>
      </c>
      <c r="Q363" s="1">
        <v>6.0</v>
      </c>
      <c r="R363" s="1">
        <v>4.0</v>
      </c>
      <c r="S363" s="1">
        <v>2.0</v>
      </c>
      <c r="T363" s="1" t="s">
        <v>52</v>
      </c>
      <c r="U363" s="1">
        <v>11.0</v>
      </c>
      <c r="V363" s="1">
        <v>7.0</v>
      </c>
      <c r="W363" s="1">
        <v>4.0</v>
      </c>
      <c r="X363" s="1">
        <v>4.0</v>
      </c>
      <c r="Y363" s="1">
        <v>2.0</v>
      </c>
      <c r="Z363" s="1" t="s">
        <v>53</v>
      </c>
      <c r="AA363" s="1">
        <v>10.0</v>
      </c>
      <c r="AB363" s="1">
        <v>6.0</v>
      </c>
      <c r="AC363" s="1">
        <v>4.0</v>
      </c>
      <c r="AD363" s="1">
        <v>4.0</v>
      </c>
      <c r="AE363" s="1">
        <v>2.0</v>
      </c>
      <c r="AF363" s="1" t="s">
        <v>54</v>
      </c>
      <c r="AG363" s="1">
        <v>11.0</v>
      </c>
      <c r="AH363" s="1">
        <v>5.0</v>
      </c>
      <c r="AI363" s="1">
        <v>2.0</v>
      </c>
      <c r="AJ363" s="1">
        <v>6.0</v>
      </c>
      <c r="AK363" s="1">
        <v>2.0</v>
      </c>
      <c r="AL363" s="1">
        <v>56.0</v>
      </c>
      <c r="AM363" s="1" t="s">
        <v>55</v>
      </c>
      <c r="AN363" s="1">
        <v>38.0</v>
      </c>
      <c r="AO363" s="1">
        <v>38.0</v>
      </c>
      <c r="AP363" s="1" t="s">
        <v>2005</v>
      </c>
      <c r="AQ363" s="3" t="str">
        <f>HYPERLINK("https://icf.clappia.com/app/GMB253374/submission/XXY07759475/ICF247370-GMB253374-2akcbdc35alf60000000/SIG-20250701_11181433nn.jpeg", "SIG-20250701_11181433nn.jpeg")</f>
        <v>SIG-20250701_11181433nn.jpeg</v>
      </c>
      <c r="AR363" s="1" t="s">
        <v>1968</v>
      </c>
      <c r="AS363" s="3" t="str">
        <f>HYPERLINK("https://icf.clappia.com/app/GMB253374/submission/XXY07759475/ICF247370-GMB253374-4b86606ja3kc00000000/SIG-20250701_1120kpagm.jpeg", "SIG-20250701_1120kpagm.jpeg")</f>
        <v>SIG-20250701_1120kpagm.jpeg</v>
      </c>
      <c r="AT363" s="1" t="s">
        <v>2006</v>
      </c>
      <c r="AU363" s="3" t="str">
        <f>HYPERLINK("https://icf.clappia.com/app/GMB253374/submission/XXY07759475/ICF247370-GMB253374-4oggl4oc0o0e00000000/SIG-20250701_1119mb63n.jpeg", "SIG-20250701_1119mb63n.jpeg")</f>
        <v>SIG-20250701_1119mb63n.jpeg</v>
      </c>
      <c r="AV363" s="3" t="str">
        <f>HYPERLINK("https://www.google.com/maps/place/8.1047799%2C-11.7422949", "8.1047799,-11.7422949")</f>
        <v>8.1047799,-11.7422949</v>
      </c>
    </row>
    <row r="364" ht="15.75" customHeight="1">
      <c r="A364" s="1" t="s">
        <v>2007</v>
      </c>
      <c r="B364" s="1" t="s">
        <v>161</v>
      </c>
      <c r="C364" s="1" t="s">
        <v>2003</v>
      </c>
      <c r="D364" s="1" t="s">
        <v>2003</v>
      </c>
      <c r="E364" s="1" t="s">
        <v>2008</v>
      </c>
      <c r="F364" s="1" t="s">
        <v>64</v>
      </c>
      <c r="G364" s="1">
        <v>446.0</v>
      </c>
      <c r="H364" s="1" t="s">
        <v>50</v>
      </c>
      <c r="I364" s="1">
        <v>100.0</v>
      </c>
      <c r="J364" s="1">
        <v>60.0</v>
      </c>
      <c r="K364" s="1">
        <v>60.0</v>
      </c>
      <c r="L364" s="1">
        <v>40.0</v>
      </c>
      <c r="M364" s="1">
        <v>40.0</v>
      </c>
      <c r="N364" s="1" t="s">
        <v>51</v>
      </c>
      <c r="O364" s="1">
        <v>100.0</v>
      </c>
      <c r="P364" s="1">
        <v>49.0</v>
      </c>
      <c r="Q364" s="1">
        <v>49.0</v>
      </c>
      <c r="R364" s="1">
        <v>51.0</v>
      </c>
      <c r="S364" s="1">
        <v>51.0</v>
      </c>
      <c r="T364" s="1" t="s">
        <v>52</v>
      </c>
      <c r="U364" s="1">
        <v>90.0</v>
      </c>
      <c r="V364" s="1">
        <v>38.0</v>
      </c>
      <c r="W364" s="1">
        <v>38.0</v>
      </c>
      <c r="X364" s="1">
        <v>42.0</v>
      </c>
      <c r="Y364" s="1">
        <v>42.0</v>
      </c>
      <c r="Z364" s="1" t="s">
        <v>53</v>
      </c>
      <c r="AA364" s="1">
        <v>70.0</v>
      </c>
      <c r="AB364" s="1">
        <v>40.0</v>
      </c>
      <c r="AC364" s="1">
        <v>40.0</v>
      </c>
      <c r="AD364" s="1">
        <v>30.0</v>
      </c>
      <c r="AE364" s="1">
        <v>30.0</v>
      </c>
      <c r="AF364" s="1" t="s">
        <v>54</v>
      </c>
      <c r="AG364" s="1">
        <v>50.0</v>
      </c>
      <c r="AH364" s="1">
        <v>24.0</v>
      </c>
      <c r="AI364" s="1">
        <v>24.0</v>
      </c>
      <c r="AJ364" s="1">
        <v>26.0</v>
      </c>
      <c r="AK364" s="1">
        <v>26.0</v>
      </c>
      <c r="AL364" s="1">
        <v>400.0</v>
      </c>
      <c r="AM364" s="1" t="s">
        <v>55</v>
      </c>
      <c r="AN364" s="1">
        <v>46.0</v>
      </c>
      <c r="AO364" s="1" t="s">
        <v>55</v>
      </c>
      <c r="AP364" s="1" t="s">
        <v>2009</v>
      </c>
      <c r="AQ364" s="3" t="str">
        <f>HYPERLINK("https://icf.clappia.com/app/GMB253374/submission/UBX88790743/ICF247370-GMB253374-2hjjg6315b5800000000/SIG-20250702_1234k1ob6.jpeg", "SIG-20250702_1234k1ob6.jpeg")</f>
        <v>SIG-20250702_1234k1ob6.jpeg</v>
      </c>
      <c r="AR364" s="1" t="s">
        <v>2010</v>
      </c>
      <c r="AS364" s="3" t="str">
        <f>HYPERLINK("https://icf.clappia.com/app/GMB253374/submission/UBX88790743/ICF247370-GMB253374-44p7pjd6k2ci00000000/SIG-20250702_1234agkd7.jpeg", "SIG-20250702_1234agkd7.jpeg")</f>
        <v>SIG-20250702_1234agkd7.jpeg</v>
      </c>
      <c r="AT364" s="1" t="s">
        <v>2011</v>
      </c>
      <c r="AU364" s="3" t="str">
        <f>HYPERLINK("https://icf.clappia.com/app/GMB253374/submission/UBX88790743/ICF247370-GMB253374-4ono1omnpkik00000000/SIG-20250702_123512nka1.jpeg", "SIG-20250702_123512nka1.jpeg")</f>
        <v>SIG-20250702_123512nka1.jpeg</v>
      </c>
      <c r="AV364" s="3" t="str">
        <f>HYPERLINK("https://www.google.com/maps/place/7.977645%2C-11.59353", "7.977645,-11.59353")</f>
        <v>7.977645,-11.59353</v>
      </c>
    </row>
    <row r="365" ht="15.75" customHeight="1">
      <c r="A365" s="1" t="s">
        <v>2012</v>
      </c>
      <c r="B365" s="1" t="s">
        <v>129</v>
      </c>
      <c r="C365" s="1" t="s">
        <v>2013</v>
      </c>
      <c r="D365" s="1" t="s">
        <v>2014</v>
      </c>
      <c r="E365" s="1" t="s">
        <v>2015</v>
      </c>
      <c r="F365" s="1" t="s">
        <v>64</v>
      </c>
      <c r="G365" s="1">
        <v>240.0</v>
      </c>
      <c r="H365" s="1" t="s">
        <v>50</v>
      </c>
      <c r="I365" s="1">
        <v>90.0</v>
      </c>
      <c r="J365" s="1">
        <v>50.0</v>
      </c>
      <c r="K365" s="1">
        <v>23.0</v>
      </c>
      <c r="L365" s="1">
        <v>40.0</v>
      </c>
      <c r="M365" s="1">
        <v>28.0</v>
      </c>
      <c r="N365" s="1" t="s">
        <v>51</v>
      </c>
      <c r="O365" s="1">
        <v>28.0</v>
      </c>
      <c r="P365" s="1">
        <v>18.0</v>
      </c>
      <c r="Q365" s="1">
        <v>10.0</v>
      </c>
      <c r="R365" s="1">
        <v>10.0</v>
      </c>
      <c r="S365" s="1">
        <v>2.0</v>
      </c>
      <c r="T365" s="1" t="s">
        <v>52</v>
      </c>
      <c r="U365" s="1">
        <v>35.0</v>
      </c>
      <c r="V365" s="1">
        <v>19.0</v>
      </c>
      <c r="W365" s="1">
        <v>10.0</v>
      </c>
      <c r="X365" s="1">
        <v>16.0</v>
      </c>
      <c r="Y365" s="1">
        <v>8.0</v>
      </c>
      <c r="Z365" s="1" t="s">
        <v>53</v>
      </c>
      <c r="AA365" s="1">
        <v>37.0</v>
      </c>
      <c r="AB365" s="1">
        <v>18.0</v>
      </c>
      <c r="AC365" s="1">
        <v>5.0</v>
      </c>
      <c r="AD365" s="1">
        <v>19.0</v>
      </c>
      <c r="AE365" s="1">
        <v>10.0</v>
      </c>
      <c r="AF365" s="1" t="s">
        <v>54</v>
      </c>
      <c r="AG365" s="1">
        <v>37.0</v>
      </c>
      <c r="AH365" s="1">
        <v>19.0</v>
      </c>
      <c r="AI365" s="1">
        <v>9.0</v>
      </c>
      <c r="AJ365" s="1">
        <v>18.0</v>
      </c>
      <c r="AK365" s="1">
        <v>9.0</v>
      </c>
      <c r="AL365" s="1">
        <v>114.0</v>
      </c>
      <c r="AM365" s="1" t="s">
        <v>55</v>
      </c>
      <c r="AN365" s="1">
        <v>126.0</v>
      </c>
      <c r="AO365" s="1">
        <v>126.0</v>
      </c>
      <c r="AP365" s="1" t="s">
        <v>2016</v>
      </c>
      <c r="AQ365" s="3" t="str">
        <f>HYPERLINK("https://icf.clappia.com/app/GMB253374/submission/GOU33941413/ICF247370-GMB253374-eh4nf47b4ilc0000000/SIG-20250630_130011bkl4.jpeg", "SIG-20250630_130011bkl4.jpeg")</f>
        <v>SIG-20250630_130011bkl4.jpeg</v>
      </c>
      <c r="AR365" s="1" t="s">
        <v>2017</v>
      </c>
      <c r="AS365" s="3" t="str">
        <f>HYPERLINK("https://icf.clappia.com/app/GMB253374/submission/GOU33941413/ICF247370-GMB253374-1e23op5dpbk2e0000000/SIG-20250630_1254ic1b2.jpeg", "SIG-20250630_1254ic1b2.jpeg")</f>
        <v>SIG-20250630_1254ic1b2.jpeg</v>
      </c>
      <c r="AT365" s="1" t="s">
        <v>2018</v>
      </c>
      <c r="AU365" s="3" t="str">
        <f>HYPERLINK("https://icf.clappia.com/app/GMB253374/submission/GOU33941413/ICF247370-GMB253374-no2flmopb03a0000000/SIG-20250630_1256kb534.jpeg", "SIG-20250630_1256kb534.jpeg")</f>
        <v>SIG-20250630_1256kb534.jpeg</v>
      </c>
      <c r="AV365" s="3" t="str">
        <f>HYPERLINK("https://www.google.com/maps/place/8.1214267%2C-11.7573567", "8.1214267,-11.7573567")</f>
        <v>8.1214267,-11.7573567</v>
      </c>
    </row>
    <row r="366" ht="15.75" customHeight="1">
      <c r="A366" s="1" t="s">
        <v>2019</v>
      </c>
      <c r="B366" s="1" t="s">
        <v>690</v>
      </c>
      <c r="C366" s="1" t="s">
        <v>2020</v>
      </c>
      <c r="D366" s="1" t="s">
        <v>2020</v>
      </c>
      <c r="E366" s="1" t="s">
        <v>2021</v>
      </c>
      <c r="F366" s="1" t="s">
        <v>64</v>
      </c>
      <c r="G366" s="1">
        <v>162.0</v>
      </c>
      <c r="H366" s="1" t="s">
        <v>50</v>
      </c>
      <c r="I366" s="1">
        <v>57.0</v>
      </c>
      <c r="J366" s="1">
        <v>28.0</v>
      </c>
      <c r="K366" s="1">
        <v>28.0</v>
      </c>
      <c r="L366" s="1">
        <v>29.0</v>
      </c>
      <c r="M366" s="1">
        <v>29.0</v>
      </c>
      <c r="N366" s="1" t="s">
        <v>51</v>
      </c>
      <c r="O366" s="1">
        <v>32.0</v>
      </c>
      <c r="P366" s="1">
        <v>15.0</v>
      </c>
      <c r="Q366" s="1">
        <v>15.0</v>
      </c>
      <c r="R366" s="1">
        <v>17.0</v>
      </c>
      <c r="S366" s="1">
        <v>17.0</v>
      </c>
      <c r="T366" s="1" t="s">
        <v>52</v>
      </c>
      <c r="U366" s="1">
        <v>27.0</v>
      </c>
      <c r="V366" s="1">
        <v>14.0</v>
      </c>
      <c r="W366" s="1">
        <v>14.0</v>
      </c>
      <c r="X366" s="1">
        <v>13.0</v>
      </c>
      <c r="Y366" s="1">
        <v>13.0</v>
      </c>
      <c r="Z366" s="1" t="s">
        <v>53</v>
      </c>
      <c r="AA366" s="1">
        <v>23.0</v>
      </c>
      <c r="AB366" s="1">
        <v>9.0</v>
      </c>
      <c r="AC366" s="1">
        <v>9.0</v>
      </c>
      <c r="AD366" s="1">
        <v>14.0</v>
      </c>
      <c r="AE366" s="1">
        <v>14.0</v>
      </c>
      <c r="AF366" s="1" t="s">
        <v>54</v>
      </c>
      <c r="AG366" s="1">
        <v>23.0</v>
      </c>
      <c r="AH366" s="1">
        <v>10.0</v>
      </c>
      <c r="AI366" s="1">
        <v>10.0</v>
      </c>
      <c r="AJ366" s="1">
        <v>13.0</v>
      </c>
      <c r="AK366" s="1">
        <v>13.0</v>
      </c>
      <c r="AL366" s="1">
        <v>162.0</v>
      </c>
      <c r="AM366" s="1" t="s">
        <v>55</v>
      </c>
      <c r="AN366" s="1" t="s">
        <v>55</v>
      </c>
      <c r="AO366" s="1" t="s">
        <v>55</v>
      </c>
      <c r="AP366" s="1" t="s">
        <v>2022</v>
      </c>
      <c r="AQ366" s="3" t="str">
        <f>HYPERLINK("https://icf.clappia.com/app/GMB253374/submission/NGA01518121/ICF247370-GMB253374-2e3ijg071l1c00000000/SIG-20250702_1231139dbi.jpeg", "SIG-20250702_1231139dbi.jpeg")</f>
        <v>SIG-20250702_1231139dbi.jpeg</v>
      </c>
      <c r="AR366" s="1" t="s">
        <v>2023</v>
      </c>
      <c r="AS366" s="3" t="str">
        <f>HYPERLINK("https://icf.clappia.com/app/GMB253374/submission/NGA01518121/ICF247370-GMB253374-3hfn09380dog00000000/SIG-20250702_1231mm7cd.jpeg", "SIG-20250702_1231mm7cd.jpeg")</f>
        <v>SIG-20250702_1231mm7cd.jpeg</v>
      </c>
      <c r="AT366" s="1" t="s">
        <v>2024</v>
      </c>
      <c r="AU366" s="3" t="str">
        <f>HYPERLINK("https://icf.clappia.com/app/GMB253374/submission/NGA01518121/ICF247370-GMB253374-40kpo292k57c00000000/SIG-20250702_12322lomj.jpeg", "SIG-20250702_12322lomj.jpeg")</f>
        <v>SIG-20250702_12322lomj.jpeg</v>
      </c>
      <c r="AV366" s="3" t="str">
        <f>HYPERLINK("https://www.google.com/maps/place/8.860325%2C-12.073145", "8.860325,-12.073145")</f>
        <v>8.860325,-12.073145</v>
      </c>
    </row>
    <row r="367" ht="15.75" customHeight="1">
      <c r="A367" s="1" t="s">
        <v>2025</v>
      </c>
      <c r="B367" s="1" t="s">
        <v>81</v>
      </c>
      <c r="C367" s="1" t="s">
        <v>2020</v>
      </c>
      <c r="D367" s="1" t="s">
        <v>2020</v>
      </c>
      <c r="E367" s="1" t="s">
        <v>2026</v>
      </c>
      <c r="F367" s="1" t="s">
        <v>64</v>
      </c>
      <c r="G367" s="1">
        <v>204.0</v>
      </c>
      <c r="H367" s="1" t="s">
        <v>50</v>
      </c>
      <c r="I367" s="1">
        <v>37.0</v>
      </c>
      <c r="J367" s="1">
        <v>17.0</v>
      </c>
      <c r="K367" s="1">
        <v>16.0</v>
      </c>
      <c r="L367" s="1">
        <v>20.0</v>
      </c>
      <c r="M367" s="1">
        <v>18.0</v>
      </c>
      <c r="N367" s="1" t="s">
        <v>51</v>
      </c>
      <c r="O367" s="1">
        <v>39.0</v>
      </c>
      <c r="P367" s="1">
        <v>21.0</v>
      </c>
      <c r="Q367" s="1">
        <v>20.0</v>
      </c>
      <c r="R367" s="1">
        <v>18.0</v>
      </c>
      <c r="S367" s="1">
        <v>17.0</v>
      </c>
      <c r="T367" s="1" t="s">
        <v>52</v>
      </c>
      <c r="U367" s="1">
        <v>40.0</v>
      </c>
      <c r="V367" s="1">
        <v>19.0</v>
      </c>
      <c r="W367" s="1">
        <v>18.0</v>
      </c>
      <c r="X367" s="1">
        <v>21.0</v>
      </c>
      <c r="Y367" s="1">
        <v>20.0</v>
      </c>
      <c r="Z367" s="1" t="s">
        <v>53</v>
      </c>
      <c r="AA367" s="1">
        <v>51.0</v>
      </c>
      <c r="AB367" s="1">
        <v>22.0</v>
      </c>
      <c r="AC367" s="1">
        <v>21.0</v>
      </c>
      <c r="AD367" s="1">
        <v>29.0</v>
      </c>
      <c r="AE367" s="1">
        <v>29.0</v>
      </c>
      <c r="AF367" s="1" t="s">
        <v>54</v>
      </c>
      <c r="AG367" s="1">
        <v>25.0</v>
      </c>
      <c r="AH367" s="1">
        <v>10.0</v>
      </c>
      <c r="AI367" s="1">
        <v>8.0</v>
      </c>
      <c r="AJ367" s="1">
        <v>15.0</v>
      </c>
      <c r="AK367" s="1">
        <v>14.0</v>
      </c>
      <c r="AL367" s="1">
        <v>181.0</v>
      </c>
      <c r="AM367" s="1" t="s">
        <v>55</v>
      </c>
      <c r="AN367" s="1">
        <v>23.0</v>
      </c>
      <c r="AO367" s="1">
        <v>23.0</v>
      </c>
      <c r="AP367" s="1" t="s">
        <v>854</v>
      </c>
      <c r="AQ367" s="3" t="str">
        <f>HYPERLINK("https://icf.clappia.com/app/GMB253374/submission/NPB04953162/ICF247370-GMB253374-4o97o495agcg00000000/SIG-20250702_1231fl4g1.jpeg", "SIG-20250702_1231fl4g1.jpeg")</f>
        <v>SIG-20250702_1231fl4g1.jpeg</v>
      </c>
      <c r="AR367" s="1" t="s">
        <v>855</v>
      </c>
      <c r="AS367" s="3" t="str">
        <f>HYPERLINK("https://icf.clappia.com/app/GMB253374/submission/NPB04953162/ICF247370-GMB253374-57jmng4dopa600000000/SIG-20250702_12313fo7g.jpeg", "SIG-20250702_12313fo7g.jpeg")</f>
        <v>SIG-20250702_12313fo7g.jpeg</v>
      </c>
      <c r="AT367" s="1" t="s">
        <v>856</v>
      </c>
      <c r="AU367" s="3" t="str">
        <f>HYPERLINK("https://icf.clappia.com/app/GMB253374/submission/NPB04953162/ICF247370-GMB253374-35278o4o0nf800000000/SIG-20250702_1231af0dp.jpeg", "SIG-20250702_1231af0dp.jpeg")</f>
        <v>SIG-20250702_1231af0dp.jpeg</v>
      </c>
      <c r="AV367" s="3" t="str">
        <f>HYPERLINK("https://www.google.com/maps/place/7.9460988%2C-11.7369012", "7.9460988,-11.7369012")</f>
        <v>7.9460988,-11.7369012</v>
      </c>
    </row>
    <row r="368" ht="15.75" customHeight="1">
      <c r="A368" s="1" t="s">
        <v>2027</v>
      </c>
      <c r="B368" s="1" t="s">
        <v>161</v>
      </c>
      <c r="C368" s="1" t="s">
        <v>2020</v>
      </c>
      <c r="D368" s="1" t="s">
        <v>2020</v>
      </c>
      <c r="E368" s="1" t="s">
        <v>2028</v>
      </c>
      <c r="F368" s="1" t="s">
        <v>64</v>
      </c>
      <c r="G368" s="1">
        <v>669.0</v>
      </c>
      <c r="H368" s="1" t="s">
        <v>50</v>
      </c>
      <c r="I368" s="1">
        <v>120.0</v>
      </c>
      <c r="J368" s="1">
        <v>51.0</v>
      </c>
      <c r="K368" s="1">
        <v>50.0</v>
      </c>
      <c r="L368" s="1">
        <v>69.0</v>
      </c>
      <c r="M368" s="1">
        <v>67.0</v>
      </c>
      <c r="N368" s="1" t="s">
        <v>51</v>
      </c>
      <c r="O368" s="1">
        <v>120.0</v>
      </c>
      <c r="P368" s="1">
        <v>58.0</v>
      </c>
      <c r="Q368" s="1">
        <v>56.0</v>
      </c>
      <c r="R368" s="1">
        <v>62.0</v>
      </c>
      <c r="S368" s="1">
        <v>61.0</v>
      </c>
      <c r="T368" s="1" t="s">
        <v>52</v>
      </c>
      <c r="U368" s="1">
        <v>128.0</v>
      </c>
      <c r="V368" s="1">
        <v>56.0</v>
      </c>
      <c r="W368" s="1">
        <v>55.0</v>
      </c>
      <c r="X368" s="1">
        <v>72.0</v>
      </c>
      <c r="Y368" s="1">
        <v>71.0</v>
      </c>
      <c r="Z368" s="1" t="s">
        <v>53</v>
      </c>
      <c r="AA368" s="1">
        <v>175.0</v>
      </c>
      <c r="AB368" s="1">
        <v>87.0</v>
      </c>
      <c r="AC368" s="1">
        <v>86.0</v>
      </c>
      <c r="AD368" s="1">
        <v>88.0</v>
      </c>
      <c r="AE368" s="1">
        <v>87.0</v>
      </c>
      <c r="AF368" s="1" t="s">
        <v>54</v>
      </c>
      <c r="AG368" s="1">
        <v>116.0</v>
      </c>
      <c r="AH368" s="1">
        <v>51.0</v>
      </c>
      <c r="AI368" s="1">
        <v>51.0</v>
      </c>
      <c r="AJ368" s="1">
        <v>65.0</v>
      </c>
      <c r="AK368" s="1">
        <v>65.0</v>
      </c>
      <c r="AL368" s="1">
        <v>649.0</v>
      </c>
      <c r="AM368" s="1">
        <v>10.0</v>
      </c>
      <c r="AN368" s="1">
        <v>10.0</v>
      </c>
      <c r="AO368" s="1">
        <v>10.0</v>
      </c>
      <c r="AP368" s="1" t="s">
        <v>2029</v>
      </c>
      <c r="AQ368" s="3" t="str">
        <f>HYPERLINK("https://icf.clappia.com/app/GMB253374/submission/BNV19319655/ICF247370-GMB253374-1ea6i1m816j4c0000000/SIG-20250702_1226b2oj2.jpeg", "SIG-20250702_1226b2oj2.jpeg")</f>
        <v>SIG-20250702_1226b2oj2.jpeg</v>
      </c>
      <c r="AR368" s="1" t="s">
        <v>2030</v>
      </c>
      <c r="AS368" s="3" t="str">
        <f>HYPERLINK("https://icf.clappia.com/app/GMB253374/submission/BNV19319655/ICF247370-GMB253374-38153ec5861200000000/SIG-20250702_122817fkm3.jpeg", "SIG-20250702_122817fkm3.jpeg")</f>
        <v>SIG-20250702_122817fkm3.jpeg</v>
      </c>
      <c r="AT368" s="1" t="s">
        <v>2031</v>
      </c>
      <c r="AU368" s="3" t="str">
        <f>HYPERLINK("https://icf.clappia.com/app/GMB253374/submission/BNV19319655/ICF247370-GMB253374-23p49b25kmjcc0000000/SIG-20250702_12273m8bi.jpeg", "SIG-20250702_12273m8bi.jpeg")</f>
        <v>SIG-20250702_12273m8bi.jpeg</v>
      </c>
      <c r="AV368" s="3" t="str">
        <f>HYPERLINK("https://www.google.com/maps/place/8.0141067%2C-11.7288883", "8.0141067,-11.7288883")</f>
        <v>8.0141067,-11.7288883</v>
      </c>
    </row>
    <row r="369" ht="15.75" customHeight="1">
      <c r="A369" s="1" t="s">
        <v>2032</v>
      </c>
      <c r="B369" s="1" t="s">
        <v>81</v>
      </c>
      <c r="C369" s="1" t="s">
        <v>2033</v>
      </c>
      <c r="D369" s="1" t="s">
        <v>2033</v>
      </c>
      <c r="E369" s="1" t="s">
        <v>2034</v>
      </c>
      <c r="F369" s="1" t="s">
        <v>64</v>
      </c>
      <c r="G369" s="1">
        <v>200.0</v>
      </c>
      <c r="H369" s="1" t="s">
        <v>50</v>
      </c>
      <c r="I369" s="1">
        <v>40.0</v>
      </c>
      <c r="J369" s="1">
        <v>19.0</v>
      </c>
      <c r="K369" s="1">
        <v>19.0</v>
      </c>
      <c r="L369" s="1">
        <v>21.0</v>
      </c>
      <c r="M369" s="1">
        <v>21.0</v>
      </c>
      <c r="N369" s="1" t="s">
        <v>51</v>
      </c>
      <c r="O369" s="1">
        <v>42.0</v>
      </c>
      <c r="P369" s="1">
        <v>22.0</v>
      </c>
      <c r="Q369" s="1">
        <v>22.0</v>
      </c>
      <c r="R369" s="1">
        <v>20.0</v>
      </c>
      <c r="S369" s="1">
        <v>20.0</v>
      </c>
      <c r="T369" s="1" t="s">
        <v>52</v>
      </c>
      <c r="U369" s="1">
        <v>42.0</v>
      </c>
      <c r="V369" s="1">
        <v>19.0</v>
      </c>
      <c r="W369" s="1">
        <v>19.0</v>
      </c>
      <c r="X369" s="1">
        <v>22.0</v>
      </c>
      <c r="Y369" s="1">
        <v>22.0</v>
      </c>
      <c r="Z369" s="1" t="s">
        <v>53</v>
      </c>
      <c r="AA369" s="1">
        <v>37.0</v>
      </c>
      <c r="AB369" s="1">
        <v>16.0</v>
      </c>
      <c r="AC369" s="1">
        <v>16.0</v>
      </c>
      <c r="AD369" s="1">
        <v>21.0</v>
      </c>
      <c r="AE369" s="1">
        <v>21.0</v>
      </c>
      <c r="AF369" s="1" t="s">
        <v>54</v>
      </c>
      <c r="AG369" s="1">
        <v>40.0</v>
      </c>
      <c r="AH369" s="1">
        <v>18.0</v>
      </c>
      <c r="AI369" s="1">
        <v>18.0</v>
      </c>
      <c r="AJ369" s="1">
        <v>22.0</v>
      </c>
      <c r="AK369" s="1">
        <v>22.0</v>
      </c>
      <c r="AL369" s="1">
        <v>200.0</v>
      </c>
      <c r="AM369" s="1" t="s">
        <v>55</v>
      </c>
      <c r="AN369" s="1" t="s">
        <v>55</v>
      </c>
      <c r="AO369" s="1" t="s">
        <v>55</v>
      </c>
      <c r="AP369" s="1" t="s">
        <v>714</v>
      </c>
      <c r="AQ369" s="3" t="str">
        <f>HYPERLINK("https://icf.clappia.com/app/GMB253374/submission/CNV81220148/ICF247370-GMB253374-59hljkljikjm00000000/SIG-20250702_123012hj67.jpeg", "SIG-20250702_123012hj67.jpeg")</f>
        <v>SIG-20250702_123012hj67.jpeg</v>
      </c>
      <c r="AR369" s="1" t="s">
        <v>715</v>
      </c>
      <c r="AS369" s="3" t="str">
        <f>HYPERLINK("https://icf.clappia.com/app/GMB253374/submission/CNV81220148/ICF247370-GMB253374-3ec8nl4ki2e600000000/SIG-20250702_12059gp8o.jpeg", "SIG-20250702_12059gp8o.jpeg")</f>
        <v>SIG-20250702_12059gp8o.jpeg</v>
      </c>
      <c r="AT369" s="1" t="s">
        <v>716</v>
      </c>
      <c r="AU369" s="3" t="str">
        <f>HYPERLINK("https://icf.clappia.com/app/GMB253374/submission/CNV81220148/ICF247370-GMB253374-67f7nad2ja7e00000000/SIG-20250702_1207c5ko3.jpeg", "SIG-20250702_1207c5ko3.jpeg")</f>
        <v>SIG-20250702_1207c5ko3.jpeg</v>
      </c>
      <c r="AV369" s="3" t="str">
        <f>HYPERLINK("https://www.google.com/maps/place/7.93682%2C-11.73652", "7.93682,-11.73652")</f>
        <v>7.93682,-11.73652</v>
      </c>
    </row>
    <row r="370" ht="15.75" customHeight="1">
      <c r="A370" s="1" t="s">
        <v>2035</v>
      </c>
      <c r="B370" s="1" t="s">
        <v>81</v>
      </c>
      <c r="C370" s="1" t="s">
        <v>2036</v>
      </c>
      <c r="D370" s="1" t="s">
        <v>2036</v>
      </c>
      <c r="E370" s="1" t="s">
        <v>2037</v>
      </c>
      <c r="F370" s="1" t="s">
        <v>64</v>
      </c>
      <c r="G370" s="1">
        <v>350.0</v>
      </c>
      <c r="H370" s="1" t="s">
        <v>50</v>
      </c>
      <c r="I370" s="1">
        <v>55.0</v>
      </c>
      <c r="J370" s="1">
        <v>22.0</v>
      </c>
      <c r="K370" s="1">
        <v>22.0</v>
      </c>
      <c r="L370" s="1">
        <v>33.0</v>
      </c>
      <c r="M370" s="1">
        <v>33.0</v>
      </c>
      <c r="N370" s="1" t="s">
        <v>51</v>
      </c>
      <c r="O370" s="1">
        <v>52.0</v>
      </c>
      <c r="P370" s="1">
        <v>22.0</v>
      </c>
      <c r="Q370" s="1">
        <v>22.0</v>
      </c>
      <c r="R370" s="1">
        <v>30.0</v>
      </c>
      <c r="S370" s="1">
        <v>30.0</v>
      </c>
      <c r="T370" s="1" t="s">
        <v>52</v>
      </c>
      <c r="U370" s="1">
        <v>49.0</v>
      </c>
      <c r="V370" s="1">
        <v>20.0</v>
      </c>
      <c r="W370" s="1">
        <v>20.0</v>
      </c>
      <c r="X370" s="1">
        <v>29.0</v>
      </c>
      <c r="Y370" s="1">
        <v>29.0</v>
      </c>
      <c r="Z370" s="1" t="s">
        <v>53</v>
      </c>
      <c r="AA370" s="1">
        <v>42.0</v>
      </c>
      <c r="AB370" s="1">
        <v>23.0</v>
      </c>
      <c r="AC370" s="1">
        <v>23.0</v>
      </c>
      <c r="AD370" s="1">
        <v>19.0</v>
      </c>
      <c r="AE370" s="1">
        <v>19.0</v>
      </c>
      <c r="AF370" s="1" t="s">
        <v>54</v>
      </c>
      <c r="AG370" s="1">
        <v>39.0</v>
      </c>
      <c r="AH370" s="1">
        <v>19.0</v>
      </c>
      <c r="AI370" s="1">
        <v>19.0</v>
      </c>
      <c r="AJ370" s="1">
        <v>20.0</v>
      </c>
      <c r="AK370" s="1">
        <v>20.0</v>
      </c>
      <c r="AL370" s="1">
        <v>237.0</v>
      </c>
      <c r="AM370" s="1" t="s">
        <v>55</v>
      </c>
      <c r="AN370" s="1">
        <v>113.0</v>
      </c>
      <c r="AO370" s="1">
        <v>113.0</v>
      </c>
      <c r="AP370" s="1" t="s">
        <v>2038</v>
      </c>
      <c r="AQ370" s="3" t="str">
        <f>HYPERLINK("https://icf.clappia.com/app/GMB253374/submission/HDR49614853/ICF247370-GMB253374-54496cmp3k7200000000/SIG-20250702_1213dj9nf.jpeg", "SIG-20250702_1213dj9nf.jpeg")</f>
        <v>SIG-20250702_1213dj9nf.jpeg</v>
      </c>
      <c r="AR370" s="1" t="s">
        <v>2039</v>
      </c>
      <c r="AS370" s="3" t="str">
        <f>HYPERLINK("https://icf.clappia.com/app/GMB253374/submission/HDR49614853/ICF247370-GMB253374-4f4h33g1ojec00000000/SIG-20250702_1213144h17.jpeg", "SIG-20250702_1213144h17.jpeg")</f>
        <v>SIG-20250702_1213144h17.jpeg</v>
      </c>
      <c r="AT370" s="1" t="s">
        <v>2040</v>
      </c>
      <c r="AU370" s="3" t="str">
        <f>HYPERLINK("https://icf.clappia.com/app/GMB253374/submission/HDR49614853/ICF247370-GMB253374-2lkfcool1lac00000000/SIG-20250702_1215ame4n.jpeg", "SIG-20250702_1215ame4n.jpeg")</f>
        <v>SIG-20250702_1215ame4n.jpeg</v>
      </c>
      <c r="AV370" s="3" t="str">
        <f>HYPERLINK("https://www.google.com/maps/place/7.944505%2C-11.7470333", "7.944505,-11.7470333")</f>
        <v>7.944505,-11.7470333</v>
      </c>
    </row>
    <row r="371" ht="15.75" customHeight="1">
      <c r="A371" s="1" t="s">
        <v>2041</v>
      </c>
      <c r="B371" s="1" t="s">
        <v>189</v>
      </c>
      <c r="C371" s="1" t="s">
        <v>2036</v>
      </c>
      <c r="D371" s="1" t="s">
        <v>2036</v>
      </c>
      <c r="E371" s="1" t="s">
        <v>2042</v>
      </c>
      <c r="F371" s="1" t="s">
        <v>64</v>
      </c>
      <c r="G371" s="1">
        <v>250.0</v>
      </c>
      <c r="H371" s="1" t="s">
        <v>50</v>
      </c>
      <c r="I371" s="1">
        <v>58.0</v>
      </c>
      <c r="J371" s="1">
        <v>22.0</v>
      </c>
      <c r="K371" s="1">
        <v>18.0</v>
      </c>
      <c r="L371" s="1">
        <v>36.0</v>
      </c>
      <c r="M371" s="1">
        <v>36.0</v>
      </c>
      <c r="N371" s="1" t="s">
        <v>51</v>
      </c>
      <c r="O371" s="1">
        <v>57.0</v>
      </c>
      <c r="P371" s="1">
        <v>27.0</v>
      </c>
      <c r="Q371" s="1">
        <v>27.0</v>
      </c>
      <c r="R371" s="1">
        <v>30.0</v>
      </c>
      <c r="S371" s="1">
        <v>26.0</v>
      </c>
      <c r="T371" s="1" t="s">
        <v>52</v>
      </c>
      <c r="U371" s="1">
        <v>54.0</v>
      </c>
      <c r="V371" s="1">
        <v>23.0</v>
      </c>
      <c r="W371" s="1">
        <v>16.0</v>
      </c>
      <c r="X371" s="1">
        <v>31.0</v>
      </c>
      <c r="Y371" s="1">
        <v>27.0</v>
      </c>
      <c r="Z371" s="1" t="s">
        <v>53</v>
      </c>
      <c r="AA371" s="1">
        <v>37.0</v>
      </c>
      <c r="AB371" s="1">
        <v>22.0</v>
      </c>
      <c r="AC371" s="1">
        <v>18.0</v>
      </c>
      <c r="AD371" s="1">
        <v>15.0</v>
      </c>
      <c r="AE371" s="1">
        <v>11.0</v>
      </c>
      <c r="AF371" s="1" t="s">
        <v>54</v>
      </c>
      <c r="AG371" s="1">
        <v>36.0</v>
      </c>
      <c r="AH371" s="1">
        <v>17.0</v>
      </c>
      <c r="AI371" s="1">
        <v>17.0</v>
      </c>
      <c r="AJ371" s="1">
        <v>19.0</v>
      </c>
      <c r="AK371" s="1">
        <v>19.0</v>
      </c>
      <c r="AL371" s="1">
        <v>215.0</v>
      </c>
      <c r="AM371" s="1" t="s">
        <v>55</v>
      </c>
      <c r="AN371" s="1">
        <v>35.0</v>
      </c>
      <c r="AO371" s="1">
        <v>35.0</v>
      </c>
      <c r="AP371" s="1" t="s">
        <v>2043</v>
      </c>
      <c r="AQ371" s="3" t="str">
        <f>HYPERLINK("https://icf.clappia.com/app/GMB253374/submission/XUK86161355/ICF247370-GMB253374-nc5n079loi7i0000000/SIG-20250702_1058eee7p.jpeg", "SIG-20250702_1058eee7p.jpeg")</f>
        <v>SIG-20250702_1058eee7p.jpeg</v>
      </c>
      <c r="AR371" s="1" t="s">
        <v>2044</v>
      </c>
      <c r="AS371" s="3" t="str">
        <f>HYPERLINK("https://icf.clappia.com/app/GMB253374/submission/XUK86161355/ICF247370-GMB253374-18nhmm30e542k0000000/SIG-20250702_1100l5he4.jpeg", "SIG-20250702_1100l5he4.jpeg")</f>
        <v>SIG-20250702_1100l5he4.jpeg</v>
      </c>
      <c r="AT371" s="1" t="s">
        <v>2045</v>
      </c>
      <c r="AU371" s="3" t="str">
        <f>HYPERLINK("https://icf.clappia.com/app/GMB253374/submission/XUK86161355/ICF247370-GMB253374-23o5j5lc14hck0000000/SIG-20250702_1101h68b7.jpeg", "SIG-20250702_1101h68b7.jpeg")</f>
        <v>SIG-20250702_1101h68b7.jpeg</v>
      </c>
      <c r="AV371" s="3" t="str">
        <f>HYPERLINK("https://www.google.com/maps/place/8.8863233%2C-12.0252917", "8.8863233,-12.0252917")</f>
        <v>8.8863233,-12.0252917</v>
      </c>
    </row>
    <row r="372" ht="15.75" customHeight="1">
      <c r="A372" s="1" t="s">
        <v>2046</v>
      </c>
      <c r="B372" s="1" t="s">
        <v>129</v>
      </c>
      <c r="C372" s="1" t="s">
        <v>2047</v>
      </c>
      <c r="D372" s="1" t="s">
        <v>2047</v>
      </c>
      <c r="E372" s="1" t="s">
        <v>2048</v>
      </c>
      <c r="F372" s="1" t="s">
        <v>64</v>
      </c>
      <c r="G372" s="1">
        <v>210.0</v>
      </c>
      <c r="H372" s="1" t="s">
        <v>50</v>
      </c>
      <c r="I372" s="1">
        <v>80.0</v>
      </c>
      <c r="J372" s="1">
        <v>31.0</v>
      </c>
      <c r="K372" s="1">
        <v>31.0</v>
      </c>
      <c r="L372" s="1">
        <v>49.0</v>
      </c>
      <c r="M372" s="1">
        <v>49.0</v>
      </c>
      <c r="N372" s="1" t="s">
        <v>51</v>
      </c>
      <c r="O372" s="1">
        <v>35.0</v>
      </c>
      <c r="P372" s="1">
        <v>22.0</v>
      </c>
      <c r="Q372" s="1">
        <v>22.0</v>
      </c>
      <c r="R372" s="1">
        <v>13.0</v>
      </c>
      <c r="S372" s="1">
        <v>13.0</v>
      </c>
      <c r="T372" s="1" t="s">
        <v>52</v>
      </c>
      <c r="U372" s="1">
        <v>36.0</v>
      </c>
      <c r="V372" s="1">
        <v>12.0</v>
      </c>
      <c r="W372" s="1">
        <v>12.0</v>
      </c>
      <c r="X372" s="1">
        <v>14.0</v>
      </c>
      <c r="Y372" s="1">
        <v>14.0</v>
      </c>
      <c r="Z372" s="1" t="s">
        <v>53</v>
      </c>
      <c r="AA372" s="1">
        <v>34.0</v>
      </c>
      <c r="AB372" s="1">
        <v>24.0</v>
      </c>
      <c r="AC372" s="1">
        <v>24.0</v>
      </c>
      <c r="AD372" s="1">
        <v>10.0</v>
      </c>
      <c r="AE372" s="1">
        <v>10.0</v>
      </c>
      <c r="AF372" s="1" t="s">
        <v>54</v>
      </c>
      <c r="AG372" s="1">
        <v>35.0</v>
      </c>
      <c r="AH372" s="1">
        <v>18.0</v>
      </c>
      <c r="AI372" s="1">
        <v>18.0</v>
      </c>
      <c r="AJ372" s="1">
        <v>17.0</v>
      </c>
      <c r="AK372" s="1">
        <v>17.0</v>
      </c>
      <c r="AL372" s="1">
        <v>210.0</v>
      </c>
      <c r="AM372" s="1" t="s">
        <v>55</v>
      </c>
      <c r="AN372" s="1" t="s">
        <v>55</v>
      </c>
      <c r="AO372" s="1" t="s">
        <v>55</v>
      </c>
      <c r="AP372" s="1" t="s">
        <v>132</v>
      </c>
      <c r="AQ372" s="3" t="str">
        <f>HYPERLINK("https://icf.clappia.com/app/GMB253374/submission/ZUQ10003241/ICF247370-GMB253374-2aoao5njcij8e0000000/SIG-20250702_1229eid5j.jpeg", "SIG-20250702_1229eid5j.jpeg")</f>
        <v>SIG-20250702_1229eid5j.jpeg</v>
      </c>
      <c r="AR372" s="1" t="s">
        <v>133</v>
      </c>
      <c r="AS372" s="3" t="str">
        <f>HYPERLINK("https://icf.clappia.com/app/GMB253374/submission/ZUQ10003241/ICF247370-GMB253374-261iggoi2hame0000000/SIG-20250702_121718i2n7.jpeg", "SIG-20250702_121718i2n7.jpeg")</f>
        <v>SIG-20250702_121718i2n7.jpeg</v>
      </c>
      <c r="AT372" s="1" t="s">
        <v>134</v>
      </c>
      <c r="AU372" s="3" t="str">
        <f>HYPERLINK("https://icf.clappia.com/app/GMB253374/submission/ZUQ10003241/ICF247370-GMB253374-19dl6ji7aa7mo0000000/SIG-20250702_1218meah.jpeg", "SIG-20250702_1218meah.jpeg")</f>
        <v>SIG-20250702_1218meah.jpeg</v>
      </c>
      <c r="AV372" s="3" t="str">
        <f>HYPERLINK("https://www.google.com/maps/place/8.1217783%2C-11.7004867", "8.1217783,-11.7004867")</f>
        <v>8.1217783,-11.7004867</v>
      </c>
    </row>
    <row r="373" ht="15.75" customHeight="1">
      <c r="A373" s="1" t="s">
        <v>2049</v>
      </c>
      <c r="B373" s="1" t="s">
        <v>335</v>
      </c>
      <c r="C373" s="1" t="s">
        <v>2050</v>
      </c>
      <c r="D373" s="1" t="s">
        <v>2050</v>
      </c>
      <c r="E373" s="1" t="s">
        <v>2051</v>
      </c>
      <c r="F373" s="1" t="s">
        <v>64</v>
      </c>
      <c r="G373" s="1">
        <v>200.0</v>
      </c>
      <c r="H373" s="1" t="s">
        <v>50</v>
      </c>
      <c r="I373" s="1">
        <v>33.0</v>
      </c>
      <c r="J373" s="1">
        <v>20.0</v>
      </c>
      <c r="K373" s="1">
        <v>20.0</v>
      </c>
      <c r="L373" s="1">
        <v>13.0</v>
      </c>
      <c r="M373" s="1">
        <v>13.0</v>
      </c>
      <c r="N373" s="1" t="s">
        <v>51</v>
      </c>
      <c r="O373" s="1">
        <v>17.0</v>
      </c>
      <c r="P373" s="1">
        <v>9.0</v>
      </c>
      <c r="Q373" s="1">
        <v>9.0</v>
      </c>
      <c r="R373" s="1">
        <v>8.0</v>
      </c>
      <c r="S373" s="1">
        <v>8.0</v>
      </c>
      <c r="T373" s="1" t="s">
        <v>52</v>
      </c>
      <c r="U373" s="1">
        <v>16.0</v>
      </c>
      <c r="V373" s="1">
        <v>7.0</v>
      </c>
      <c r="W373" s="1">
        <v>7.0</v>
      </c>
      <c r="X373" s="1">
        <v>9.0</v>
      </c>
      <c r="Y373" s="1">
        <v>9.0</v>
      </c>
      <c r="Z373" s="1" t="s">
        <v>53</v>
      </c>
      <c r="AA373" s="1">
        <v>21.0</v>
      </c>
      <c r="AB373" s="1">
        <v>12.0</v>
      </c>
      <c r="AC373" s="1">
        <v>12.0</v>
      </c>
      <c r="AD373" s="1">
        <v>9.0</v>
      </c>
      <c r="AE373" s="1">
        <v>9.0</v>
      </c>
      <c r="AF373" s="1" t="s">
        <v>54</v>
      </c>
      <c r="AG373" s="1">
        <v>25.0</v>
      </c>
      <c r="AH373" s="1">
        <v>16.0</v>
      </c>
      <c r="AI373" s="1">
        <v>16.0</v>
      </c>
      <c r="AJ373" s="1">
        <v>9.0</v>
      </c>
      <c r="AK373" s="1">
        <v>9.0</v>
      </c>
      <c r="AL373" s="1">
        <v>112.0</v>
      </c>
      <c r="AM373" s="1" t="s">
        <v>55</v>
      </c>
      <c r="AN373" s="1">
        <v>88.0</v>
      </c>
      <c r="AO373" s="1">
        <v>88.0</v>
      </c>
      <c r="AP373" s="1" t="s">
        <v>1305</v>
      </c>
      <c r="AQ373" s="3" t="str">
        <f>HYPERLINK("https://icf.clappia.com/app/GMB253374/submission/IIF34505262/ICF247370-GMB253374-60b42hbhi80e00000000/SIG-20250702_12255eo1p.jpeg", "SIG-20250702_12255eo1p.jpeg")</f>
        <v>SIG-20250702_12255eo1p.jpeg</v>
      </c>
      <c r="AR373" s="1" t="s">
        <v>2052</v>
      </c>
      <c r="AS373" s="3" t="str">
        <f>HYPERLINK("https://icf.clappia.com/app/GMB253374/submission/IIF34505262/ICF247370-GMB253374-1o74j5ab6kel60000000/SIG-20250702_122618a384.jpeg", "SIG-20250702_122618a384.jpeg")</f>
        <v>SIG-20250702_122618a384.jpeg</v>
      </c>
      <c r="AT373" s="1" t="s">
        <v>1304</v>
      </c>
      <c r="AU373" s="3" t="str">
        <f>HYPERLINK("https://icf.clappia.com/app/GMB253374/submission/IIF34505262/ICF247370-GMB253374-31ffhn246g8m00000000/SIG-20250702_122810en7f.jpeg", "SIG-20250702_122810en7f.jpeg")</f>
        <v>SIG-20250702_122810en7f.jpeg</v>
      </c>
      <c r="AV373" s="3" t="str">
        <f>HYPERLINK("https://www.google.com/maps/place/8.1404433%2C-11.60505", "8.1404433,-11.60505")</f>
        <v>8.1404433,-11.60505</v>
      </c>
    </row>
    <row r="374" ht="15.75" customHeight="1">
      <c r="A374" s="1" t="s">
        <v>2053</v>
      </c>
      <c r="B374" s="1" t="s">
        <v>2054</v>
      </c>
      <c r="C374" s="1" t="s">
        <v>2055</v>
      </c>
      <c r="D374" s="1" t="s">
        <v>2055</v>
      </c>
      <c r="E374" s="1" t="s">
        <v>2056</v>
      </c>
      <c r="F374" s="1" t="s">
        <v>64</v>
      </c>
      <c r="G374" s="1">
        <v>145.0</v>
      </c>
      <c r="H374" s="1" t="s">
        <v>50</v>
      </c>
      <c r="I374" s="1">
        <v>130.0</v>
      </c>
      <c r="J374" s="1">
        <v>75.0</v>
      </c>
      <c r="K374" s="1">
        <v>60.0</v>
      </c>
      <c r="L374" s="1">
        <v>55.0</v>
      </c>
      <c r="M374" s="1">
        <v>38.0</v>
      </c>
      <c r="N374" s="1" t="s">
        <v>51</v>
      </c>
      <c r="O374" s="1">
        <v>24.0</v>
      </c>
      <c r="P374" s="1">
        <v>13.0</v>
      </c>
      <c r="Q374" s="1">
        <v>10.0</v>
      </c>
      <c r="R374" s="1">
        <v>11.0</v>
      </c>
      <c r="S374" s="1">
        <v>11.0</v>
      </c>
      <c r="T374" s="1" t="s">
        <v>52</v>
      </c>
      <c r="U374" s="1" t="s">
        <v>55</v>
      </c>
      <c r="V374" s="1" t="s">
        <v>55</v>
      </c>
      <c r="W374" s="1" t="s">
        <v>55</v>
      </c>
      <c r="X374" s="1" t="s">
        <v>55</v>
      </c>
      <c r="Y374" s="1" t="s">
        <v>55</v>
      </c>
      <c r="Z374" s="1" t="s">
        <v>53</v>
      </c>
      <c r="AA374" s="1" t="s">
        <v>55</v>
      </c>
      <c r="AB374" s="1" t="s">
        <v>55</v>
      </c>
      <c r="AC374" s="1" t="s">
        <v>55</v>
      </c>
      <c r="AD374" s="1" t="s">
        <v>55</v>
      </c>
      <c r="AE374" s="1" t="s">
        <v>55</v>
      </c>
      <c r="AF374" s="1" t="s">
        <v>54</v>
      </c>
      <c r="AG374" s="1" t="s">
        <v>55</v>
      </c>
      <c r="AH374" s="1" t="s">
        <v>55</v>
      </c>
      <c r="AI374" s="1" t="s">
        <v>55</v>
      </c>
      <c r="AJ374" s="1" t="s">
        <v>55</v>
      </c>
      <c r="AK374" s="1" t="s">
        <v>55</v>
      </c>
      <c r="AL374" s="1">
        <v>119.0</v>
      </c>
      <c r="AM374" s="1" t="s">
        <v>55</v>
      </c>
      <c r="AN374" s="1">
        <v>26.0</v>
      </c>
      <c r="AO374" s="1" t="s">
        <v>55</v>
      </c>
      <c r="AP374" s="1" t="s">
        <v>2057</v>
      </c>
      <c r="AQ374" s="3" t="str">
        <f>HYPERLINK("https://icf.clappia.com/app/GMB253374/submission/QHV57865374/ICF247370-GMB253374-3o1hcmmg9o6o00000000/SIG-20250630_1610dp60i.jpeg", "SIG-20250630_1610dp60i.jpeg")</f>
        <v>SIG-20250630_1610dp60i.jpeg</v>
      </c>
      <c r="AR374" s="1" t="s">
        <v>2058</v>
      </c>
      <c r="AS374" s="3" t="str">
        <f>HYPERLINK("https://icf.clappia.com/app/GMB253374/submission/QHV57865374/ICF247370-GMB253374-4i6o48d6gcc600000000/SIG-20250630_16129i7e6.jpeg", "SIG-20250630_16129i7e6.jpeg")</f>
        <v>SIG-20250630_16129i7e6.jpeg</v>
      </c>
      <c r="AT374" s="1" t="s">
        <v>2059</v>
      </c>
      <c r="AU374" s="3" t="str">
        <f>HYPERLINK("https://icf.clappia.com/app/GMB253374/submission/QHV57865374/ICF247370-GMB253374-5b7fih74idda00000000/SIG-20250630_161317dh23.jpeg", "SIG-20250630_161317dh23.jpeg")</f>
        <v>SIG-20250630_161317dh23.jpeg</v>
      </c>
      <c r="AV374" s="3" t="str">
        <f>HYPERLINK("https://www.google.com/maps/place/8.202615%2C-11.4313917", "8.202615,-11.4313917")</f>
        <v>8.202615,-11.4313917</v>
      </c>
    </row>
    <row r="375" ht="15.75" customHeight="1">
      <c r="A375" s="1" t="s">
        <v>2060</v>
      </c>
      <c r="B375" s="1" t="s">
        <v>81</v>
      </c>
      <c r="C375" s="1" t="s">
        <v>2061</v>
      </c>
      <c r="D375" s="1" t="s">
        <v>2055</v>
      </c>
      <c r="E375" s="1" t="s">
        <v>2062</v>
      </c>
      <c r="F375" s="1" t="s">
        <v>64</v>
      </c>
      <c r="G375" s="1">
        <v>300.0</v>
      </c>
      <c r="H375" s="1" t="s">
        <v>50</v>
      </c>
      <c r="I375" s="1">
        <v>40.0</v>
      </c>
      <c r="J375" s="1">
        <v>19.0</v>
      </c>
      <c r="K375" s="1">
        <v>18.0</v>
      </c>
      <c r="L375" s="1">
        <v>21.0</v>
      </c>
      <c r="M375" s="1">
        <v>20.0</v>
      </c>
      <c r="N375" s="1" t="s">
        <v>51</v>
      </c>
      <c r="O375" s="1">
        <v>39.0</v>
      </c>
      <c r="P375" s="1">
        <v>13.0</v>
      </c>
      <c r="Q375" s="1">
        <v>13.0</v>
      </c>
      <c r="R375" s="1">
        <v>26.0</v>
      </c>
      <c r="S375" s="1">
        <v>24.0</v>
      </c>
      <c r="T375" s="1" t="s">
        <v>52</v>
      </c>
      <c r="U375" s="1">
        <v>35.0</v>
      </c>
      <c r="V375" s="1">
        <v>15.0</v>
      </c>
      <c r="W375" s="1">
        <v>15.0</v>
      </c>
      <c r="X375" s="1">
        <v>20.0</v>
      </c>
      <c r="Y375" s="1">
        <v>20.0</v>
      </c>
      <c r="Z375" s="1" t="s">
        <v>53</v>
      </c>
      <c r="AA375" s="1">
        <v>50.0</v>
      </c>
      <c r="AB375" s="1">
        <v>25.0</v>
      </c>
      <c r="AC375" s="1">
        <v>25.0</v>
      </c>
      <c r="AD375" s="1">
        <v>25.0</v>
      </c>
      <c r="AE375" s="1">
        <v>25.0</v>
      </c>
      <c r="AF375" s="1" t="s">
        <v>54</v>
      </c>
      <c r="AG375" s="1">
        <v>103.0</v>
      </c>
      <c r="AH375" s="1">
        <v>50.0</v>
      </c>
      <c r="AI375" s="1">
        <v>50.0</v>
      </c>
      <c r="AJ375" s="1">
        <v>53.0</v>
      </c>
      <c r="AK375" s="1">
        <v>53.0</v>
      </c>
      <c r="AL375" s="1">
        <v>263.0</v>
      </c>
      <c r="AM375" s="1">
        <v>3.0</v>
      </c>
      <c r="AN375" s="1">
        <v>34.0</v>
      </c>
      <c r="AO375" s="1">
        <v>22.0</v>
      </c>
      <c r="AP375" s="1" t="s">
        <v>2063</v>
      </c>
      <c r="AQ375" s="3" t="str">
        <f>HYPERLINK("https://icf.clappia.com/app/GMB253374/submission/YSM92133460/ICF247370-GMB253374-10c8eak17k8o00000000/SIG-20250701_1036c6cfo.jpeg", "SIG-20250701_1036c6cfo.jpeg")</f>
        <v>SIG-20250701_1036c6cfo.jpeg</v>
      </c>
      <c r="AR375" s="1" t="s">
        <v>2064</v>
      </c>
      <c r="AS375" s="3" t="str">
        <f>HYPERLINK("https://icf.clappia.com/app/GMB253374/submission/YSM92133460/ICF247370-GMB253374-2bgpa6fbhbbla0000000/SIG-20250701_1036119mml.jpeg", "SIG-20250701_1036119mml.jpeg")</f>
        <v>SIG-20250701_1036119mml.jpeg</v>
      </c>
      <c r="AT375" s="1" t="s">
        <v>2065</v>
      </c>
      <c r="AU375" s="3" t="str">
        <f>HYPERLINK("https://icf.clappia.com/app/GMB253374/submission/YSM92133460/ICF247370-GMB253374-3f3kfoh3opbm00000000/SIG-20250701_10373dloj.jpeg", "SIG-20250701_10373dloj.jpeg")</f>
        <v>SIG-20250701_10373dloj.jpeg</v>
      </c>
      <c r="AV375" s="3" t="str">
        <f>HYPERLINK("https://www.google.com/maps/place/7.9714106%2C-11.7421147", "7.9714106,-11.7421147")</f>
        <v>7.9714106,-11.7421147</v>
      </c>
    </row>
    <row r="376" ht="15.75" customHeight="1">
      <c r="A376" s="1" t="s">
        <v>2066</v>
      </c>
      <c r="B376" s="1" t="s">
        <v>81</v>
      </c>
      <c r="C376" s="1" t="s">
        <v>2067</v>
      </c>
      <c r="D376" s="1" t="s">
        <v>2067</v>
      </c>
      <c r="E376" s="1" t="s">
        <v>2068</v>
      </c>
      <c r="F376" s="1" t="s">
        <v>64</v>
      </c>
      <c r="G376" s="1">
        <v>127.0</v>
      </c>
      <c r="H376" s="1" t="s">
        <v>50</v>
      </c>
      <c r="I376" s="1">
        <v>28.0</v>
      </c>
      <c r="J376" s="1">
        <v>15.0</v>
      </c>
      <c r="K376" s="1">
        <v>15.0</v>
      </c>
      <c r="L376" s="1">
        <v>13.0</v>
      </c>
      <c r="M376" s="1">
        <v>13.0</v>
      </c>
      <c r="N376" s="1" t="s">
        <v>51</v>
      </c>
      <c r="O376" s="1">
        <v>24.0</v>
      </c>
      <c r="P376" s="1">
        <v>10.0</v>
      </c>
      <c r="Q376" s="1">
        <v>10.0</v>
      </c>
      <c r="R376" s="1">
        <v>14.0</v>
      </c>
      <c r="S376" s="1">
        <v>14.0</v>
      </c>
      <c r="T376" s="1" t="s">
        <v>52</v>
      </c>
      <c r="U376" s="1">
        <v>22.0</v>
      </c>
      <c r="V376" s="1">
        <v>10.0</v>
      </c>
      <c r="W376" s="1">
        <v>10.0</v>
      </c>
      <c r="X376" s="1">
        <v>12.0</v>
      </c>
      <c r="Y376" s="1">
        <v>12.0</v>
      </c>
      <c r="Z376" s="1" t="s">
        <v>53</v>
      </c>
      <c r="AA376" s="1">
        <v>27.0</v>
      </c>
      <c r="AB376" s="1">
        <v>12.0</v>
      </c>
      <c r="AC376" s="1">
        <v>12.0</v>
      </c>
      <c r="AD376" s="1">
        <v>15.0</v>
      </c>
      <c r="AE376" s="1">
        <v>15.0</v>
      </c>
      <c r="AF376" s="1" t="s">
        <v>54</v>
      </c>
      <c r="AG376" s="1">
        <v>26.0</v>
      </c>
      <c r="AH376" s="1">
        <v>10.0</v>
      </c>
      <c r="AI376" s="1">
        <v>10.0</v>
      </c>
      <c r="AJ376" s="1">
        <v>16.0</v>
      </c>
      <c r="AK376" s="1">
        <v>16.0</v>
      </c>
      <c r="AL376" s="1">
        <v>127.0</v>
      </c>
      <c r="AM376" s="1" t="s">
        <v>55</v>
      </c>
      <c r="AN376" s="1" t="s">
        <v>55</v>
      </c>
      <c r="AO376" s="1" t="s">
        <v>55</v>
      </c>
      <c r="AP376" s="1" t="s">
        <v>115</v>
      </c>
      <c r="AQ376" s="3" t="str">
        <f>HYPERLINK("https://icf.clappia.com/app/GMB253374/submission/OVK69262323/ICF247370-GMB253374-n87k9723klbe0000000/SIG-20250702_122015333b.jpeg", "SIG-20250702_122015333b.jpeg")</f>
        <v>SIG-20250702_122015333b.jpeg</v>
      </c>
      <c r="AR376" s="1" t="s">
        <v>2069</v>
      </c>
      <c r="AS376" s="3" t="str">
        <f>HYPERLINK("https://icf.clappia.com/app/GMB253374/submission/OVK69262323/ICF247370-GMB253374-4lka0f2g86b000000000/SIG-20250702_1126ehjon.jpeg", "SIG-20250702_1126ehjon.jpeg")</f>
        <v>SIG-20250702_1126ehjon.jpeg</v>
      </c>
      <c r="AT376" s="1" t="s">
        <v>113</v>
      </c>
      <c r="AU376" s="3" t="str">
        <f>HYPERLINK("https://icf.clappia.com/app/GMB253374/submission/OVK69262323/ICF247370-GMB253374-67pnjo18iako00000000/SIG-20250702_1122dp3ef.jpeg", "SIG-20250702_1122dp3ef.jpeg")</f>
        <v>SIG-20250702_1122dp3ef.jpeg</v>
      </c>
      <c r="AV376" s="3" t="str">
        <f>HYPERLINK("https://www.google.com/maps/place/7.9713917%2C-11.7401583", "7.9713917,-11.7401583")</f>
        <v>7.9713917,-11.7401583</v>
      </c>
    </row>
    <row r="377" ht="15.75" customHeight="1">
      <c r="A377" s="1" t="s">
        <v>2070</v>
      </c>
      <c r="B377" s="1" t="s">
        <v>142</v>
      </c>
      <c r="C377" s="1" t="s">
        <v>2071</v>
      </c>
      <c r="D377" s="1" t="s">
        <v>2072</v>
      </c>
      <c r="E377" s="1" t="s">
        <v>2073</v>
      </c>
      <c r="F377" s="1" t="s">
        <v>64</v>
      </c>
      <c r="G377" s="1">
        <v>41.0</v>
      </c>
      <c r="H377" s="1" t="s">
        <v>50</v>
      </c>
      <c r="I377" s="1">
        <v>18.0</v>
      </c>
      <c r="J377" s="1">
        <v>11.0</v>
      </c>
      <c r="K377" s="1">
        <v>9.0</v>
      </c>
      <c r="L377" s="1">
        <v>7.0</v>
      </c>
      <c r="M377" s="1">
        <v>7.0</v>
      </c>
      <c r="N377" s="1" t="s">
        <v>51</v>
      </c>
      <c r="O377" s="1">
        <v>9.0</v>
      </c>
      <c r="P377" s="1">
        <v>3.0</v>
      </c>
      <c r="Q377" s="1">
        <v>2.0</v>
      </c>
      <c r="R377" s="1">
        <v>6.0</v>
      </c>
      <c r="S377" s="1">
        <v>6.0</v>
      </c>
      <c r="T377" s="1" t="s">
        <v>52</v>
      </c>
      <c r="U377" s="1">
        <v>6.0</v>
      </c>
      <c r="V377" s="1">
        <v>2.0</v>
      </c>
      <c r="W377" s="1">
        <v>2.0</v>
      </c>
      <c r="X377" s="1">
        <v>4.0</v>
      </c>
      <c r="Y377" s="1">
        <v>4.0</v>
      </c>
      <c r="Z377" s="1" t="s">
        <v>53</v>
      </c>
      <c r="AA377" s="1">
        <v>4.0</v>
      </c>
      <c r="AB377" s="1">
        <v>2.0</v>
      </c>
      <c r="AC377" s="1">
        <v>2.0</v>
      </c>
      <c r="AD377" s="1">
        <v>2.0</v>
      </c>
      <c r="AE377" s="1">
        <v>2.0</v>
      </c>
      <c r="AF377" s="1" t="s">
        <v>54</v>
      </c>
      <c r="AG377" s="1">
        <v>4.0</v>
      </c>
      <c r="AH377" s="1">
        <v>3.0</v>
      </c>
      <c r="AI377" s="1">
        <v>3.0</v>
      </c>
      <c r="AJ377" s="1">
        <v>1.0</v>
      </c>
      <c r="AK377" s="1">
        <v>1.0</v>
      </c>
      <c r="AL377" s="1">
        <v>38.0</v>
      </c>
      <c r="AM377" s="1">
        <v>3.0</v>
      </c>
      <c r="AN377" s="1" t="s">
        <v>55</v>
      </c>
      <c r="AO377" s="1" t="s">
        <v>55</v>
      </c>
      <c r="AP377" s="1" t="s">
        <v>2074</v>
      </c>
      <c r="AQ377" s="3" t="str">
        <f>HYPERLINK("https://icf.clappia.com/app/GMB253374/submission/UIB50512763/ICF247370-GMB253374-2hahn1h2n8b400000000/SIG-20250702_12067ob0d.jpeg", "SIG-20250702_12067ob0d.jpeg")</f>
        <v>SIG-20250702_12067ob0d.jpeg</v>
      </c>
      <c r="AR377" s="1" t="s">
        <v>2075</v>
      </c>
      <c r="AS377" s="3" t="str">
        <f>HYPERLINK("https://icf.clappia.com/app/GMB253374/submission/UIB50512763/ICF247370-GMB253374-3ain4ihld0b20000000/SIG-20250702_1207fk32h.jpeg", "SIG-20250702_1207fk32h.jpeg")</f>
        <v>SIG-20250702_1207fk32h.jpeg</v>
      </c>
      <c r="AT377" s="1" t="s">
        <v>2076</v>
      </c>
      <c r="AU377" s="3" t="str">
        <f>HYPERLINK("https://icf.clappia.com/app/GMB253374/submission/UIB50512763/ICF247370-GMB253374-4dh4n1jip4a600000000/SIG-20250702_1220116461.jpeg", "SIG-20250702_1220116461.jpeg")</f>
        <v>SIG-20250702_1220116461.jpeg</v>
      </c>
      <c r="AV377" s="3" t="str">
        <f>HYPERLINK("https://www.google.com/maps/place/7.9501333%2C-12.1258633", "7.9501333,-12.1258633")</f>
        <v>7.9501333,-12.1258633</v>
      </c>
    </row>
    <row r="378" ht="15.75" customHeight="1">
      <c r="A378" s="1" t="s">
        <v>2077</v>
      </c>
      <c r="B378" s="1" t="s">
        <v>189</v>
      </c>
      <c r="C378" s="1" t="s">
        <v>2078</v>
      </c>
      <c r="D378" s="1" t="s">
        <v>2078</v>
      </c>
      <c r="E378" s="1" t="s">
        <v>2079</v>
      </c>
      <c r="F378" s="1" t="s">
        <v>64</v>
      </c>
      <c r="G378" s="1">
        <v>267.0</v>
      </c>
      <c r="H378" s="1" t="s">
        <v>50</v>
      </c>
      <c r="I378" s="1">
        <v>47.0</v>
      </c>
      <c r="J378" s="1">
        <v>24.0</v>
      </c>
      <c r="K378" s="1">
        <v>17.0</v>
      </c>
      <c r="L378" s="1">
        <v>23.0</v>
      </c>
      <c r="M378" s="1">
        <v>22.0</v>
      </c>
      <c r="N378" s="1" t="s">
        <v>51</v>
      </c>
      <c r="O378" s="1">
        <v>47.0</v>
      </c>
      <c r="P378" s="1">
        <v>20.0</v>
      </c>
      <c r="Q378" s="1">
        <v>12.0</v>
      </c>
      <c r="R378" s="1">
        <v>27.0</v>
      </c>
      <c r="S378" s="1">
        <v>13.0</v>
      </c>
      <c r="T378" s="1" t="s">
        <v>52</v>
      </c>
      <c r="U378" s="1">
        <v>40.0</v>
      </c>
      <c r="V378" s="1">
        <v>20.0</v>
      </c>
      <c r="W378" s="1">
        <v>9.0</v>
      </c>
      <c r="X378" s="1">
        <v>20.0</v>
      </c>
      <c r="Y378" s="1">
        <v>10.0</v>
      </c>
      <c r="Z378" s="1" t="s">
        <v>53</v>
      </c>
      <c r="AA378" s="1">
        <v>33.0</v>
      </c>
      <c r="AB378" s="1">
        <v>19.0</v>
      </c>
      <c r="AC378" s="1">
        <v>11.0</v>
      </c>
      <c r="AD378" s="1">
        <v>14.0</v>
      </c>
      <c r="AE378" s="1">
        <v>12.0</v>
      </c>
      <c r="AF378" s="1" t="s">
        <v>54</v>
      </c>
      <c r="AG378" s="1">
        <v>40.0</v>
      </c>
      <c r="AH378" s="1">
        <v>22.0</v>
      </c>
      <c r="AI378" s="1">
        <v>13.0</v>
      </c>
      <c r="AJ378" s="1">
        <v>18.0</v>
      </c>
      <c r="AK378" s="1">
        <v>12.0</v>
      </c>
      <c r="AL378" s="1">
        <v>131.0</v>
      </c>
      <c r="AM378" s="1">
        <v>10.0</v>
      </c>
      <c r="AN378" s="1">
        <v>126.0</v>
      </c>
      <c r="AO378" s="1">
        <v>60.0</v>
      </c>
      <c r="AP378" s="1" t="s">
        <v>2080</v>
      </c>
      <c r="AQ378" s="3" t="str">
        <f>HYPERLINK("https://icf.clappia.com/app/GMB253374/submission/KUH63890035/ICF247370-GMB253374-37j88lfaapn200000000/SIG-20250702_1219m0038.jpeg", "SIG-20250702_1219m0038.jpeg")</f>
        <v>SIG-20250702_1219m0038.jpeg</v>
      </c>
      <c r="AR378" s="1" t="s">
        <v>2081</v>
      </c>
      <c r="AS378" s="3" t="str">
        <f>HYPERLINK("https://icf.clappia.com/app/GMB253374/submission/KUH63890035/ICF247370-GMB253374-p23hj19h9hjm0000000/SIG-20250702_1219801o6.jpeg", "SIG-20250702_1219801o6.jpeg")</f>
        <v>SIG-20250702_1219801o6.jpeg</v>
      </c>
      <c r="AT378" s="1" t="s">
        <v>2082</v>
      </c>
      <c r="AU378" s="3" t="str">
        <f>HYPERLINK("https://icf.clappia.com/app/GMB253374/submission/KUH63890035/ICF247370-GMB253374-2nopkc63j9nc00000000/SIG-20250702_1220dpll2.jpeg", "SIG-20250702_1220dpll2.jpeg")</f>
        <v>SIG-20250702_1220dpll2.jpeg</v>
      </c>
      <c r="AV378" s="3" t="str">
        <f>HYPERLINK("https://www.google.com/maps/place/8.8662367%2C-12.0445483", "8.8662367,-12.0445483")</f>
        <v>8.8662367,-12.0445483</v>
      </c>
    </row>
    <row r="379" ht="15.75" customHeight="1">
      <c r="A379" s="1" t="s">
        <v>2083</v>
      </c>
      <c r="B379" s="1" t="s">
        <v>60</v>
      </c>
      <c r="C379" s="1" t="s">
        <v>2084</v>
      </c>
      <c r="D379" s="1" t="s">
        <v>2084</v>
      </c>
      <c r="E379" s="1" t="s">
        <v>2085</v>
      </c>
      <c r="F379" s="1" t="s">
        <v>64</v>
      </c>
      <c r="G379" s="1">
        <v>303.0</v>
      </c>
      <c r="H379" s="1" t="s">
        <v>50</v>
      </c>
      <c r="I379" s="1">
        <v>60.0</v>
      </c>
      <c r="J379" s="1">
        <v>30.0</v>
      </c>
      <c r="K379" s="1">
        <v>30.0</v>
      </c>
      <c r="L379" s="1">
        <v>30.0</v>
      </c>
      <c r="M379" s="1">
        <v>30.0</v>
      </c>
      <c r="N379" s="1" t="s">
        <v>51</v>
      </c>
      <c r="O379" s="1">
        <v>62.0</v>
      </c>
      <c r="P379" s="1">
        <v>33.0</v>
      </c>
      <c r="Q379" s="1">
        <v>30.0</v>
      </c>
      <c r="R379" s="1">
        <v>29.0</v>
      </c>
      <c r="S379" s="1">
        <v>29.0</v>
      </c>
      <c r="T379" s="1" t="s">
        <v>52</v>
      </c>
      <c r="U379" s="1">
        <v>61.0</v>
      </c>
      <c r="V379" s="1">
        <v>30.0</v>
      </c>
      <c r="W379" s="1">
        <v>30.0</v>
      </c>
      <c r="X379" s="1">
        <v>31.0</v>
      </c>
      <c r="Y379" s="1">
        <v>31.0</v>
      </c>
      <c r="Z379" s="1" t="s">
        <v>53</v>
      </c>
      <c r="AA379" s="1">
        <v>61.0</v>
      </c>
      <c r="AB379" s="1">
        <v>33.0</v>
      </c>
      <c r="AC379" s="1">
        <v>33.0</v>
      </c>
      <c r="AD379" s="1">
        <v>28.0</v>
      </c>
      <c r="AE379" s="1">
        <v>28.0</v>
      </c>
      <c r="AF379" s="1" t="s">
        <v>54</v>
      </c>
      <c r="AG379" s="1">
        <v>59.0</v>
      </c>
      <c r="AH379" s="1">
        <v>29.0</v>
      </c>
      <c r="AI379" s="1">
        <v>29.0</v>
      </c>
      <c r="AJ379" s="1">
        <v>30.0</v>
      </c>
      <c r="AK379" s="1">
        <v>30.0</v>
      </c>
      <c r="AL379" s="1">
        <v>300.0</v>
      </c>
      <c r="AM379" s="1">
        <v>3.0</v>
      </c>
      <c r="AN379" s="1" t="s">
        <v>55</v>
      </c>
      <c r="AO379" s="1" t="s">
        <v>55</v>
      </c>
      <c r="AP379" s="1" t="s">
        <v>1130</v>
      </c>
      <c r="AQ379" s="3" t="str">
        <f>HYPERLINK("https://icf.clappia.com/app/GMB253374/submission/FYF54703499/ICF247370-GMB253374-2ojic2b37l7c00000000/SIG-20250701_18142p615.jpeg", "SIG-20250701_18142p615.jpeg")</f>
        <v>SIG-20250701_18142p615.jpeg</v>
      </c>
      <c r="AR379" s="1" t="s">
        <v>1128</v>
      </c>
      <c r="AS379" s="3" t="str">
        <f>HYPERLINK("https://icf.clappia.com/app/GMB253374/submission/FYF54703499/ICF247370-GMB253374-4e1c3nhaplkk00000000/SIG-20250701_18146770n.jpeg", "SIG-20250701_18146770n.jpeg")</f>
        <v>SIG-20250701_18146770n.jpeg</v>
      </c>
      <c r="AT379" s="1" t="s">
        <v>2086</v>
      </c>
      <c r="AU379" s="3" t="str">
        <f>HYPERLINK("https://icf.clappia.com/app/GMB253374/submission/FYF54703499/ICF247370-GMB253374-61bampge266o00000000/SIG-20250701_181610a8b3.jpeg", "SIG-20250701_181610a8b3.jpeg")</f>
        <v>SIG-20250701_181610a8b3.jpeg</v>
      </c>
      <c r="AV379" s="3" t="str">
        <f>HYPERLINK("https://www.google.com/maps/place/8.8175236%2C-12.228005", "8.8175236,-12.228005")</f>
        <v>8.8175236,-12.228005</v>
      </c>
    </row>
    <row r="380" ht="15.75" customHeight="1">
      <c r="A380" s="1" t="s">
        <v>2087</v>
      </c>
      <c r="B380" s="1" t="s">
        <v>278</v>
      </c>
      <c r="C380" s="1" t="s">
        <v>2088</v>
      </c>
      <c r="D380" s="1" t="s">
        <v>2088</v>
      </c>
      <c r="E380" s="1" t="s">
        <v>2089</v>
      </c>
      <c r="F380" s="1" t="s">
        <v>64</v>
      </c>
      <c r="G380" s="1">
        <v>245.0</v>
      </c>
      <c r="H380" s="1" t="s">
        <v>50</v>
      </c>
      <c r="I380" s="1">
        <v>68.0</v>
      </c>
      <c r="J380" s="1">
        <v>38.0</v>
      </c>
      <c r="K380" s="1">
        <v>38.0</v>
      </c>
      <c r="L380" s="1">
        <v>30.0</v>
      </c>
      <c r="M380" s="1">
        <v>30.0</v>
      </c>
      <c r="N380" s="1" t="s">
        <v>51</v>
      </c>
      <c r="O380" s="1">
        <v>48.0</v>
      </c>
      <c r="P380" s="1">
        <v>25.0</v>
      </c>
      <c r="Q380" s="1">
        <v>25.0</v>
      </c>
      <c r="R380" s="1">
        <v>23.0</v>
      </c>
      <c r="S380" s="1">
        <v>23.0</v>
      </c>
      <c r="T380" s="1" t="s">
        <v>52</v>
      </c>
      <c r="U380" s="1">
        <v>58.0</v>
      </c>
      <c r="V380" s="1">
        <v>33.0</v>
      </c>
      <c r="W380" s="1">
        <v>33.0</v>
      </c>
      <c r="X380" s="1">
        <v>25.0</v>
      </c>
      <c r="Y380" s="1">
        <v>25.0</v>
      </c>
      <c r="Z380" s="1" t="s">
        <v>53</v>
      </c>
      <c r="AA380" s="1">
        <v>39.0</v>
      </c>
      <c r="AB380" s="1">
        <v>20.0</v>
      </c>
      <c r="AC380" s="1">
        <v>20.0</v>
      </c>
      <c r="AD380" s="1">
        <v>19.0</v>
      </c>
      <c r="AE380" s="1">
        <v>19.0</v>
      </c>
      <c r="AF380" s="1" t="s">
        <v>54</v>
      </c>
      <c r="AG380" s="1">
        <v>32.0</v>
      </c>
      <c r="AH380" s="1">
        <v>17.0</v>
      </c>
      <c r="AI380" s="1">
        <v>17.0</v>
      </c>
      <c r="AJ380" s="1">
        <v>15.0</v>
      </c>
      <c r="AK380" s="1">
        <v>15.0</v>
      </c>
      <c r="AL380" s="1">
        <v>245.0</v>
      </c>
      <c r="AM380" s="1" t="s">
        <v>55</v>
      </c>
      <c r="AN380" s="1" t="s">
        <v>55</v>
      </c>
      <c r="AO380" s="1" t="s">
        <v>55</v>
      </c>
      <c r="AP380" s="1" t="s">
        <v>2090</v>
      </c>
      <c r="AQ380" s="3" t="str">
        <f>HYPERLINK("https://icf.clappia.com/app/GMB253374/submission/ERW66669732/ICF247370-GMB253374-3182defnpmei00000000/SIG-20250702_121611j2jc.jpeg", "SIG-20250702_121611j2jc.jpeg")</f>
        <v>SIG-20250702_121611j2jc.jpeg</v>
      </c>
      <c r="AR380" s="1" t="s">
        <v>2091</v>
      </c>
      <c r="AS380" s="3" t="str">
        <f>HYPERLINK("https://icf.clappia.com/app/GMB253374/submission/ERW66669732/ICF247370-GMB253374-5na0af854e2g00000000/SIG-20250702_1218179l7k.jpeg", "SIG-20250702_1218179l7k.jpeg")</f>
        <v>SIG-20250702_1218179l7k.jpeg</v>
      </c>
      <c r="AT380" s="1" t="s">
        <v>2092</v>
      </c>
      <c r="AU380" s="3" t="str">
        <f>HYPERLINK("https://icf.clappia.com/app/GMB253374/submission/ERW66669732/ICF247370-GMB253374-j3ek8i4jfj120000000/SIG-20250702_1217o599c.jpeg", "SIG-20250702_1217o599c.jpeg")</f>
        <v>SIG-20250702_1217o599c.jpeg</v>
      </c>
      <c r="AV380" s="3" t="str">
        <f>HYPERLINK("https://www.google.com/maps/place/9.298695%2C-12.2064517", "9.298695,-12.2064517")</f>
        <v>9.298695,-12.2064517</v>
      </c>
    </row>
    <row r="381" ht="15.75" customHeight="1">
      <c r="A381" s="1" t="s">
        <v>2093</v>
      </c>
      <c r="B381" s="1" t="s">
        <v>167</v>
      </c>
      <c r="C381" s="1" t="s">
        <v>2094</v>
      </c>
      <c r="D381" s="1" t="s">
        <v>2094</v>
      </c>
      <c r="E381" s="1" t="s">
        <v>2095</v>
      </c>
      <c r="F381" s="1" t="s">
        <v>64</v>
      </c>
      <c r="G381" s="1">
        <v>150.0</v>
      </c>
      <c r="H381" s="1" t="s">
        <v>50</v>
      </c>
      <c r="I381" s="1">
        <v>27.0</v>
      </c>
      <c r="J381" s="1">
        <v>12.0</v>
      </c>
      <c r="K381" s="1">
        <v>11.0</v>
      </c>
      <c r="L381" s="1">
        <v>15.0</v>
      </c>
      <c r="M381" s="1">
        <v>14.0</v>
      </c>
      <c r="N381" s="1" t="s">
        <v>51</v>
      </c>
      <c r="O381" s="1">
        <v>30.0</v>
      </c>
      <c r="P381" s="1">
        <v>10.0</v>
      </c>
      <c r="Q381" s="1">
        <v>9.0</v>
      </c>
      <c r="R381" s="1">
        <v>20.0</v>
      </c>
      <c r="S381" s="1">
        <v>20.0</v>
      </c>
      <c r="T381" s="1" t="s">
        <v>52</v>
      </c>
      <c r="U381" s="1">
        <v>23.0</v>
      </c>
      <c r="V381" s="1">
        <v>10.0</v>
      </c>
      <c r="W381" s="1">
        <v>9.0</v>
      </c>
      <c r="X381" s="1">
        <v>13.0</v>
      </c>
      <c r="Y381" s="1">
        <v>12.0</v>
      </c>
      <c r="Z381" s="1" t="s">
        <v>53</v>
      </c>
      <c r="AA381" s="1">
        <v>25.0</v>
      </c>
      <c r="AB381" s="1">
        <v>15.0</v>
      </c>
      <c r="AC381" s="1">
        <v>14.0</v>
      </c>
      <c r="AD381" s="1">
        <v>10.0</v>
      </c>
      <c r="AE381" s="1">
        <v>10.0</v>
      </c>
      <c r="AF381" s="1" t="s">
        <v>54</v>
      </c>
      <c r="AG381" s="1">
        <v>22.0</v>
      </c>
      <c r="AH381" s="1">
        <v>9.0</v>
      </c>
      <c r="AI381" s="1">
        <v>8.0</v>
      </c>
      <c r="AJ381" s="1">
        <v>13.0</v>
      </c>
      <c r="AK381" s="1">
        <v>12.0</v>
      </c>
      <c r="AL381" s="1">
        <v>119.0</v>
      </c>
      <c r="AM381" s="1">
        <v>8.0</v>
      </c>
      <c r="AN381" s="1">
        <v>23.0</v>
      </c>
      <c r="AO381" s="1">
        <v>23.0</v>
      </c>
      <c r="AP381" s="1" t="s">
        <v>2096</v>
      </c>
      <c r="AQ381" s="3" t="str">
        <f>HYPERLINK("https://icf.clappia.com/app/GMB253374/submission/KUD23802214/ICF247370-GMB253374-303oj3n7ci6800000000/SIG-20250702_12159mnh4.jpeg", "SIG-20250702_12159mnh4.jpeg")</f>
        <v>SIG-20250702_12159mnh4.jpeg</v>
      </c>
      <c r="AR381" s="1" t="s">
        <v>2097</v>
      </c>
      <c r="AS381" s="3" t="str">
        <f>HYPERLINK("https://icf.clappia.com/app/GMB253374/submission/KUD23802214/ICF247370-GMB253374-36ak2b774i9m00000000/SIG-20250702_1216n878d.jpeg", "SIG-20250702_1216n878d.jpeg")</f>
        <v>SIG-20250702_1216n878d.jpeg</v>
      </c>
      <c r="AT381" s="1" t="s">
        <v>2098</v>
      </c>
      <c r="AU381" s="3" t="str">
        <f>HYPERLINK("https://icf.clappia.com/app/GMB253374/submission/KUD23802214/ICF247370-GMB253374-3ab42ehcog9200000000/SIG-20250702_120914aeo0.jpeg", "SIG-20250702_120914aeo0.jpeg")</f>
        <v>SIG-20250702_120914aeo0.jpeg</v>
      </c>
      <c r="AV381" s="3" t="str">
        <f>HYPERLINK("https://www.google.com/maps/place/7.9400516%2C-11.7397757", "7.9400516,-11.7397757")</f>
        <v>7.9400516,-11.7397757</v>
      </c>
    </row>
    <row r="382" ht="15.75" customHeight="1">
      <c r="A382" s="1" t="s">
        <v>2099</v>
      </c>
      <c r="B382" s="1" t="s">
        <v>189</v>
      </c>
      <c r="C382" s="1" t="s">
        <v>2100</v>
      </c>
      <c r="D382" s="1" t="s">
        <v>2100</v>
      </c>
      <c r="E382" s="1" t="s">
        <v>2101</v>
      </c>
      <c r="F382" s="1" t="s">
        <v>64</v>
      </c>
      <c r="G382" s="1">
        <v>783.0</v>
      </c>
      <c r="H382" s="1" t="s">
        <v>50</v>
      </c>
      <c r="I382" s="1">
        <v>151.0</v>
      </c>
      <c r="J382" s="1">
        <v>68.0</v>
      </c>
      <c r="K382" s="1">
        <v>68.0</v>
      </c>
      <c r="L382" s="1">
        <v>83.0</v>
      </c>
      <c r="M382" s="1">
        <v>83.0</v>
      </c>
      <c r="N382" s="1" t="s">
        <v>51</v>
      </c>
      <c r="O382" s="1">
        <v>156.0</v>
      </c>
      <c r="P382" s="1">
        <v>73.0</v>
      </c>
      <c r="Q382" s="1">
        <v>73.0</v>
      </c>
      <c r="R382" s="1">
        <v>83.0</v>
      </c>
      <c r="S382" s="1">
        <v>83.0</v>
      </c>
      <c r="T382" s="1" t="s">
        <v>52</v>
      </c>
      <c r="U382" s="1">
        <v>145.0</v>
      </c>
      <c r="V382" s="1">
        <v>60.0</v>
      </c>
      <c r="W382" s="1">
        <v>60.0</v>
      </c>
      <c r="X382" s="1">
        <v>85.0</v>
      </c>
      <c r="Y382" s="1">
        <v>85.0</v>
      </c>
      <c r="Z382" s="1" t="s">
        <v>53</v>
      </c>
      <c r="AA382" s="1">
        <v>170.0</v>
      </c>
      <c r="AB382" s="1">
        <v>84.0</v>
      </c>
      <c r="AC382" s="1">
        <v>84.0</v>
      </c>
      <c r="AD382" s="1">
        <v>86.0</v>
      </c>
      <c r="AE382" s="1">
        <v>86.0</v>
      </c>
      <c r="AF382" s="1" t="s">
        <v>54</v>
      </c>
      <c r="AG382" s="1">
        <v>118.0</v>
      </c>
      <c r="AH382" s="1">
        <v>56.0</v>
      </c>
      <c r="AI382" s="1">
        <v>56.0</v>
      </c>
      <c r="AJ382" s="1">
        <v>62.0</v>
      </c>
      <c r="AK382" s="1">
        <v>62.0</v>
      </c>
      <c r="AL382" s="1">
        <v>740.0</v>
      </c>
      <c r="AM382" s="1" t="s">
        <v>55</v>
      </c>
      <c r="AN382" s="1">
        <v>43.0</v>
      </c>
      <c r="AO382" s="1">
        <v>43.0</v>
      </c>
      <c r="AP382" s="1" t="s">
        <v>2102</v>
      </c>
      <c r="AQ382" s="3" t="str">
        <f>HYPERLINK("https://icf.clappia.com/app/GMB253374/submission/GRY55733590/ICF247370-GMB253374-5dggbcip6lok00000000/SIG-20250702_121314ina3.jpeg", "SIG-20250702_121314ina3.jpeg")</f>
        <v>SIG-20250702_121314ina3.jpeg</v>
      </c>
      <c r="AR382" s="1" t="s">
        <v>2103</v>
      </c>
      <c r="AS382" s="3" t="str">
        <f>HYPERLINK("https://icf.clappia.com/app/GMB253374/submission/GRY55733590/ICF247370-GMB253374-3b3d5ed15nf600000000/SIG-20250702_1214i069n.jpeg", "SIG-20250702_1214i069n.jpeg")</f>
        <v>SIG-20250702_1214i069n.jpeg</v>
      </c>
      <c r="AT382" s="1" t="s">
        <v>2104</v>
      </c>
      <c r="AU382" s="3" t="str">
        <f>HYPERLINK("https://icf.clappia.com/app/GMB253374/submission/GRY55733590/ICF247370-GMB253374-ig1i8o8hgcm40000000/SIG-20250702_121481clh.jpeg", "SIG-20250702_121481clh.jpeg")</f>
        <v>SIG-20250702_121481clh.jpeg</v>
      </c>
      <c r="AV382" s="3" t="str">
        <f>HYPERLINK("https://www.google.com/maps/place/8.896823%2C-12.0531652", "8.896823,-12.0531652")</f>
        <v>8.896823,-12.0531652</v>
      </c>
    </row>
    <row r="383" ht="15.75" customHeight="1">
      <c r="A383" s="1" t="s">
        <v>2105</v>
      </c>
      <c r="B383" s="1" t="s">
        <v>1521</v>
      </c>
      <c r="C383" s="1" t="s">
        <v>2106</v>
      </c>
      <c r="D383" s="1" t="s">
        <v>2106</v>
      </c>
      <c r="E383" s="1" t="s">
        <v>2107</v>
      </c>
      <c r="F383" s="1" t="s">
        <v>64</v>
      </c>
      <c r="G383" s="1">
        <v>100.0</v>
      </c>
      <c r="H383" s="1" t="s">
        <v>50</v>
      </c>
      <c r="I383" s="1">
        <v>14.0</v>
      </c>
      <c r="J383" s="1">
        <v>3.0</v>
      </c>
      <c r="K383" s="1">
        <v>3.0</v>
      </c>
      <c r="L383" s="1">
        <v>8.0</v>
      </c>
      <c r="M383" s="1">
        <v>8.0</v>
      </c>
      <c r="N383" s="1" t="s">
        <v>51</v>
      </c>
      <c r="O383" s="1">
        <v>11.0</v>
      </c>
      <c r="P383" s="1">
        <v>5.0</v>
      </c>
      <c r="Q383" s="1">
        <v>5.0</v>
      </c>
      <c r="R383" s="1">
        <v>6.0</v>
      </c>
      <c r="S383" s="1">
        <v>6.0</v>
      </c>
      <c r="T383" s="1" t="s">
        <v>52</v>
      </c>
      <c r="U383" s="1">
        <v>13.0</v>
      </c>
      <c r="V383" s="1">
        <v>6.0</v>
      </c>
      <c r="W383" s="1">
        <v>6.0</v>
      </c>
      <c r="X383" s="1">
        <v>7.0</v>
      </c>
      <c r="Y383" s="1">
        <v>7.0</v>
      </c>
      <c r="Z383" s="1" t="s">
        <v>53</v>
      </c>
      <c r="AA383" s="1">
        <v>14.0</v>
      </c>
      <c r="AB383" s="1">
        <v>9.0</v>
      </c>
      <c r="AC383" s="1">
        <v>6.0</v>
      </c>
      <c r="AD383" s="1">
        <v>5.0</v>
      </c>
      <c r="AE383" s="1">
        <v>2.0</v>
      </c>
      <c r="AF383" s="1" t="s">
        <v>54</v>
      </c>
      <c r="AG383" s="1">
        <v>9.0</v>
      </c>
      <c r="AH383" s="1">
        <v>4.0</v>
      </c>
      <c r="AI383" s="1">
        <v>4.0</v>
      </c>
      <c r="AJ383" s="1">
        <v>5.0</v>
      </c>
      <c r="AK383" s="1">
        <v>5.0</v>
      </c>
      <c r="AL383" s="1">
        <v>52.0</v>
      </c>
      <c r="AM383" s="1">
        <v>9.0</v>
      </c>
      <c r="AN383" s="1">
        <v>39.0</v>
      </c>
      <c r="AO383" s="1">
        <v>39.0</v>
      </c>
      <c r="AP383" s="1" t="s">
        <v>2108</v>
      </c>
      <c r="AQ383" s="3" t="str">
        <f>HYPERLINK("https://icf.clappia.com/app/GMB253374/submission/GWJ73132594/ICF247370-GMB253374-1o4fkjlb53fao0000000/SIG-20250702_1213pofal.jpeg", "SIG-20250702_1213pofal.jpeg")</f>
        <v>SIG-20250702_1213pofal.jpeg</v>
      </c>
      <c r="AR383" s="1" t="s">
        <v>2109</v>
      </c>
      <c r="AS383" s="3" t="str">
        <f>HYPERLINK("https://icf.clappia.com/app/GMB253374/submission/GWJ73132594/ICF247370-GMB253374-3055a3e7afj800000000/SIG-20250702_1213b8496.jpeg", "SIG-20250702_1213b8496.jpeg")</f>
        <v>SIG-20250702_1213b8496.jpeg</v>
      </c>
      <c r="AT383" s="1" t="s">
        <v>2110</v>
      </c>
      <c r="AU383" s="3" t="str">
        <f>HYPERLINK("https://icf.clappia.com/app/GMB253374/submission/GWJ73132594/ICF247370-GMB253374-34mn583ii5p800000000/SIG-20250702_1214pkokc.jpeg", "SIG-20250702_1214pkokc.jpeg")</f>
        <v>SIG-20250702_1214pkokc.jpeg</v>
      </c>
      <c r="AV383" s="3" t="str">
        <f>HYPERLINK("https://www.google.com/maps/place/8.1095417%2C-11.8497083", "8.1095417,-11.8497083")</f>
        <v>8.1095417,-11.8497083</v>
      </c>
    </row>
    <row r="384" ht="15.75" customHeight="1">
      <c r="A384" s="1" t="s">
        <v>2111</v>
      </c>
      <c r="B384" s="1" t="s">
        <v>189</v>
      </c>
      <c r="C384" s="1" t="s">
        <v>2112</v>
      </c>
      <c r="D384" s="1" t="s">
        <v>2112</v>
      </c>
      <c r="E384" s="1" t="s">
        <v>2113</v>
      </c>
      <c r="F384" s="1" t="s">
        <v>49</v>
      </c>
      <c r="G384" s="1">
        <v>200.0</v>
      </c>
      <c r="H384" s="1" t="s">
        <v>50</v>
      </c>
      <c r="I384" s="1">
        <v>31.0</v>
      </c>
      <c r="J384" s="1">
        <v>15.0</v>
      </c>
      <c r="K384" s="1">
        <v>15.0</v>
      </c>
      <c r="L384" s="1">
        <v>16.0</v>
      </c>
      <c r="M384" s="1">
        <v>16.0</v>
      </c>
      <c r="N384" s="1" t="s">
        <v>51</v>
      </c>
      <c r="O384" s="1">
        <v>29.0</v>
      </c>
      <c r="P384" s="1">
        <v>10.0</v>
      </c>
      <c r="Q384" s="1">
        <v>10.0</v>
      </c>
      <c r="R384" s="1">
        <v>19.0</v>
      </c>
      <c r="S384" s="1">
        <v>19.0</v>
      </c>
      <c r="T384" s="1" t="s">
        <v>52</v>
      </c>
      <c r="U384" s="1">
        <v>21.0</v>
      </c>
      <c r="V384" s="1">
        <v>6.0</v>
      </c>
      <c r="W384" s="1">
        <v>6.0</v>
      </c>
      <c r="X384" s="1">
        <v>15.0</v>
      </c>
      <c r="Y384" s="1">
        <v>15.0</v>
      </c>
      <c r="Z384" s="1" t="s">
        <v>53</v>
      </c>
      <c r="AA384" s="1">
        <v>28.0</v>
      </c>
      <c r="AB384" s="1">
        <v>13.0</v>
      </c>
      <c r="AC384" s="1">
        <v>13.0</v>
      </c>
      <c r="AD384" s="1">
        <v>15.0</v>
      </c>
      <c r="AE384" s="1">
        <v>15.0</v>
      </c>
      <c r="AF384" s="1" t="s">
        <v>54</v>
      </c>
      <c r="AG384" s="1">
        <v>28.0</v>
      </c>
      <c r="AH384" s="1">
        <v>18.0</v>
      </c>
      <c r="AI384" s="1">
        <v>18.0</v>
      </c>
      <c r="AJ384" s="1">
        <v>10.0</v>
      </c>
      <c r="AK384" s="1">
        <v>10.0</v>
      </c>
      <c r="AL384" s="1">
        <v>137.0</v>
      </c>
      <c r="AM384" s="1" t="s">
        <v>55</v>
      </c>
      <c r="AN384" s="1">
        <v>63.0</v>
      </c>
      <c r="AO384" s="1">
        <v>63.0</v>
      </c>
      <c r="AP384" s="1" t="s">
        <v>2114</v>
      </c>
      <c r="AQ384" s="3" t="str">
        <f>HYPERLINK("https://icf.clappia.com/app/GMB253374/submission/LZX91616456/ICF247370-GMB253374-33gcg4j4hbc200000000/SIG-20250702_1210m1cha.jpeg", "SIG-20250702_1210m1cha.jpeg")</f>
        <v>SIG-20250702_1210m1cha.jpeg</v>
      </c>
      <c r="AR384" s="1" t="s">
        <v>1525</v>
      </c>
      <c r="AS384" s="3" t="str">
        <f>HYPERLINK("https://icf.clappia.com/app/GMB253374/submission/LZX91616456/ICF247370-GMB253374-2mgadk829o5c00000000/SIG-20250702_1211j352d.jpeg", "SIG-20250702_1211j352d.jpeg")</f>
        <v>SIG-20250702_1211j352d.jpeg</v>
      </c>
      <c r="AT384" s="1" t="s">
        <v>2115</v>
      </c>
      <c r="AU384" s="3" t="str">
        <f>HYPERLINK("https://icf.clappia.com/app/GMB253374/submission/LZX91616456/ICF247370-GMB253374-4bj8fkeddd0g00000000/SIG-20250702_1212ml60c.jpeg", "SIG-20250702_1212ml60c.jpeg")</f>
        <v>SIG-20250702_1212ml60c.jpeg</v>
      </c>
      <c r="AV384" s="3" t="str">
        <f>HYPERLINK("https://www.google.com/maps/place/8.8955283%2C-12.0405783", "8.8955283,-12.0405783")</f>
        <v>8.8955283,-12.0405783</v>
      </c>
    </row>
    <row r="385" ht="15.75" customHeight="1">
      <c r="A385" s="1" t="s">
        <v>2116</v>
      </c>
      <c r="B385" s="1" t="s">
        <v>81</v>
      </c>
      <c r="C385" s="1" t="s">
        <v>2117</v>
      </c>
      <c r="D385" s="1" t="s">
        <v>2117</v>
      </c>
      <c r="E385" s="1" t="s">
        <v>2118</v>
      </c>
      <c r="F385" s="1" t="s">
        <v>64</v>
      </c>
      <c r="G385" s="1">
        <v>176.0</v>
      </c>
      <c r="H385" s="1" t="s">
        <v>50</v>
      </c>
      <c r="I385" s="1">
        <v>30.0</v>
      </c>
      <c r="J385" s="1">
        <v>18.0</v>
      </c>
      <c r="K385" s="1">
        <v>13.0</v>
      </c>
      <c r="L385" s="1">
        <v>12.0</v>
      </c>
      <c r="M385" s="1">
        <v>10.0</v>
      </c>
      <c r="N385" s="1" t="s">
        <v>51</v>
      </c>
      <c r="O385" s="1">
        <v>34.0</v>
      </c>
      <c r="P385" s="1">
        <v>17.0</v>
      </c>
      <c r="Q385" s="1">
        <v>8.0</v>
      </c>
      <c r="R385" s="1">
        <v>14.0</v>
      </c>
      <c r="S385" s="1">
        <v>10.0</v>
      </c>
      <c r="T385" s="1" t="s">
        <v>52</v>
      </c>
      <c r="U385" s="1">
        <v>39.0</v>
      </c>
      <c r="V385" s="1">
        <v>18.0</v>
      </c>
      <c r="W385" s="1">
        <v>16.0</v>
      </c>
      <c r="X385" s="1">
        <v>21.0</v>
      </c>
      <c r="Y385" s="1">
        <v>15.0</v>
      </c>
      <c r="Z385" s="1" t="s">
        <v>53</v>
      </c>
      <c r="AA385" s="1">
        <v>37.0</v>
      </c>
      <c r="AB385" s="1">
        <v>16.0</v>
      </c>
      <c r="AC385" s="1">
        <v>11.0</v>
      </c>
      <c r="AD385" s="1">
        <v>21.0</v>
      </c>
      <c r="AE385" s="1">
        <v>17.0</v>
      </c>
      <c r="AF385" s="1" t="s">
        <v>54</v>
      </c>
      <c r="AG385" s="1">
        <v>36.0</v>
      </c>
      <c r="AH385" s="1">
        <v>15.0</v>
      </c>
      <c r="AI385" s="1">
        <v>7.0</v>
      </c>
      <c r="AJ385" s="1">
        <v>21.0</v>
      </c>
      <c r="AK385" s="1">
        <v>19.0</v>
      </c>
      <c r="AL385" s="1">
        <v>126.0</v>
      </c>
      <c r="AM385" s="1" t="s">
        <v>55</v>
      </c>
      <c r="AN385" s="1">
        <v>50.0</v>
      </c>
      <c r="AO385" s="1">
        <v>50.0</v>
      </c>
      <c r="AP385" s="1" t="s">
        <v>119</v>
      </c>
      <c r="AQ385" s="3" t="str">
        <f>HYPERLINK("https://icf.clappia.com/app/GMB253374/submission/YZH12236770/ICF247370-GMB253374-1c1onnnnf7pbm0000000/SIG-20250702_1157bd0c1.jpeg", "SIG-20250702_1157bd0c1.jpeg")</f>
        <v>SIG-20250702_1157bd0c1.jpeg</v>
      </c>
      <c r="AR385" s="1" t="s">
        <v>120</v>
      </c>
      <c r="AS385" s="3" t="str">
        <f>HYPERLINK("https://icf.clappia.com/app/GMB253374/submission/YZH12236770/ICF247370-GMB253374-3f6phaelceog00000000/SIG-20250702_11581ae61d.jpeg", "SIG-20250702_11581ae61d.jpeg")</f>
        <v>SIG-20250702_11581ae61d.jpeg</v>
      </c>
      <c r="AT385" s="1" t="s">
        <v>2119</v>
      </c>
      <c r="AU385" s="3" t="str">
        <f>HYPERLINK("https://icf.clappia.com/app/GMB253374/submission/YZH12236770/ICF247370-GMB253374-63ma1d39bgog00000000/SIG-20250702_1211mhigb.jpeg", "SIG-20250702_1211mhigb.jpeg")</f>
        <v>SIG-20250702_1211mhigb.jpeg</v>
      </c>
      <c r="AV385" s="3" t="str">
        <f>HYPERLINK("https://www.google.com/maps/place/7.9661416%2C-11.7403431", "7.9661416,-11.7403431")</f>
        <v>7.9661416,-11.7403431</v>
      </c>
    </row>
    <row r="386" ht="15.75" customHeight="1">
      <c r="A386" s="1" t="s">
        <v>2120</v>
      </c>
      <c r="B386" s="1" t="s">
        <v>189</v>
      </c>
      <c r="C386" s="1" t="s">
        <v>2117</v>
      </c>
      <c r="D386" s="1" t="s">
        <v>2117</v>
      </c>
      <c r="E386" s="1" t="s">
        <v>2121</v>
      </c>
      <c r="F386" s="1" t="s">
        <v>49</v>
      </c>
      <c r="G386" s="1">
        <v>75.0</v>
      </c>
      <c r="H386" s="1" t="s">
        <v>50</v>
      </c>
      <c r="I386" s="1">
        <v>20.0</v>
      </c>
      <c r="J386" s="1">
        <v>7.0</v>
      </c>
      <c r="K386" s="1">
        <v>5.0</v>
      </c>
      <c r="L386" s="1">
        <v>13.0</v>
      </c>
      <c r="M386" s="1">
        <v>10.0</v>
      </c>
      <c r="N386" s="1" t="s">
        <v>51</v>
      </c>
      <c r="O386" s="1">
        <v>28.0</v>
      </c>
      <c r="P386" s="1">
        <v>13.0</v>
      </c>
      <c r="Q386" s="1">
        <v>12.0</v>
      </c>
      <c r="R386" s="1">
        <v>15.0</v>
      </c>
      <c r="S386" s="1">
        <v>13.0</v>
      </c>
      <c r="T386" s="1" t="s">
        <v>52</v>
      </c>
      <c r="U386" s="1">
        <v>18.0</v>
      </c>
      <c r="V386" s="1">
        <v>8.0</v>
      </c>
      <c r="W386" s="1">
        <v>8.0</v>
      </c>
      <c r="X386" s="1">
        <v>10.0</v>
      </c>
      <c r="Y386" s="1">
        <v>8.0</v>
      </c>
      <c r="Z386" s="1" t="s">
        <v>53</v>
      </c>
      <c r="AA386" s="1">
        <v>11.0</v>
      </c>
      <c r="AB386" s="1">
        <v>6.0</v>
      </c>
      <c r="AC386" s="1">
        <v>6.0</v>
      </c>
      <c r="AD386" s="1">
        <v>5.0</v>
      </c>
      <c r="AE386" s="1">
        <v>5.0</v>
      </c>
      <c r="AF386" s="1" t="s">
        <v>54</v>
      </c>
      <c r="AG386" s="1">
        <v>8.0</v>
      </c>
      <c r="AH386" s="1">
        <v>2.0</v>
      </c>
      <c r="AI386" s="1">
        <v>2.0</v>
      </c>
      <c r="AJ386" s="1">
        <v>6.0</v>
      </c>
      <c r="AK386" s="1">
        <v>6.0</v>
      </c>
      <c r="AL386" s="1">
        <v>75.0</v>
      </c>
      <c r="AM386" s="1" t="s">
        <v>55</v>
      </c>
      <c r="AN386" s="1" t="s">
        <v>55</v>
      </c>
      <c r="AO386" s="1" t="s">
        <v>55</v>
      </c>
      <c r="AP386" s="1" t="s">
        <v>1187</v>
      </c>
      <c r="AQ386" s="3" t="str">
        <f>HYPERLINK("https://icf.clappia.com/app/GMB253374/submission/KXY69152889/ICF247370-GMB253374-1dn4j9pe1e4o00000000/SIG-20250702_1210go1o5.jpeg", "SIG-20250702_1210go1o5.jpeg")</f>
        <v>SIG-20250702_1210go1o5.jpeg</v>
      </c>
      <c r="AR386" s="1" t="s">
        <v>1188</v>
      </c>
      <c r="AS386" s="3" t="str">
        <f>HYPERLINK("https://icf.clappia.com/app/GMB253374/submission/KXY69152889/ICF247370-GMB253374-3lnib465f5dk00000000/SIG-20250702_1210141gf1.jpeg", "SIG-20250702_1210141gf1.jpeg")</f>
        <v>SIG-20250702_1210141gf1.jpeg</v>
      </c>
      <c r="AT386" s="1" t="s">
        <v>1189</v>
      </c>
      <c r="AU386" s="3" t="str">
        <f>HYPERLINK("https://icf.clappia.com/app/GMB253374/submission/KXY69152889/ICF247370-GMB253374-1bbh10cgb0f2g0000000/SIG-20250702_121015j85j.jpeg", "SIG-20250702_121015j85j.jpeg")</f>
        <v>SIG-20250702_121015j85j.jpeg</v>
      </c>
      <c r="AV386" s="3" t="str">
        <f>HYPERLINK("https://www.google.com/maps/place/8.89562%2C-12.0443683", "8.89562,-12.0443683")</f>
        <v>8.89562,-12.0443683</v>
      </c>
    </row>
    <row r="387" ht="15.75" customHeight="1">
      <c r="A387" s="1" t="s">
        <v>2122</v>
      </c>
      <c r="B387" s="1" t="s">
        <v>81</v>
      </c>
      <c r="C387" s="1" t="s">
        <v>2123</v>
      </c>
      <c r="D387" s="1" t="s">
        <v>2123</v>
      </c>
      <c r="E387" s="1" t="s">
        <v>2124</v>
      </c>
      <c r="F387" s="1" t="s">
        <v>64</v>
      </c>
      <c r="G387" s="1">
        <v>100.0</v>
      </c>
      <c r="H387" s="1" t="s">
        <v>50</v>
      </c>
      <c r="I387" s="1">
        <v>40.0</v>
      </c>
      <c r="J387" s="1">
        <v>20.0</v>
      </c>
      <c r="K387" s="1">
        <v>10.0</v>
      </c>
      <c r="L387" s="1">
        <v>20.0</v>
      </c>
      <c r="M387" s="1">
        <v>10.0</v>
      </c>
      <c r="N387" s="1" t="s">
        <v>51</v>
      </c>
      <c r="O387" s="1">
        <v>40.0</v>
      </c>
      <c r="P387" s="1">
        <v>20.0</v>
      </c>
      <c r="Q387" s="1">
        <v>10.0</v>
      </c>
      <c r="R387" s="1">
        <v>20.0</v>
      </c>
      <c r="S387" s="1" t="s">
        <v>919</v>
      </c>
      <c r="T387" s="1" t="s">
        <v>52</v>
      </c>
      <c r="U387" s="1">
        <v>30.0</v>
      </c>
      <c r="V387" s="1">
        <v>10.0</v>
      </c>
      <c r="W387" s="1">
        <v>10.0</v>
      </c>
      <c r="X387" s="1">
        <v>20.0</v>
      </c>
      <c r="Y387" s="1">
        <v>14.0</v>
      </c>
      <c r="Z387" s="1" t="s">
        <v>53</v>
      </c>
      <c r="AA387" s="1">
        <v>20.0</v>
      </c>
      <c r="AB387" s="1">
        <v>10.0</v>
      </c>
      <c r="AC387" s="1">
        <v>10.0</v>
      </c>
      <c r="AD387" s="1">
        <v>10.0</v>
      </c>
      <c r="AE387" s="1">
        <v>10.0</v>
      </c>
      <c r="AF387" s="1" t="s">
        <v>54</v>
      </c>
      <c r="AG387" s="1">
        <v>20.0</v>
      </c>
      <c r="AH387" s="1">
        <v>10.0</v>
      </c>
      <c r="AI387" s="1">
        <v>5.0</v>
      </c>
      <c r="AJ387" s="1">
        <v>10.0</v>
      </c>
      <c r="AK387" s="1" t="s">
        <v>918</v>
      </c>
      <c r="AL387" s="1">
        <v>95.0</v>
      </c>
      <c r="AM387" s="1" t="s">
        <v>55</v>
      </c>
      <c r="AN387" s="1">
        <v>5.0</v>
      </c>
      <c r="AO387" s="1">
        <v>5.0</v>
      </c>
      <c r="AP387" s="1" t="s">
        <v>2125</v>
      </c>
      <c r="AQ387" s="3" t="str">
        <f>HYPERLINK("https://icf.clappia.com/app/GMB253374/submission/FAI32842177/ICF247370-GMB253374-chgjh16pjj360000000/SIG-20250702_1208n8d2l.jpeg", "SIG-20250702_1208n8d2l.jpeg")</f>
        <v>SIG-20250702_1208n8d2l.jpeg</v>
      </c>
      <c r="AR387" s="1" t="s">
        <v>922</v>
      </c>
      <c r="AS387" s="3" t="str">
        <f>HYPERLINK("https://icf.clappia.com/app/GMB253374/submission/FAI32842177/ICF247370-GMB253374-20g5lgcdccd440000000/SIG-20250702_1206gpmp5.jpeg", "SIG-20250702_1206gpmp5.jpeg")</f>
        <v>SIG-20250702_1206gpmp5.jpeg</v>
      </c>
      <c r="AT387" s="1" t="s">
        <v>2126</v>
      </c>
      <c r="AU387" s="3" t="str">
        <f>HYPERLINK("https://icf.clappia.com/app/GMB253374/submission/FAI32842177/ICF247370-GMB253374-45hmimlp4dae00000000/SIG-20250702_120713694l.jpeg", "SIG-20250702_120713694l.jpeg")</f>
        <v>SIG-20250702_120713694l.jpeg</v>
      </c>
      <c r="AV387" s="3" t="str">
        <f>HYPERLINK("https://www.google.com/maps/place/7.9432732%2C-11.7321682", "7.9432732,-11.7321682")</f>
        <v>7.9432732,-11.7321682</v>
      </c>
    </row>
    <row r="388" ht="15.75" customHeight="1">
      <c r="A388" s="1" t="s">
        <v>2127</v>
      </c>
      <c r="B388" s="1" t="s">
        <v>528</v>
      </c>
      <c r="C388" s="1" t="s">
        <v>2123</v>
      </c>
      <c r="D388" s="1" t="s">
        <v>2123</v>
      </c>
      <c r="E388" s="1" t="s">
        <v>2128</v>
      </c>
      <c r="F388" s="1" t="s">
        <v>64</v>
      </c>
      <c r="G388" s="1">
        <v>209.0</v>
      </c>
      <c r="H388" s="1" t="s">
        <v>50</v>
      </c>
      <c r="I388" s="1">
        <v>76.0</v>
      </c>
      <c r="J388" s="1">
        <v>40.0</v>
      </c>
      <c r="K388" s="1">
        <v>40.0</v>
      </c>
      <c r="L388" s="1">
        <v>36.0</v>
      </c>
      <c r="M388" s="1">
        <v>36.0</v>
      </c>
      <c r="N388" s="1" t="s">
        <v>51</v>
      </c>
      <c r="O388" s="1">
        <v>39.0</v>
      </c>
      <c r="P388" s="1">
        <v>17.0</v>
      </c>
      <c r="Q388" s="1">
        <v>17.0</v>
      </c>
      <c r="R388" s="1">
        <v>22.0</v>
      </c>
      <c r="S388" s="1">
        <v>22.0</v>
      </c>
      <c r="T388" s="1" t="s">
        <v>52</v>
      </c>
      <c r="U388" s="1">
        <v>30.0</v>
      </c>
      <c r="V388" s="1">
        <v>10.0</v>
      </c>
      <c r="W388" s="1">
        <v>10.0</v>
      </c>
      <c r="X388" s="1">
        <v>20.0</v>
      </c>
      <c r="Y388" s="1">
        <v>20.0</v>
      </c>
      <c r="Z388" s="1" t="s">
        <v>53</v>
      </c>
      <c r="AA388" s="1">
        <v>38.0</v>
      </c>
      <c r="AB388" s="1">
        <v>20.0</v>
      </c>
      <c r="AC388" s="1">
        <v>20.0</v>
      </c>
      <c r="AD388" s="1">
        <v>18.0</v>
      </c>
      <c r="AE388" s="1">
        <v>18.0</v>
      </c>
      <c r="AF388" s="1" t="s">
        <v>54</v>
      </c>
      <c r="AG388" s="1">
        <v>26.0</v>
      </c>
      <c r="AH388" s="1">
        <v>16.0</v>
      </c>
      <c r="AI388" s="1">
        <v>16.0</v>
      </c>
      <c r="AJ388" s="1">
        <v>10.0</v>
      </c>
      <c r="AK388" s="1">
        <v>10.0</v>
      </c>
      <c r="AL388" s="1">
        <v>209.0</v>
      </c>
      <c r="AM388" s="1" t="s">
        <v>55</v>
      </c>
      <c r="AN388" s="1" t="s">
        <v>55</v>
      </c>
      <c r="AO388" s="1" t="s">
        <v>55</v>
      </c>
      <c r="AP388" s="1" t="s">
        <v>2129</v>
      </c>
      <c r="AQ388" s="3" t="str">
        <f>HYPERLINK("https://icf.clappia.com/app/GMB253374/submission/MMA50444029/ICF247370-GMB253374-2bm3p9ch157200000000/SIG-20250702_1209oea1e.jpeg", "SIG-20250702_1209oea1e.jpeg")</f>
        <v>SIG-20250702_1209oea1e.jpeg</v>
      </c>
      <c r="AR388" s="1" t="s">
        <v>2130</v>
      </c>
      <c r="AS388" s="3" t="str">
        <f>HYPERLINK("https://icf.clappia.com/app/GMB253374/submission/MMA50444029/ICF247370-GMB253374-e69m101o81i00000000/SIG-20250702_1210i6p75.jpeg", "SIG-20250702_1210i6p75.jpeg")</f>
        <v>SIG-20250702_1210i6p75.jpeg</v>
      </c>
      <c r="AT388" s="1" t="s">
        <v>2131</v>
      </c>
      <c r="AU388" s="3" t="str">
        <f>HYPERLINK("https://icf.clappia.com/app/GMB253374/submission/MMA50444029/ICF247370-GMB253374-5ah7p5hg256800000000/SIG-20250702_12107idba.jpeg", "SIG-20250702_12107idba.jpeg")</f>
        <v>SIG-20250702_12107idba.jpeg</v>
      </c>
      <c r="AV388" s="3" t="str">
        <f>HYPERLINK("https://www.google.com/maps/place/7.7191333%2C-11.7068217", "7.7191333,-11.7068217")</f>
        <v>7.7191333,-11.7068217</v>
      </c>
    </row>
    <row r="389" ht="15.75" customHeight="1">
      <c r="A389" s="1" t="s">
        <v>2132</v>
      </c>
      <c r="B389" s="1" t="s">
        <v>69</v>
      </c>
      <c r="C389" s="1" t="s">
        <v>2133</v>
      </c>
      <c r="D389" s="1" t="s">
        <v>2133</v>
      </c>
      <c r="E389" s="1" t="s">
        <v>2134</v>
      </c>
      <c r="F389" s="1" t="s">
        <v>64</v>
      </c>
      <c r="G389" s="1">
        <v>250.0</v>
      </c>
      <c r="H389" s="1" t="s">
        <v>50</v>
      </c>
      <c r="I389" s="1">
        <v>71.0</v>
      </c>
      <c r="J389" s="1">
        <v>37.0</v>
      </c>
      <c r="K389" s="1">
        <v>37.0</v>
      </c>
      <c r="L389" s="1">
        <v>34.0</v>
      </c>
      <c r="M389" s="1">
        <v>34.0</v>
      </c>
      <c r="N389" s="1" t="s">
        <v>51</v>
      </c>
      <c r="O389" s="1">
        <v>46.0</v>
      </c>
      <c r="P389" s="1">
        <v>19.0</v>
      </c>
      <c r="Q389" s="1">
        <v>19.0</v>
      </c>
      <c r="R389" s="1">
        <v>27.0</v>
      </c>
      <c r="S389" s="1">
        <v>27.0</v>
      </c>
      <c r="T389" s="1" t="s">
        <v>52</v>
      </c>
      <c r="U389" s="1">
        <v>43.0</v>
      </c>
      <c r="V389" s="1">
        <v>20.0</v>
      </c>
      <c r="W389" s="1">
        <v>20.0</v>
      </c>
      <c r="X389" s="1">
        <v>23.0</v>
      </c>
      <c r="Y389" s="1">
        <v>23.0</v>
      </c>
      <c r="Z389" s="1" t="s">
        <v>53</v>
      </c>
      <c r="AA389" s="1">
        <v>50.0</v>
      </c>
      <c r="AB389" s="1">
        <v>20.0</v>
      </c>
      <c r="AC389" s="1">
        <v>20.0</v>
      </c>
      <c r="AD389" s="1">
        <v>30.0</v>
      </c>
      <c r="AE389" s="1">
        <v>30.0</v>
      </c>
      <c r="AF389" s="1" t="s">
        <v>54</v>
      </c>
      <c r="AG389" s="1">
        <v>40.0</v>
      </c>
      <c r="AH389" s="1">
        <v>19.0</v>
      </c>
      <c r="AI389" s="1">
        <v>19.0</v>
      </c>
      <c r="AJ389" s="1">
        <v>21.0</v>
      </c>
      <c r="AK389" s="1">
        <v>21.0</v>
      </c>
      <c r="AL389" s="1">
        <v>250.0</v>
      </c>
      <c r="AM389" s="1" t="s">
        <v>55</v>
      </c>
      <c r="AN389" s="1" t="s">
        <v>55</v>
      </c>
      <c r="AO389" s="1" t="s">
        <v>55</v>
      </c>
      <c r="AP389" s="1" t="s">
        <v>2135</v>
      </c>
      <c r="AQ389" s="3" t="str">
        <f>HYPERLINK("https://icf.clappia.com/app/GMB253374/submission/LRO94196358/ICF247370-GMB253374-201gd57mgpba80000000/SIG-20250701_1225185agb.jpeg", "SIG-20250701_1225185agb.jpeg")</f>
        <v>SIG-20250701_1225185agb.jpeg</v>
      </c>
      <c r="AR389" s="1" t="s">
        <v>2136</v>
      </c>
      <c r="AS389" s="3" t="str">
        <f>HYPERLINK("https://icf.clappia.com/app/GMB253374/submission/LRO94196358/ICF247370-GMB253374-45ccdjphida800000000/SIG-20250701_1225o1no0.jpeg", "SIG-20250701_1225o1no0.jpeg")</f>
        <v>SIG-20250701_1225o1no0.jpeg</v>
      </c>
      <c r="AT389" s="1" t="s">
        <v>2137</v>
      </c>
      <c r="AU389" s="3" t="str">
        <f>HYPERLINK("https://icf.clappia.com/app/GMB253374/submission/LRO94196358/ICF247370-GMB253374-48ko1b9oi2o000000000/SIG-20250701_1226go8j5.jpeg", "SIG-20250701_1226go8j5.jpeg")</f>
        <v>SIG-20250701_1226go8j5.jpeg</v>
      </c>
      <c r="AV389" s="3" t="str">
        <f>HYPERLINK("https://www.google.com/maps/place/8.89343%2C-12.08068", "8.89343,-12.08068")</f>
        <v>8.89343,-12.08068</v>
      </c>
    </row>
    <row r="390" ht="15.75" customHeight="1">
      <c r="A390" s="1" t="s">
        <v>2138</v>
      </c>
      <c r="B390" s="1" t="s">
        <v>161</v>
      </c>
      <c r="C390" s="1" t="s">
        <v>2139</v>
      </c>
      <c r="D390" s="1" t="s">
        <v>2139</v>
      </c>
      <c r="E390" s="1" t="s">
        <v>2140</v>
      </c>
      <c r="F390" s="1" t="s">
        <v>49</v>
      </c>
      <c r="G390" s="1">
        <v>65.0</v>
      </c>
      <c r="H390" s="1" t="s">
        <v>50</v>
      </c>
      <c r="I390" s="1">
        <v>19.0</v>
      </c>
      <c r="J390" s="1">
        <v>11.0</v>
      </c>
      <c r="K390" s="1">
        <v>6.0</v>
      </c>
      <c r="L390" s="1">
        <v>8.0</v>
      </c>
      <c r="M390" s="1">
        <v>5.0</v>
      </c>
      <c r="N390" s="1" t="s">
        <v>51</v>
      </c>
      <c r="O390" s="1">
        <v>11.0</v>
      </c>
      <c r="P390" s="1">
        <v>6.0</v>
      </c>
      <c r="Q390" s="1" t="s">
        <v>55</v>
      </c>
      <c r="R390" s="1">
        <v>5.0</v>
      </c>
      <c r="S390" s="1">
        <v>5.0</v>
      </c>
      <c r="T390" s="1" t="s">
        <v>52</v>
      </c>
      <c r="U390" s="1">
        <v>12.0</v>
      </c>
      <c r="V390" s="1">
        <v>8.0</v>
      </c>
      <c r="W390" s="1">
        <v>3.0</v>
      </c>
      <c r="X390" s="1">
        <v>4.0</v>
      </c>
      <c r="Y390" s="1">
        <v>1.0</v>
      </c>
      <c r="Z390" s="1" t="s">
        <v>53</v>
      </c>
      <c r="AA390" s="1">
        <v>9.0</v>
      </c>
      <c r="AB390" s="1">
        <v>4.0</v>
      </c>
      <c r="AC390" s="1">
        <v>1.0</v>
      </c>
      <c r="AD390" s="1">
        <v>5.0</v>
      </c>
      <c r="AE390" s="1">
        <v>4.0</v>
      </c>
      <c r="AF390" s="1" t="s">
        <v>54</v>
      </c>
      <c r="AG390" s="1">
        <v>14.0</v>
      </c>
      <c r="AH390" s="1">
        <v>10.0</v>
      </c>
      <c r="AI390" s="1">
        <v>4.0</v>
      </c>
      <c r="AJ390" s="1">
        <v>4.0</v>
      </c>
      <c r="AK390" s="1">
        <v>4.0</v>
      </c>
      <c r="AL390" s="1">
        <v>33.0</v>
      </c>
      <c r="AM390" s="1">
        <v>10.0</v>
      </c>
      <c r="AN390" s="1">
        <v>22.0</v>
      </c>
      <c r="AO390" s="1">
        <v>22.0</v>
      </c>
      <c r="AP390" s="1" t="s">
        <v>886</v>
      </c>
      <c r="AQ390" s="3" t="str">
        <f>HYPERLINK("https://icf.clappia.com/app/GMB253374/submission/YUJ31066569/ICF247370-GMB253374-1ml251bgdg1e00000000/SIG-20250702_1205jfai3.jpeg", "SIG-20250702_1205jfai3.jpeg")</f>
        <v>SIG-20250702_1205jfai3.jpeg</v>
      </c>
      <c r="AR390" s="1" t="s">
        <v>887</v>
      </c>
      <c r="AS390" s="3" t="str">
        <f>HYPERLINK("https://icf.clappia.com/app/GMB253374/submission/YUJ31066569/ICF247370-GMB253374-o84dhn9i72ac0000000/SIG-20250702_1206idkm8.jpeg", "SIG-20250702_1206idkm8.jpeg")</f>
        <v>SIG-20250702_1206idkm8.jpeg</v>
      </c>
      <c r="AT390" s="1" t="s">
        <v>165</v>
      </c>
      <c r="AU390" s="3" t="str">
        <f>HYPERLINK("https://icf.clappia.com/app/GMB253374/submission/YUJ31066569/ICF247370-GMB253374-45pjlm13137800000000/SIG-20250702_1207hmne1.jpeg", "SIG-20250702_1207hmne1.jpeg")</f>
        <v>SIG-20250702_1207hmne1.jpeg</v>
      </c>
      <c r="AV390" s="3" t="str">
        <f>HYPERLINK("https://www.google.com/maps/place/7.9434637%2C-11.6855879", "7.9434637,-11.6855879")</f>
        <v>7.9434637,-11.6855879</v>
      </c>
    </row>
    <row r="391" ht="15.75" customHeight="1">
      <c r="A391" s="1" t="s">
        <v>2141</v>
      </c>
      <c r="B391" s="1" t="s">
        <v>167</v>
      </c>
      <c r="C391" s="1" t="s">
        <v>2142</v>
      </c>
      <c r="D391" s="1" t="s">
        <v>2142</v>
      </c>
      <c r="E391" s="1" t="s">
        <v>2143</v>
      </c>
      <c r="F391" s="1" t="s">
        <v>64</v>
      </c>
      <c r="G391" s="1">
        <v>250.0</v>
      </c>
      <c r="H391" s="1" t="s">
        <v>50</v>
      </c>
      <c r="I391" s="1">
        <v>54.0</v>
      </c>
      <c r="J391" s="1">
        <v>28.0</v>
      </c>
      <c r="K391" s="1">
        <v>27.0</v>
      </c>
      <c r="L391" s="1">
        <v>26.0</v>
      </c>
      <c r="M391" s="1">
        <v>24.0</v>
      </c>
      <c r="N391" s="1" t="s">
        <v>51</v>
      </c>
      <c r="O391" s="1">
        <v>30.0</v>
      </c>
      <c r="P391" s="1">
        <v>9.0</v>
      </c>
      <c r="Q391" s="1">
        <v>9.0</v>
      </c>
      <c r="R391" s="1">
        <v>14.0</v>
      </c>
      <c r="S391" s="1">
        <v>8.0</v>
      </c>
      <c r="T391" s="1" t="s">
        <v>52</v>
      </c>
      <c r="U391" s="1">
        <v>29.0</v>
      </c>
      <c r="V391" s="1">
        <v>14.0</v>
      </c>
      <c r="W391" s="1">
        <v>8.0</v>
      </c>
      <c r="X391" s="1">
        <v>15.0</v>
      </c>
      <c r="Y391" s="1">
        <v>5.0</v>
      </c>
      <c r="Z391" s="1" t="s">
        <v>53</v>
      </c>
      <c r="AA391" s="1">
        <v>36.0</v>
      </c>
      <c r="AB391" s="1">
        <v>9.0</v>
      </c>
      <c r="AC391" s="1">
        <v>9.0</v>
      </c>
      <c r="AD391" s="1">
        <v>18.0</v>
      </c>
      <c r="AE391" s="1">
        <v>3.0</v>
      </c>
      <c r="AF391" s="1" t="s">
        <v>54</v>
      </c>
      <c r="AG391" s="1">
        <v>27.0</v>
      </c>
      <c r="AH391" s="1">
        <v>5.0</v>
      </c>
      <c r="AI391" s="1">
        <v>5.0</v>
      </c>
      <c r="AJ391" s="1">
        <v>13.0</v>
      </c>
      <c r="AK391" s="1">
        <v>13.0</v>
      </c>
      <c r="AL391" s="1">
        <v>111.0</v>
      </c>
      <c r="AM391" s="1" t="s">
        <v>55</v>
      </c>
      <c r="AN391" s="1">
        <v>139.0</v>
      </c>
      <c r="AO391" s="1">
        <v>139.0</v>
      </c>
      <c r="AP391" s="1" t="s">
        <v>818</v>
      </c>
      <c r="AQ391" s="3" t="str">
        <f>HYPERLINK("https://icf.clappia.com/app/GMB253374/submission/ORT20733565/ICF247370-GMB253374-3omkn36j342i00000000/SIG-20250702_1203h4chl.jpeg", "SIG-20250702_1203h4chl.jpeg")</f>
        <v>SIG-20250702_1203h4chl.jpeg</v>
      </c>
      <c r="AR391" s="1" t="s">
        <v>2144</v>
      </c>
      <c r="AS391" s="3" t="str">
        <f>HYPERLINK("https://icf.clappia.com/app/GMB253374/submission/ORT20733565/ICF247370-GMB253374-4elcngiega1000000000/SIG-20250702_12052nc04.jpeg", "SIG-20250702_12052nc04.jpeg")</f>
        <v>SIG-20250702_12052nc04.jpeg</v>
      </c>
      <c r="AT391" s="1" t="s">
        <v>2145</v>
      </c>
      <c r="AU391" s="3" t="str">
        <f>HYPERLINK("https://icf.clappia.com/app/GMB253374/submission/ORT20733565/ICF247370-GMB253374-kclo22hd4mak0000000/SIG-20250702_120510ch63.jpeg", "SIG-20250702_120510ch63.jpeg")</f>
        <v>SIG-20250702_120510ch63.jpeg</v>
      </c>
      <c r="AV391" s="3" t="str">
        <f>HYPERLINK("https://www.google.com/maps/place/7.8852287%2C-11.785319", "7.8852287,-11.785319")</f>
        <v>7.8852287,-11.785319</v>
      </c>
    </row>
    <row r="392" ht="15.75" customHeight="1">
      <c r="A392" s="1" t="s">
        <v>2146</v>
      </c>
      <c r="B392" s="1" t="s">
        <v>189</v>
      </c>
      <c r="C392" s="1" t="s">
        <v>2142</v>
      </c>
      <c r="D392" s="1" t="s">
        <v>2142</v>
      </c>
      <c r="E392" s="1" t="s">
        <v>2147</v>
      </c>
      <c r="F392" s="1" t="s">
        <v>64</v>
      </c>
      <c r="G392" s="1">
        <v>300.0</v>
      </c>
      <c r="H392" s="1" t="s">
        <v>50</v>
      </c>
      <c r="I392" s="1">
        <v>64.0</v>
      </c>
      <c r="J392" s="1">
        <v>27.0</v>
      </c>
      <c r="K392" s="1">
        <v>25.0</v>
      </c>
      <c r="L392" s="1">
        <v>37.0</v>
      </c>
      <c r="M392" s="1">
        <v>36.0</v>
      </c>
      <c r="N392" s="1" t="s">
        <v>51</v>
      </c>
      <c r="O392" s="1">
        <v>64.0</v>
      </c>
      <c r="P392" s="1">
        <v>37.0</v>
      </c>
      <c r="Q392" s="1">
        <v>30.0</v>
      </c>
      <c r="R392" s="1">
        <v>27.0</v>
      </c>
      <c r="S392" s="1">
        <v>22.0</v>
      </c>
      <c r="T392" s="1" t="s">
        <v>52</v>
      </c>
      <c r="U392" s="1">
        <v>80.0</v>
      </c>
      <c r="V392" s="1">
        <v>29.0</v>
      </c>
      <c r="W392" s="1">
        <v>25.0</v>
      </c>
      <c r="X392" s="1">
        <v>51.0</v>
      </c>
      <c r="Y392" s="1">
        <v>41.0</v>
      </c>
      <c r="Z392" s="1" t="s">
        <v>53</v>
      </c>
      <c r="AA392" s="1">
        <v>73.0</v>
      </c>
      <c r="AB392" s="1">
        <v>33.0</v>
      </c>
      <c r="AC392" s="1">
        <v>30.0</v>
      </c>
      <c r="AD392" s="1">
        <v>40.0</v>
      </c>
      <c r="AE392" s="1">
        <v>30.0</v>
      </c>
      <c r="AF392" s="1" t="s">
        <v>54</v>
      </c>
      <c r="AG392" s="1">
        <v>80.0</v>
      </c>
      <c r="AH392" s="1">
        <v>29.0</v>
      </c>
      <c r="AI392" s="1">
        <v>28.0</v>
      </c>
      <c r="AJ392" s="1">
        <v>51.0</v>
      </c>
      <c r="AK392" s="1">
        <v>33.0</v>
      </c>
      <c r="AL392" s="1">
        <v>300.0</v>
      </c>
      <c r="AM392" s="1" t="s">
        <v>55</v>
      </c>
      <c r="AN392" s="1" t="s">
        <v>55</v>
      </c>
      <c r="AO392" s="1" t="s">
        <v>55</v>
      </c>
      <c r="AP392" s="1" t="s">
        <v>324</v>
      </c>
      <c r="AQ392" s="3" t="str">
        <f>HYPERLINK("https://icf.clappia.com/app/GMB253374/submission/BWS55328839/ICF247370-GMB253374-693j32173bg400000000/SIG-20250702_115615bnp5.jpeg", "SIG-20250702_115615bnp5.jpeg")</f>
        <v>SIG-20250702_115615bnp5.jpeg</v>
      </c>
      <c r="AR392" s="1" t="s">
        <v>326</v>
      </c>
      <c r="AS392" s="3" t="str">
        <f>HYPERLINK("https://icf.clappia.com/app/GMB253374/submission/BWS55328839/ICF247370-GMB253374-4f8fgik1f7nk00000000/SIG-20250702_1156gmd7a.jpeg", "SIG-20250702_1156gmd7a.jpeg")</f>
        <v>SIG-20250702_1156gmd7a.jpeg</v>
      </c>
      <c r="AT392" s="1" t="s">
        <v>325</v>
      </c>
      <c r="AU392" s="3" t="str">
        <f>HYPERLINK("https://icf.clappia.com/app/GMB253374/submission/BWS55328839/ICF247370-GMB253374-1h41f69bnpjao0000000/SIG-20250702_1156l4a8i.jpeg", "SIG-20250702_1156l4a8i.jpeg")</f>
        <v>SIG-20250702_1156l4a8i.jpeg</v>
      </c>
      <c r="AV392" s="3" t="str">
        <f>HYPERLINK("https://www.google.com/maps/place/8.8963624%2C-12.0316671", "8.8963624,-12.0316671")</f>
        <v>8.8963624,-12.0316671</v>
      </c>
    </row>
    <row r="393" ht="15.75" customHeight="1">
      <c r="A393" s="1" t="s">
        <v>2148</v>
      </c>
      <c r="B393" s="1" t="s">
        <v>349</v>
      </c>
      <c r="C393" s="1" t="s">
        <v>2149</v>
      </c>
      <c r="D393" s="1" t="s">
        <v>2149</v>
      </c>
      <c r="E393" s="1" t="s">
        <v>2150</v>
      </c>
      <c r="F393" s="1" t="s">
        <v>64</v>
      </c>
      <c r="G393" s="1">
        <v>414.0</v>
      </c>
      <c r="H393" s="1" t="s">
        <v>50</v>
      </c>
      <c r="I393" s="1">
        <v>63.0</v>
      </c>
      <c r="J393" s="1">
        <v>33.0</v>
      </c>
      <c r="K393" s="1">
        <v>33.0</v>
      </c>
      <c r="L393" s="1">
        <v>30.0</v>
      </c>
      <c r="M393" s="1">
        <v>30.0</v>
      </c>
      <c r="N393" s="1" t="s">
        <v>51</v>
      </c>
      <c r="O393" s="1">
        <v>70.0</v>
      </c>
      <c r="P393" s="1">
        <v>34.0</v>
      </c>
      <c r="Q393" s="1">
        <v>34.0</v>
      </c>
      <c r="R393" s="1">
        <v>36.0</v>
      </c>
      <c r="S393" s="1">
        <v>36.0</v>
      </c>
      <c r="T393" s="1" t="s">
        <v>52</v>
      </c>
      <c r="U393" s="1">
        <v>67.0</v>
      </c>
      <c r="V393" s="1">
        <v>37.0</v>
      </c>
      <c r="W393" s="1">
        <v>37.0</v>
      </c>
      <c r="X393" s="1">
        <v>30.0</v>
      </c>
      <c r="Y393" s="1">
        <v>30.0</v>
      </c>
      <c r="Z393" s="1" t="s">
        <v>53</v>
      </c>
      <c r="AA393" s="1">
        <v>69.0</v>
      </c>
      <c r="AB393" s="1">
        <v>34.0</v>
      </c>
      <c r="AC393" s="1">
        <v>34.0</v>
      </c>
      <c r="AD393" s="1">
        <v>35.0</v>
      </c>
      <c r="AE393" s="1">
        <v>35.0</v>
      </c>
      <c r="AF393" s="1" t="s">
        <v>54</v>
      </c>
      <c r="AG393" s="1">
        <v>71.0</v>
      </c>
      <c r="AH393" s="1">
        <v>37.0</v>
      </c>
      <c r="AI393" s="1">
        <v>37.0</v>
      </c>
      <c r="AJ393" s="1">
        <v>34.0</v>
      </c>
      <c r="AK393" s="1">
        <v>34.0</v>
      </c>
      <c r="AL393" s="1">
        <v>340.0</v>
      </c>
      <c r="AM393" s="1" t="s">
        <v>55</v>
      </c>
      <c r="AN393" s="1">
        <v>74.0</v>
      </c>
      <c r="AO393" s="1">
        <v>74.0</v>
      </c>
      <c r="AP393" s="1" t="s">
        <v>2151</v>
      </c>
      <c r="AQ393" s="3" t="str">
        <f>HYPERLINK("https://icf.clappia.com/app/GMB253374/submission/VMM18530147/ICF247370-GMB253374-69l7c1pho2m400000000/SIG-20250701_1218kgoee.jpeg", "SIG-20250701_1218kgoee.jpeg")</f>
        <v>SIG-20250701_1218kgoee.jpeg</v>
      </c>
      <c r="AR393" s="1" t="s">
        <v>2152</v>
      </c>
      <c r="AS393" s="3" t="str">
        <f>HYPERLINK("https://icf.clappia.com/app/GMB253374/submission/VMM18530147/ICF247370-GMB253374-265a9j55l5c0o0000000/SIG-20250701_1218161p1g.jpeg", "SIG-20250701_1218161p1g.jpeg")</f>
        <v>SIG-20250701_1218161p1g.jpeg</v>
      </c>
      <c r="AT393" s="1" t="s">
        <v>2153</v>
      </c>
      <c r="AU393" s="3" t="str">
        <f>HYPERLINK("https://icf.clappia.com/app/GMB253374/submission/VMM18530147/ICF247370-GMB253374-26j58i68g7kei0000000/SIG-20250701_1241155ohg.jpeg", "SIG-20250701_1241155ohg.jpeg")</f>
        <v>SIG-20250701_1241155ohg.jpeg</v>
      </c>
      <c r="AV393" s="3" t="str">
        <f>HYPERLINK("https://www.google.com/maps/place/8.9505233%2C-11.98024", "8.9505233,-11.98024")</f>
        <v>8.9505233,-11.98024</v>
      </c>
    </row>
    <row r="394" ht="15.75" customHeight="1">
      <c r="A394" s="1" t="s">
        <v>2154</v>
      </c>
      <c r="B394" s="1" t="s">
        <v>438</v>
      </c>
      <c r="C394" s="1" t="s">
        <v>2149</v>
      </c>
      <c r="D394" s="1" t="s">
        <v>2149</v>
      </c>
      <c r="E394" s="1" t="s">
        <v>2155</v>
      </c>
      <c r="F394" s="1" t="s">
        <v>64</v>
      </c>
      <c r="G394" s="1">
        <v>150.0</v>
      </c>
      <c r="H394" s="1" t="s">
        <v>50</v>
      </c>
      <c r="I394" s="1">
        <v>93.0</v>
      </c>
      <c r="J394" s="1">
        <v>55.0</v>
      </c>
      <c r="K394" s="1">
        <v>55.0</v>
      </c>
      <c r="L394" s="1">
        <v>38.0</v>
      </c>
      <c r="M394" s="1">
        <v>18.0</v>
      </c>
      <c r="N394" s="1" t="s">
        <v>51</v>
      </c>
      <c r="O394" s="1">
        <v>85.0</v>
      </c>
      <c r="P394" s="1">
        <v>32.0</v>
      </c>
      <c r="Q394" s="1">
        <v>22.0</v>
      </c>
      <c r="R394" s="1">
        <v>53.0</v>
      </c>
      <c r="S394" s="1">
        <v>34.0</v>
      </c>
      <c r="T394" s="1" t="s">
        <v>52</v>
      </c>
      <c r="U394" s="1" t="s">
        <v>55</v>
      </c>
      <c r="V394" s="1" t="s">
        <v>55</v>
      </c>
      <c r="W394" s="1" t="s">
        <v>55</v>
      </c>
      <c r="X394" s="1" t="s">
        <v>55</v>
      </c>
      <c r="Y394" s="1" t="s">
        <v>55</v>
      </c>
      <c r="Z394" s="1" t="s">
        <v>53</v>
      </c>
      <c r="AA394" s="1" t="s">
        <v>55</v>
      </c>
      <c r="AB394" s="1" t="s">
        <v>55</v>
      </c>
      <c r="AC394" s="1" t="s">
        <v>55</v>
      </c>
      <c r="AD394" s="1" t="s">
        <v>55</v>
      </c>
      <c r="AE394" s="1" t="s">
        <v>55</v>
      </c>
      <c r="AF394" s="1" t="s">
        <v>54</v>
      </c>
      <c r="AG394" s="1" t="s">
        <v>55</v>
      </c>
      <c r="AH394" s="1" t="s">
        <v>55</v>
      </c>
      <c r="AI394" s="1" t="s">
        <v>55</v>
      </c>
      <c r="AJ394" s="1" t="s">
        <v>55</v>
      </c>
      <c r="AK394" s="1" t="s">
        <v>55</v>
      </c>
      <c r="AL394" s="1">
        <v>129.0</v>
      </c>
      <c r="AM394" s="1">
        <v>10.0</v>
      </c>
      <c r="AN394" s="1">
        <v>11.0</v>
      </c>
      <c r="AO394" s="1">
        <v>11.0</v>
      </c>
      <c r="AP394" s="1" t="s">
        <v>2156</v>
      </c>
      <c r="AQ394" s="3" t="str">
        <f>HYPERLINK("https://icf.clappia.com/app/GMB253374/submission/QAT69805752/ICF247370-GMB253374-3hg5hf760j2a00000000/SIG-20250702_1107247hn.jpeg", "SIG-20250702_1107247hn.jpeg")</f>
        <v>SIG-20250702_1107247hn.jpeg</v>
      </c>
      <c r="AR394" s="1" t="s">
        <v>2157</v>
      </c>
      <c r="AS394" s="3" t="str">
        <f>HYPERLINK("https://icf.clappia.com/app/GMB253374/submission/QAT69805752/ICF247370-GMB253374-8c20aje8md1a0000000/SIG-20250702_1107pb094.jpeg", "SIG-20250702_1107pb094.jpeg")</f>
        <v>SIG-20250702_1107pb094.jpeg</v>
      </c>
      <c r="AT394" s="1" t="s">
        <v>2158</v>
      </c>
      <c r="AU394" s="3" t="str">
        <f>HYPERLINK("https://icf.clappia.com/app/GMB253374/submission/QAT69805752/ICF247370-GMB253374-2ig32bmkb61800000000/SIG-20250702_1109ihc6h.jpeg", "SIG-20250702_1109ihc6h.jpeg")</f>
        <v>SIG-20250702_1109ihc6h.jpeg</v>
      </c>
      <c r="AV394" s="3" t="str">
        <f>HYPERLINK("https://www.google.com/maps/place/7.55181%2C-11.8690783", "7.55181,-11.8690783")</f>
        <v>7.55181,-11.8690783</v>
      </c>
    </row>
    <row r="395" ht="15.75" customHeight="1">
      <c r="A395" s="1" t="s">
        <v>2159</v>
      </c>
      <c r="B395" s="1" t="s">
        <v>335</v>
      </c>
      <c r="C395" s="1" t="s">
        <v>2160</v>
      </c>
      <c r="D395" s="1" t="s">
        <v>2161</v>
      </c>
      <c r="E395" s="1" t="s">
        <v>2162</v>
      </c>
      <c r="F395" s="1" t="s">
        <v>64</v>
      </c>
      <c r="G395" s="1">
        <v>100.0</v>
      </c>
      <c r="H395" s="1" t="s">
        <v>50</v>
      </c>
      <c r="I395" s="1">
        <v>21.0</v>
      </c>
      <c r="J395" s="1">
        <v>11.0</v>
      </c>
      <c r="K395" s="1">
        <v>8.0</v>
      </c>
      <c r="L395" s="1">
        <v>10.0</v>
      </c>
      <c r="M395" s="1">
        <v>9.0</v>
      </c>
      <c r="N395" s="1" t="s">
        <v>51</v>
      </c>
      <c r="O395" s="1">
        <v>23.0</v>
      </c>
      <c r="P395" s="1">
        <v>11.0</v>
      </c>
      <c r="Q395" s="1">
        <v>9.0</v>
      </c>
      <c r="R395" s="1">
        <v>12.0</v>
      </c>
      <c r="S395" s="1">
        <v>9.0</v>
      </c>
      <c r="T395" s="1" t="s">
        <v>52</v>
      </c>
      <c r="U395" s="1">
        <v>15.0</v>
      </c>
      <c r="V395" s="1">
        <v>5.0</v>
      </c>
      <c r="W395" s="1">
        <v>2.0</v>
      </c>
      <c r="X395" s="1">
        <v>10.0</v>
      </c>
      <c r="Y395" s="1">
        <v>8.0</v>
      </c>
      <c r="Z395" s="1" t="s">
        <v>53</v>
      </c>
      <c r="AA395" s="1">
        <v>17.0</v>
      </c>
      <c r="AB395" s="1">
        <v>8.0</v>
      </c>
      <c r="AC395" s="1">
        <v>8.0</v>
      </c>
      <c r="AD395" s="1">
        <v>9.0</v>
      </c>
      <c r="AE395" s="1">
        <v>7.0</v>
      </c>
      <c r="AF395" s="1" t="s">
        <v>54</v>
      </c>
      <c r="AG395" s="1">
        <v>17.0</v>
      </c>
      <c r="AH395" s="1">
        <v>8.0</v>
      </c>
      <c r="AI395" s="1">
        <v>6.0</v>
      </c>
      <c r="AJ395" s="1">
        <v>9.0</v>
      </c>
      <c r="AK395" s="1">
        <v>6.0</v>
      </c>
      <c r="AL395" s="1">
        <v>72.0</v>
      </c>
      <c r="AM395" s="1">
        <v>10.0</v>
      </c>
      <c r="AN395" s="1">
        <v>18.0</v>
      </c>
      <c r="AO395" s="1">
        <v>18.0</v>
      </c>
      <c r="AP395" s="1" t="s">
        <v>2163</v>
      </c>
      <c r="AQ395" s="3" t="str">
        <f>HYPERLINK("https://icf.clappia.com/app/GMB253374/submission/JLC75350684/ICF247370-GMB253374-5c6kbm3ol8og00000000/SIG-20250702_12021bje1.jpeg", "SIG-20250702_12021bje1.jpeg")</f>
        <v>SIG-20250702_12021bje1.jpeg</v>
      </c>
      <c r="AR395" s="1" t="s">
        <v>2164</v>
      </c>
      <c r="AS395" s="3" t="str">
        <f>HYPERLINK("https://icf.clappia.com/app/GMB253374/submission/JLC75350684/ICF247370-GMB253374-f6jh3jaogoko0000000/SIG-20250702_1203m73gl.jpeg", "SIG-20250702_1203m73gl.jpeg")</f>
        <v>SIG-20250702_1203m73gl.jpeg</v>
      </c>
      <c r="AT395" s="1" t="s">
        <v>2165</v>
      </c>
      <c r="AU395" s="3" t="str">
        <f>HYPERLINK("https://icf.clappia.com/app/GMB253374/submission/JLC75350684/ICF247370-GMB253374-2pjgfn8og0bg00000000/SIG-20250702_12043fkh3.jpeg", "SIG-20250702_12043fkh3.jpeg")</f>
        <v>SIG-20250702_12043fkh3.jpeg</v>
      </c>
      <c r="AV395" s="3" t="str">
        <f>HYPERLINK("https://www.google.com/maps/place/8.1787017%2C-11.5512467", "8.1787017,-11.5512467")</f>
        <v>8.1787017,-11.5512467</v>
      </c>
    </row>
    <row r="396" ht="15.75" customHeight="1">
      <c r="A396" s="1" t="s">
        <v>2166</v>
      </c>
      <c r="B396" s="1" t="s">
        <v>778</v>
      </c>
      <c r="C396" s="1" t="s">
        <v>2160</v>
      </c>
      <c r="D396" s="1" t="s">
        <v>2160</v>
      </c>
      <c r="E396" s="1" t="s">
        <v>2167</v>
      </c>
      <c r="F396" s="1" t="s">
        <v>64</v>
      </c>
      <c r="G396" s="1">
        <v>248.0</v>
      </c>
      <c r="H396" s="1" t="s">
        <v>50</v>
      </c>
      <c r="I396" s="1">
        <v>46.0</v>
      </c>
      <c r="J396" s="1">
        <v>22.0</v>
      </c>
      <c r="K396" s="1">
        <v>22.0</v>
      </c>
      <c r="L396" s="1">
        <v>24.0</v>
      </c>
      <c r="M396" s="1">
        <v>24.0</v>
      </c>
      <c r="N396" s="1" t="s">
        <v>51</v>
      </c>
      <c r="O396" s="1">
        <v>45.0</v>
      </c>
      <c r="P396" s="1">
        <v>20.0</v>
      </c>
      <c r="Q396" s="1">
        <v>20.0</v>
      </c>
      <c r="R396" s="1">
        <v>25.0</v>
      </c>
      <c r="S396" s="1">
        <v>25.0</v>
      </c>
      <c r="T396" s="1" t="s">
        <v>52</v>
      </c>
      <c r="U396" s="1">
        <v>49.0</v>
      </c>
      <c r="V396" s="1">
        <v>23.0</v>
      </c>
      <c r="W396" s="1">
        <v>22.0</v>
      </c>
      <c r="X396" s="1">
        <v>26.0</v>
      </c>
      <c r="Y396" s="1">
        <v>26.0</v>
      </c>
      <c r="Z396" s="1" t="s">
        <v>53</v>
      </c>
      <c r="AA396" s="1">
        <v>48.0</v>
      </c>
      <c r="AB396" s="1">
        <v>23.0</v>
      </c>
      <c r="AC396" s="1">
        <v>22.0</v>
      </c>
      <c r="AD396" s="1">
        <v>25.0</v>
      </c>
      <c r="AE396" s="1">
        <v>25.0</v>
      </c>
      <c r="AF396" s="1" t="s">
        <v>54</v>
      </c>
      <c r="AG396" s="1">
        <v>60.0</v>
      </c>
      <c r="AH396" s="1">
        <v>27.0</v>
      </c>
      <c r="AI396" s="1">
        <v>22.0</v>
      </c>
      <c r="AJ396" s="1">
        <v>33.0</v>
      </c>
      <c r="AK396" s="1">
        <v>33.0</v>
      </c>
      <c r="AL396" s="1">
        <v>241.0</v>
      </c>
      <c r="AM396" s="1" t="s">
        <v>55</v>
      </c>
      <c r="AN396" s="1">
        <v>7.0</v>
      </c>
      <c r="AO396" s="1">
        <v>7.0</v>
      </c>
      <c r="AP396" s="1" t="s">
        <v>2168</v>
      </c>
      <c r="AQ396" s="3" t="str">
        <f>HYPERLINK("https://icf.clappia.com/app/GMB253374/submission/XSW26625235/ICF247370-GMB253374-233cbh1obgeae0000000/SIG-20250702_12041906p5.jpeg", "SIG-20250702_12041906p5.jpeg")</f>
        <v>SIG-20250702_12041906p5.jpeg</v>
      </c>
      <c r="AR396" s="1" t="s">
        <v>2169</v>
      </c>
      <c r="AS396" s="3" t="str">
        <f>HYPERLINK("https://icf.clappia.com/app/GMB253374/submission/XSW26625235/ICF247370-GMB253374-jn41mk6jc0480000000/SIG-20250702_120411m99n.jpeg", "SIG-20250702_120411m99n.jpeg")</f>
        <v>SIG-20250702_120411m99n.jpeg</v>
      </c>
      <c r="AT396" s="1" t="s">
        <v>2170</v>
      </c>
      <c r="AU396" s="3" t="str">
        <f>HYPERLINK("https://icf.clappia.com/app/GMB253374/submission/XSW26625235/ICF247370-GMB253374-631ia4o4b6go00000000/SIG-20250702_120318pbjn.jpeg", "SIG-20250702_120318pbjn.jpeg")</f>
        <v>SIG-20250702_120318pbjn.jpeg</v>
      </c>
      <c r="AV396" s="3" t="str">
        <f>HYPERLINK("https://www.google.com/maps/place/7.7113679%2C-11.6942437", "7.7113679,-11.6942437")</f>
        <v>7.7113679,-11.6942437</v>
      </c>
    </row>
    <row r="397" ht="15.75" customHeight="1">
      <c r="A397" s="1" t="s">
        <v>2171</v>
      </c>
      <c r="B397" s="1" t="s">
        <v>189</v>
      </c>
      <c r="C397" s="1" t="s">
        <v>2172</v>
      </c>
      <c r="D397" s="1" t="s">
        <v>2172</v>
      </c>
      <c r="E397" s="1" t="s">
        <v>2173</v>
      </c>
      <c r="F397" s="1" t="s">
        <v>49</v>
      </c>
      <c r="G397" s="1">
        <v>96.0</v>
      </c>
      <c r="H397" s="1" t="s">
        <v>50</v>
      </c>
      <c r="I397" s="1">
        <v>27.0</v>
      </c>
      <c r="J397" s="1">
        <v>10.0</v>
      </c>
      <c r="K397" s="1">
        <v>10.0</v>
      </c>
      <c r="L397" s="1">
        <v>17.0</v>
      </c>
      <c r="M397" s="1">
        <v>17.0</v>
      </c>
      <c r="N397" s="1" t="s">
        <v>51</v>
      </c>
      <c r="O397" s="1">
        <v>24.0</v>
      </c>
      <c r="P397" s="1">
        <v>11.0</v>
      </c>
      <c r="Q397" s="1">
        <v>9.0</v>
      </c>
      <c r="R397" s="1">
        <v>13.0</v>
      </c>
      <c r="S397" s="1">
        <v>12.0</v>
      </c>
      <c r="T397" s="1" t="s">
        <v>52</v>
      </c>
      <c r="U397" s="1">
        <v>23.0</v>
      </c>
      <c r="V397" s="1">
        <v>7.0</v>
      </c>
      <c r="W397" s="1">
        <v>7.0</v>
      </c>
      <c r="X397" s="1">
        <v>15.0</v>
      </c>
      <c r="Y397" s="1">
        <v>13.0</v>
      </c>
      <c r="Z397" s="1" t="s">
        <v>53</v>
      </c>
      <c r="AA397" s="1">
        <v>20.0</v>
      </c>
      <c r="AB397" s="1">
        <v>9.0</v>
      </c>
      <c r="AC397" s="1">
        <v>8.0</v>
      </c>
      <c r="AD397" s="1">
        <v>11.0</v>
      </c>
      <c r="AE397" s="1">
        <v>10.0</v>
      </c>
      <c r="AF397" s="1" t="s">
        <v>54</v>
      </c>
      <c r="AG397" s="1">
        <v>20.0</v>
      </c>
      <c r="AH397" s="1">
        <v>8.0</v>
      </c>
      <c r="AI397" s="1">
        <v>4.0</v>
      </c>
      <c r="AJ397" s="1">
        <v>12.0</v>
      </c>
      <c r="AK397" s="1">
        <v>4.0</v>
      </c>
      <c r="AL397" s="1">
        <v>94.0</v>
      </c>
      <c r="AM397" s="1">
        <v>2.0</v>
      </c>
      <c r="AN397" s="1" t="s">
        <v>55</v>
      </c>
      <c r="AO397" s="1" t="s">
        <v>55</v>
      </c>
      <c r="AP397" s="1" t="s">
        <v>2174</v>
      </c>
      <c r="AQ397" s="3" t="str">
        <f>HYPERLINK("https://icf.clappia.com/app/GMB253374/submission/PUX20601556/ICF247370-GMB253374-15mm995eoj05m0000000/SIG-20250702_11465080a.jpeg", "SIG-20250702_11465080a.jpeg")</f>
        <v>SIG-20250702_11465080a.jpeg</v>
      </c>
      <c r="AR397" s="1" t="s">
        <v>2175</v>
      </c>
      <c r="AS397" s="3" t="str">
        <f>HYPERLINK("https://icf.clappia.com/app/GMB253374/submission/PUX20601556/ICF247370-GMB253374-3g71m7if148i00000000/SIG-20250702_1149h95p0.jpeg", "SIG-20250702_1149h95p0.jpeg")</f>
        <v>SIG-20250702_1149h95p0.jpeg</v>
      </c>
      <c r="AT397" s="1" t="s">
        <v>2176</v>
      </c>
      <c r="AU397" s="3" t="str">
        <f>HYPERLINK("https://icf.clappia.com/app/GMB253374/submission/PUX20601556/ICF247370-GMB253374-31ggimf15c0a00000000/SIG-20250702_1148892d9.jpeg", "SIG-20250702_1148892d9.jpeg")</f>
        <v>SIG-20250702_1148892d9.jpeg</v>
      </c>
      <c r="AV397" s="3" t="str">
        <f>HYPERLINK("https://www.google.com/maps/place/8.8692552%2C-12.0327378", "8.8692552,-12.0327378")</f>
        <v>8.8692552,-12.0327378</v>
      </c>
    </row>
    <row r="398" ht="15.75" customHeight="1">
      <c r="A398" s="1" t="s">
        <v>2177</v>
      </c>
      <c r="B398" s="1" t="s">
        <v>167</v>
      </c>
      <c r="C398" s="1" t="s">
        <v>2172</v>
      </c>
      <c r="D398" s="1" t="s">
        <v>2172</v>
      </c>
      <c r="E398" s="1" t="s">
        <v>2178</v>
      </c>
      <c r="F398" s="1" t="s">
        <v>64</v>
      </c>
      <c r="G398" s="1">
        <v>150.0</v>
      </c>
      <c r="H398" s="1" t="s">
        <v>50</v>
      </c>
      <c r="I398" s="1">
        <v>38.0</v>
      </c>
      <c r="J398" s="1">
        <v>15.0</v>
      </c>
      <c r="K398" s="1">
        <v>14.0</v>
      </c>
      <c r="L398" s="1">
        <v>23.0</v>
      </c>
      <c r="M398" s="1">
        <v>8.0</v>
      </c>
      <c r="N398" s="1" t="s">
        <v>51</v>
      </c>
      <c r="O398" s="1">
        <v>31.0</v>
      </c>
      <c r="P398" s="1">
        <v>11.0</v>
      </c>
      <c r="Q398" s="1">
        <v>6.0</v>
      </c>
      <c r="R398" s="1">
        <v>20.0</v>
      </c>
      <c r="S398" s="1">
        <v>11.0</v>
      </c>
      <c r="T398" s="1" t="s">
        <v>52</v>
      </c>
      <c r="U398" s="1">
        <v>24.0</v>
      </c>
      <c r="V398" s="1">
        <v>11.0</v>
      </c>
      <c r="W398" s="1">
        <v>7.0</v>
      </c>
      <c r="X398" s="1">
        <v>13.0</v>
      </c>
      <c r="Y398" s="1">
        <v>6.0</v>
      </c>
      <c r="Z398" s="1" t="s">
        <v>53</v>
      </c>
      <c r="AA398" s="1">
        <v>20.0</v>
      </c>
      <c r="AB398" s="1">
        <v>9.0</v>
      </c>
      <c r="AC398" s="1">
        <v>6.0</v>
      </c>
      <c r="AD398" s="1">
        <v>11.0</v>
      </c>
      <c r="AE398" s="1">
        <v>3.0</v>
      </c>
      <c r="AF398" s="1" t="s">
        <v>54</v>
      </c>
      <c r="AG398" s="1">
        <v>16.0</v>
      </c>
      <c r="AH398" s="1">
        <v>10.0</v>
      </c>
      <c r="AI398" s="1">
        <v>4.0</v>
      </c>
      <c r="AJ398" s="1">
        <v>6.0</v>
      </c>
      <c r="AK398" s="1">
        <v>3.0</v>
      </c>
      <c r="AL398" s="1">
        <v>68.0</v>
      </c>
      <c r="AM398" s="1" t="s">
        <v>55</v>
      </c>
      <c r="AN398" s="1">
        <v>82.0</v>
      </c>
      <c r="AO398" s="1">
        <v>82.0</v>
      </c>
      <c r="AP398" s="1" t="s">
        <v>2179</v>
      </c>
      <c r="AQ398" s="3" t="str">
        <f>HYPERLINK("https://icf.clappia.com/app/GMB253374/submission/RHB67137991/ICF247370-GMB253374-279acl3f6ojpg0000000/SIG-20250702_1119nbm9m.jpeg", "SIG-20250702_1119nbm9m.jpeg")</f>
        <v>SIG-20250702_1119nbm9m.jpeg</v>
      </c>
      <c r="AR398" s="1" t="s">
        <v>2180</v>
      </c>
      <c r="AS398" s="3" t="str">
        <f>HYPERLINK("https://icf.clappia.com/app/GMB253374/submission/RHB67137991/ICF247370-GMB253374-pilk31npklck0000000/SIG-20250702_115712kdd8.jpeg", "SIG-20250702_115712kdd8.jpeg")</f>
        <v>SIG-20250702_115712kdd8.jpeg</v>
      </c>
      <c r="AT398" s="1" t="s">
        <v>790</v>
      </c>
      <c r="AU398" s="3" t="str">
        <f>HYPERLINK("https://icf.clappia.com/app/GMB253374/submission/RHB67137991/ICF247370-GMB253374-ainakcj31ioo0000000/SIG-20250702_1119123572.jpeg", "SIG-20250702_1119123572.jpeg")</f>
        <v>SIG-20250702_1119123572.jpeg</v>
      </c>
      <c r="AV398" s="3" t="str">
        <f>HYPERLINK("https://www.google.com/maps/place/7.7266526%2C-11.9071741", "7.7266526,-11.9071741")</f>
        <v>7.7266526,-11.9071741</v>
      </c>
    </row>
    <row r="399" ht="15.75" customHeight="1">
      <c r="A399" s="1" t="s">
        <v>2181</v>
      </c>
      <c r="B399" s="1" t="s">
        <v>167</v>
      </c>
      <c r="C399" s="1" t="s">
        <v>2182</v>
      </c>
      <c r="D399" s="1" t="s">
        <v>2183</v>
      </c>
      <c r="E399" s="1" t="s">
        <v>2184</v>
      </c>
      <c r="F399" s="1" t="s">
        <v>64</v>
      </c>
      <c r="G399" s="1">
        <v>250.0</v>
      </c>
      <c r="H399" s="1" t="s">
        <v>50</v>
      </c>
      <c r="I399" s="1">
        <v>59.0</v>
      </c>
      <c r="J399" s="1">
        <v>30.0</v>
      </c>
      <c r="K399" s="1">
        <v>29.0</v>
      </c>
      <c r="L399" s="1">
        <v>29.0</v>
      </c>
      <c r="M399" s="1">
        <v>25.0</v>
      </c>
      <c r="N399" s="1" t="s">
        <v>51</v>
      </c>
      <c r="O399" s="1">
        <v>27.0</v>
      </c>
      <c r="P399" s="1">
        <v>13.0</v>
      </c>
      <c r="Q399" s="1">
        <v>13.0</v>
      </c>
      <c r="R399" s="1">
        <v>14.0</v>
      </c>
      <c r="S399" s="1">
        <v>14.0</v>
      </c>
      <c r="T399" s="1" t="s">
        <v>52</v>
      </c>
      <c r="U399" s="1">
        <v>32.0</v>
      </c>
      <c r="V399" s="1">
        <v>17.0</v>
      </c>
      <c r="W399" s="1">
        <v>16.0</v>
      </c>
      <c r="X399" s="1">
        <v>15.0</v>
      </c>
      <c r="Y399" s="1">
        <v>14.0</v>
      </c>
      <c r="Z399" s="1" t="s">
        <v>53</v>
      </c>
      <c r="AA399" s="1">
        <v>33.0</v>
      </c>
      <c r="AB399" s="1">
        <v>20.0</v>
      </c>
      <c r="AC399" s="1">
        <v>5.0</v>
      </c>
      <c r="AD399" s="1">
        <v>13.0</v>
      </c>
      <c r="AE399" s="1">
        <v>2.0</v>
      </c>
      <c r="AF399" s="1" t="s">
        <v>54</v>
      </c>
      <c r="AG399" s="1">
        <v>26.0</v>
      </c>
      <c r="AH399" s="1">
        <v>14.0</v>
      </c>
      <c r="AI399" s="1">
        <v>9.0</v>
      </c>
      <c r="AJ399" s="1">
        <v>12.0</v>
      </c>
      <c r="AK399" s="1">
        <v>11.0</v>
      </c>
      <c r="AL399" s="1">
        <v>138.0</v>
      </c>
      <c r="AM399" s="1" t="s">
        <v>55</v>
      </c>
      <c r="AN399" s="1">
        <v>112.0</v>
      </c>
      <c r="AO399" s="1">
        <v>112.0</v>
      </c>
      <c r="AP399" s="1" t="s">
        <v>2179</v>
      </c>
      <c r="AQ399" s="3" t="str">
        <f>HYPERLINK("https://icf.clappia.com/app/GMB253374/submission/YTF87173425/ICF247370-GMB253374-4mjedi9jff4000000000/SIG-20250701_1139m18j3.jpeg", "SIG-20250701_1139m18j3.jpeg")</f>
        <v>SIG-20250701_1139m18j3.jpeg</v>
      </c>
      <c r="AR399" s="1" t="s">
        <v>2180</v>
      </c>
      <c r="AS399" s="3" t="str">
        <f>HYPERLINK("https://icf.clappia.com/app/GMB253374/submission/YTF87173425/ICF247370-GMB253374-4gaiak6pel3k00000000/SIG-20250701_1140o2i57.jpeg", "SIG-20250701_1140o2i57.jpeg")</f>
        <v>SIG-20250701_1140o2i57.jpeg</v>
      </c>
      <c r="AT399" s="1" t="s">
        <v>790</v>
      </c>
      <c r="AU399" s="3" t="str">
        <f>HYPERLINK("https://icf.clappia.com/app/GMB253374/submission/YTF87173425/ICF247370-GMB253374-3ook0c5h787a00000000/SIG-20250701_114120eaf.jpeg", "SIG-20250701_114120eaf.jpeg")</f>
        <v>SIG-20250701_114120eaf.jpeg</v>
      </c>
      <c r="AV399" s="3" t="str">
        <f>HYPERLINK("https://www.google.com/maps/place/7.7935033%2C-11.8299883", "7.7935033,-11.8299883")</f>
        <v>7.7935033,-11.8299883</v>
      </c>
    </row>
    <row r="400" ht="15.75" customHeight="1">
      <c r="A400" s="1" t="s">
        <v>2185</v>
      </c>
      <c r="B400" s="1" t="s">
        <v>2054</v>
      </c>
      <c r="C400" s="1" t="s">
        <v>2186</v>
      </c>
      <c r="D400" s="1" t="s">
        <v>2183</v>
      </c>
      <c r="E400" s="1" t="s">
        <v>2187</v>
      </c>
      <c r="F400" s="1" t="s">
        <v>64</v>
      </c>
      <c r="G400" s="1">
        <v>40.0</v>
      </c>
      <c r="H400" s="1" t="s">
        <v>50</v>
      </c>
      <c r="I400" s="1">
        <v>20.0</v>
      </c>
      <c r="J400" s="1">
        <v>9.0</v>
      </c>
      <c r="K400" s="1">
        <v>7.0</v>
      </c>
      <c r="L400" s="1">
        <v>10.0</v>
      </c>
      <c r="M400" s="1">
        <v>8.0</v>
      </c>
      <c r="N400" s="1" t="s">
        <v>51</v>
      </c>
      <c r="O400" s="1">
        <v>11.0</v>
      </c>
      <c r="P400" s="1">
        <v>6.0</v>
      </c>
      <c r="Q400" s="1">
        <v>6.0</v>
      </c>
      <c r="R400" s="1">
        <v>5.0</v>
      </c>
      <c r="S400" s="1">
        <v>5.0</v>
      </c>
      <c r="T400" s="1" t="s">
        <v>52</v>
      </c>
      <c r="U400" s="1">
        <v>9.0</v>
      </c>
      <c r="V400" s="1">
        <v>4.0</v>
      </c>
      <c r="W400" s="1">
        <v>2.0</v>
      </c>
      <c r="X400" s="1">
        <v>5.0</v>
      </c>
      <c r="Y400" s="1">
        <v>2.0</v>
      </c>
      <c r="Z400" s="1" t="s">
        <v>53</v>
      </c>
      <c r="AA400" s="1">
        <v>9.0</v>
      </c>
      <c r="AB400" s="1">
        <v>4.0</v>
      </c>
      <c r="AC400" s="1">
        <v>2.0</v>
      </c>
      <c r="AD400" s="1">
        <v>5.0</v>
      </c>
      <c r="AE400" s="1">
        <v>4.0</v>
      </c>
      <c r="AF400" s="1" t="s">
        <v>54</v>
      </c>
      <c r="AG400" s="1">
        <v>5.0</v>
      </c>
      <c r="AH400" s="1">
        <v>1.0</v>
      </c>
      <c r="AI400" s="1" t="s">
        <v>55</v>
      </c>
      <c r="AJ400" s="1">
        <v>4.0</v>
      </c>
      <c r="AK400" s="1">
        <v>4.0</v>
      </c>
      <c r="AL400" s="1">
        <v>40.0</v>
      </c>
      <c r="AM400" s="1" t="s">
        <v>55</v>
      </c>
      <c r="AN400" s="1" t="s">
        <v>55</v>
      </c>
      <c r="AO400" s="1" t="s">
        <v>55</v>
      </c>
      <c r="AP400" s="1" t="s">
        <v>2188</v>
      </c>
      <c r="AQ400" s="3" t="str">
        <f>HYPERLINK("https://icf.clappia.com/app/GMB253374/submission/WLK77491926/ICF247370-GMB253374-e5hko69m8pa80000000/SIG-20250702_1151181lg5.jpeg", "SIG-20250702_1151181lg5.jpeg")</f>
        <v>SIG-20250702_1151181lg5.jpeg</v>
      </c>
      <c r="AR400" s="1" t="s">
        <v>2189</v>
      </c>
      <c r="AS400" s="3" t="str">
        <f>HYPERLINK("https://icf.clappia.com/app/GMB253374/submission/WLK77491926/ICF247370-GMB253374-4og4bp3ml3ag00000000/SIG-20250702_11521aa5gf.jpeg", "SIG-20250702_11521aa5gf.jpeg")</f>
        <v>SIG-20250702_11521aa5gf.jpeg</v>
      </c>
      <c r="AT400" s="1" t="s">
        <v>2190</v>
      </c>
      <c r="AU400" s="3" t="str">
        <f>HYPERLINK("https://icf.clappia.com/app/GMB253374/submission/WLK77491926/ICF247370-GMB253374-h31me96oe2le0000000/SIG-20250702_1153727c8.jpeg", "SIG-20250702_1153727c8.jpeg")</f>
        <v>SIG-20250702_1153727c8.jpeg</v>
      </c>
      <c r="AV400" s="3" t="str">
        <f>HYPERLINK("https://www.google.com/maps/place/8.216595%2C-11.5152067", "8.216595,-11.5152067")</f>
        <v>8.216595,-11.5152067</v>
      </c>
    </row>
    <row r="401" ht="15.75" customHeight="1">
      <c r="A401" s="1" t="s">
        <v>2191</v>
      </c>
      <c r="B401" s="1" t="s">
        <v>335</v>
      </c>
      <c r="C401" s="1" t="s">
        <v>2192</v>
      </c>
      <c r="D401" s="1" t="s">
        <v>2192</v>
      </c>
      <c r="E401" s="1" t="s">
        <v>2193</v>
      </c>
      <c r="F401" s="1" t="s">
        <v>64</v>
      </c>
      <c r="G401" s="1">
        <v>145.0</v>
      </c>
      <c r="H401" s="1" t="s">
        <v>50</v>
      </c>
      <c r="I401" s="1">
        <v>34.0</v>
      </c>
      <c r="J401" s="1">
        <v>16.0</v>
      </c>
      <c r="K401" s="1">
        <v>16.0</v>
      </c>
      <c r="L401" s="1">
        <v>18.0</v>
      </c>
      <c r="M401" s="1">
        <v>18.0</v>
      </c>
      <c r="N401" s="1" t="s">
        <v>51</v>
      </c>
      <c r="O401" s="1">
        <v>21.0</v>
      </c>
      <c r="P401" s="1">
        <v>7.0</v>
      </c>
      <c r="Q401" s="1">
        <v>7.0</v>
      </c>
      <c r="R401" s="1">
        <v>14.0</v>
      </c>
      <c r="S401" s="1">
        <v>14.0</v>
      </c>
      <c r="T401" s="1" t="s">
        <v>52</v>
      </c>
      <c r="U401" s="1">
        <v>28.0</v>
      </c>
      <c r="V401" s="1">
        <v>16.0</v>
      </c>
      <c r="W401" s="1">
        <v>16.0</v>
      </c>
      <c r="X401" s="1">
        <v>12.0</v>
      </c>
      <c r="Y401" s="1">
        <v>12.0</v>
      </c>
      <c r="Z401" s="1" t="s">
        <v>53</v>
      </c>
      <c r="AA401" s="1">
        <v>14.0</v>
      </c>
      <c r="AB401" s="1">
        <v>8.0</v>
      </c>
      <c r="AC401" s="1">
        <v>8.0</v>
      </c>
      <c r="AD401" s="1">
        <v>6.0</v>
      </c>
      <c r="AE401" s="1">
        <v>6.0</v>
      </c>
      <c r="AF401" s="1" t="s">
        <v>54</v>
      </c>
      <c r="AG401" s="1">
        <v>15.0</v>
      </c>
      <c r="AH401" s="1">
        <v>8.0</v>
      </c>
      <c r="AI401" s="1">
        <v>8.0</v>
      </c>
      <c r="AJ401" s="1">
        <v>7.0</v>
      </c>
      <c r="AK401" s="1">
        <v>7.0</v>
      </c>
      <c r="AL401" s="1">
        <v>112.0</v>
      </c>
      <c r="AM401" s="1">
        <v>0.0</v>
      </c>
      <c r="AN401" s="1">
        <v>33.0</v>
      </c>
      <c r="AO401" s="1">
        <v>33.0</v>
      </c>
      <c r="AP401" s="1" t="s">
        <v>2194</v>
      </c>
      <c r="AQ401" s="3" t="str">
        <f>HYPERLINK("https://icf.clappia.com/app/GMB253374/submission/KWQ59334577/ICF247370-GMB253374-573ji37eg5eg00000000/SIG-20250702_1021dokl3.jpeg", "SIG-20250702_1021dokl3.jpeg")</f>
        <v>SIG-20250702_1021dokl3.jpeg</v>
      </c>
      <c r="AR401" s="1" t="s">
        <v>2195</v>
      </c>
      <c r="AS401" s="3" t="str">
        <f>HYPERLINK("https://icf.clappia.com/app/GMB253374/submission/KWQ59334577/ICF247370-GMB253374-53i4a883en280000000/SIG-20250701_1248176e23.jpeg", "SIG-20250701_1248176e23.jpeg")</f>
        <v>SIG-20250701_1248176e23.jpeg</v>
      </c>
      <c r="AT401" s="1" t="s">
        <v>2196</v>
      </c>
      <c r="AU401" s="3" t="str">
        <f>HYPERLINK("https://icf.clappia.com/app/GMB253374/submission/KWQ59334577/ICF247370-GMB253374-1a28cfn5lmd920000000/SIG-20250701_1250eb6b1.jpeg", "SIG-20250701_1250eb6b1.jpeg")</f>
        <v>SIG-20250701_1250eb6b1.jpeg</v>
      </c>
      <c r="AV401" s="3" t="str">
        <f>HYPERLINK("https://www.google.com/maps/place/8.1274917%2C-11.5752967", "8.1274917,-11.5752967")</f>
        <v>8.1274917,-11.5752967</v>
      </c>
    </row>
    <row r="402" ht="15.75" customHeight="1">
      <c r="A402" s="1" t="s">
        <v>2197</v>
      </c>
      <c r="B402" s="1" t="s">
        <v>81</v>
      </c>
      <c r="C402" s="1" t="s">
        <v>2198</v>
      </c>
      <c r="D402" s="1" t="s">
        <v>2198</v>
      </c>
      <c r="E402" s="1" t="s">
        <v>2199</v>
      </c>
      <c r="F402" s="1" t="s">
        <v>64</v>
      </c>
      <c r="G402" s="1">
        <v>226.0</v>
      </c>
      <c r="H402" s="1" t="s">
        <v>50</v>
      </c>
      <c r="I402" s="1">
        <v>70.0</v>
      </c>
      <c r="J402" s="1">
        <v>42.0</v>
      </c>
      <c r="K402" s="1">
        <v>42.0</v>
      </c>
      <c r="L402" s="1">
        <v>28.0</v>
      </c>
      <c r="M402" s="1">
        <v>28.0</v>
      </c>
      <c r="N402" s="1" t="s">
        <v>51</v>
      </c>
      <c r="O402" s="1">
        <v>76.0</v>
      </c>
      <c r="P402" s="1">
        <v>43.0</v>
      </c>
      <c r="Q402" s="1">
        <v>43.0</v>
      </c>
      <c r="R402" s="1">
        <v>33.0</v>
      </c>
      <c r="S402" s="1">
        <v>33.0</v>
      </c>
      <c r="T402" s="1" t="s">
        <v>52</v>
      </c>
      <c r="U402" s="1">
        <v>73.0</v>
      </c>
      <c r="V402" s="1">
        <v>41.0</v>
      </c>
      <c r="W402" s="1">
        <v>41.0</v>
      </c>
      <c r="X402" s="1">
        <v>32.0</v>
      </c>
      <c r="Y402" s="1">
        <v>32.0</v>
      </c>
      <c r="Z402" s="1" t="s">
        <v>53</v>
      </c>
      <c r="AA402" s="1">
        <v>7.0</v>
      </c>
      <c r="AB402" s="1">
        <v>3.0</v>
      </c>
      <c r="AC402" s="1">
        <v>3.0</v>
      </c>
      <c r="AD402" s="1">
        <v>4.0</v>
      </c>
      <c r="AE402" s="1">
        <v>4.0</v>
      </c>
      <c r="AF402" s="1" t="s">
        <v>54</v>
      </c>
      <c r="AG402" s="1">
        <v>37.0</v>
      </c>
      <c r="AH402" s="1">
        <v>18.0</v>
      </c>
      <c r="AI402" s="1" t="s">
        <v>55</v>
      </c>
      <c r="AJ402" s="1">
        <v>19.0</v>
      </c>
      <c r="AK402" s="1" t="s">
        <v>55</v>
      </c>
      <c r="AL402" s="1">
        <v>226.0</v>
      </c>
      <c r="AM402" s="1" t="s">
        <v>55</v>
      </c>
      <c r="AN402" s="1" t="s">
        <v>55</v>
      </c>
      <c r="AO402" s="1" t="s">
        <v>55</v>
      </c>
      <c r="AP402" s="1" t="s">
        <v>232</v>
      </c>
      <c r="AQ402" s="3" t="str">
        <f>HYPERLINK("https://icf.clappia.com/app/GMB253374/submission/WFP44395381/ICF247370-GMB253374-2ehjklm3knmo00000000/SIG-20250702_11576pc2b.jpeg", "SIG-20250702_11576pc2b.jpeg")</f>
        <v>SIG-20250702_11576pc2b.jpeg</v>
      </c>
      <c r="AR402" s="1" t="s">
        <v>233</v>
      </c>
      <c r="AS402" s="3" t="str">
        <f>HYPERLINK("https://icf.clappia.com/app/GMB253374/submission/WFP44395381/ICF247370-GMB253374-20a1d6ncik41m0000000/SIG-20250702_1157j8jln.jpeg", "SIG-20250702_1157j8jln.jpeg")</f>
        <v>SIG-20250702_1157j8jln.jpeg</v>
      </c>
      <c r="AT402" s="1" t="s">
        <v>234</v>
      </c>
      <c r="AU402" s="3" t="str">
        <f>HYPERLINK("https://icf.clappia.com/app/GMB253374/submission/WFP44395381/ICF247370-GMB253374-ffbjfacfipdi0000000/SIG-20250702_1158c0hf7.jpeg", "SIG-20250702_1158c0hf7.jpeg")</f>
        <v>SIG-20250702_1158c0hf7.jpeg</v>
      </c>
      <c r="AV402" s="3" t="str">
        <f>HYPERLINK("https://www.google.com/maps/place/7.9682561%2C-11.7425012", "7.9682561,-11.7425012")</f>
        <v>7.9682561,-11.7425012</v>
      </c>
    </row>
    <row r="403" ht="15.75" customHeight="1">
      <c r="A403" s="1" t="s">
        <v>2200</v>
      </c>
      <c r="B403" s="1" t="s">
        <v>161</v>
      </c>
      <c r="C403" s="1" t="s">
        <v>2201</v>
      </c>
      <c r="D403" s="1" t="s">
        <v>2201</v>
      </c>
      <c r="E403" s="1" t="s">
        <v>2202</v>
      </c>
      <c r="F403" s="1" t="s">
        <v>64</v>
      </c>
      <c r="G403" s="1">
        <v>85.0</v>
      </c>
      <c r="H403" s="1" t="s">
        <v>50</v>
      </c>
      <c r="I403" s="1">
        <v>65.0</v>
      </c>
      <c r="J403" s="1">
        <v>30.0</v>
      </c>
      <c r="K403" s="1">
        <v>17.0</v>
      </c>
      <c r="L403" s="1">
        <v>35.0</v>
      </c>
      <c r="M403" s="1">
        <v>23.0</v>
      </c>
      <c r="N403" s="1" t="s">
        <v>51</v>
      </c>
      <c r="O403" s="1">
        <v>54.0</v>
      </c>
      <c r="P403" s="1">
        <v>25.0</v>
      </c>
      <c r="Q403" s="1">
        <v>13.0</v>
      </c>
      <c r="R403" s="1">
        <v>29.0</v>
      </c>
      <c r="S403" s="1">
        <v>18.0</v>
      </c>
      <c r="T403" s="1" t="s">
        <v>52</v>
      </c>
      <c r="U403" s="1">
        <v>58.0</v>
      </c>
      <c r="V403" s="1">
        <v>21.0</v>
      </c>
      <c r="W403" s="1" t="s">
        <v>55</v>
      </c>
      <c r="X403" s="1">
        <v>37.0</v>
      </c>
      <c r="Y403" s="1" t="s">
        <v>55</v>
      </c>
      <c r="Z403" s="1" t="s">
        <v>53</v>
      </c>
      <c r="AA403" s="1">
        <v>65.0</v>
      </c>
      <c r="AB403" s="1">
        <v>30.0</v>
      </c>
      <c r="AC403" s="1" t="s">
        <v>55</v>
      </c>
      <c r="AD403" s="1">
        <v>35.0</v>
      </c>
      <c r="AE403" s="1" t="s">
        <v>55</v>
      </c>
      <c r="AF403" s="1" t="s">
        <v>54</v>
      </c>
      <c r="AG403" s="1">
        <v>82.0</v>
      </c>
      <c r="AH403" s="1">
        <v>40.0</v>
      </c>
      <c r="AI403" s="1" t="s">
        <v>55</v>
      </c>
      <c r="AJ403" s="1">
        <v>42.0</v>
      </c>
      <c r="AK403" s="1" t="s">
        <v>55</v>
      </c>
      <c r="AL403" s="1">
        <v>71.0</v>
      </c>
      <c r="AM403" s="1" t="s">
        <v>55</v>
      </c>
      <c r="AN403" s="1">
        <v>14.0</v>
      </c>
      <c r="AO403" s="1">
        <v>14.0</v>
      </c>
      <c r="AP403" s="1" t="s">
        <v>2203</v>
      </c>
      <c r="AQ403" s="3" t="str">
        <f>HYPERLINK("https://icf.clappia.com/app/GMB253374/submission/DAT26577227/ICF247370-GMB253374-699l0n5kfii400000000/SIG-20250702_114216bmo6.jpeg", "SIG-20250702_114216bmo6.jpeg")</f>
        <v>SIG-20250702_114216bmo6.jpeg</v>
      </c>
      <c r="AR403" s="1" t="s">
        <v>2204</v>
      </c>
      <c r="AS403" s="3" t="str">
        <f>HYPERLINK("https://icf.clappia.com/app/GMB253374/submission/DAT26577227/ICF247370-GMB253374-1e2ih6je4hdok0000000/SIG-20250702_1143534ne.jpeg", "SIG-20250702_1143534ne.jpeg")</f>
        <v>SIG-20250702_1143534ne.jpeg</v>
      </c>
      <c r="AT403" s="1" t="s">
        <v>2205</v>
      </c>
      <c r="AU403" s="3" t="str">
        <f>HYPERLINK("https://icf.clappia.com/app/GMB253374/submission/DAT26577227/ICF247370-GMB253374-5e4ipdbbbhgg00000000/SIG-20250702_114327abo.jpeg", "SIG-20250702_114327abo.jpeg")</f>
        <v>SIG-20250702_114327abo.jpeg</v>
      </c>
      <c r="AV403" s="3" t="str">
        <f>HYPERLINK("https://www.google.com/maps/place/7.9238164%2C-11.7208856", "7.9238164,-11.7208856")</f>
        <v>7.9238164,-11.7208856</v>
      </c>
    </row>
    <row r="404" ht="15.75" customHeight="1">
      <c r="A404" s="1" t="s">
        <v>2206</v>
      </c>
      <c r="B404" s="1" t="s">
        <v>69</v>
      </c>
      <c r="C404" s="1" t="s">
        <v>2207</v>
      </c>
      <c r="D404" s="1" t="s">
        <v>2207</v>
      </c>
      <c r="E404" s="1" t="s">
        <v>2208</v>
      </c>
      <c r="F404" s="1" t="s">
        <v>64</v>
      </c>
      <c r="G404" s="1">
        <v>400.0</v>
      </c>
      <c r="H404" s="1" t="s">
        <v>50</v>
      </c>
      <c r="I404" s="1">
        <v>78.0</v>
      </c>
      <c r="J404" s="1">
        <v>46.0</v>
      </c>
      <c r="K404" s="1">
        <v>45.0</v>
      </c>
      <c r="L404" s="1">
        <v>32.0</v>
      </c>
      <c r="M404" s="1">
        <v>31.0</v>
      </c>
      <c r="N404" s="1" t="s">
        <v>51</v>
      </c>
      <c r="O404" s="1">
        <v>79.0</v>
      </c>
      <c r="P404" s="1">
        <v>40.0</v>
      </c>
      <c r="Q404" s="1">
        <v>40.0</v>
      </c>
      <c r="R404" s="1">
        <v>39.0</v>
      </c>
      <c r="S404" s="1">
        <v>38.0</v>
      </c>
      <c r="T404" s="1" t="s">
        <v>52</v>
      </c>
      <c r="U404" s="1">
        <v>65.0</v>
      </c>
      <c r="V404" s="1">
        <v>30.0</v>
      </c>
      <c r="W404" s="1">
        <v>30.0</v>
      </c>
      <c r="X404" s="1">
        <v>35.0</v>
      </c>
      <c r="Y404" s="1">
        <v>34.0</v>
      </c>
      <c r="Z404" s="1" t="s">
        <v>53</v>
      </c>
      <c r="AA404" s="1">
        <v>125.0</v>
      </c>
      <c r="AB404" s="1">
        <v>65.0</v>
      </c>
      <c r="AC404" s="1">
        <v>65.0</v>
      </c>
      <c r="AD404" s="1">
        <v>60.0</v>
      </c>
      <c r="AE404" s="1">
        <v>60.0</v>
      </c>
      <c r="AF404" s="1" t="s">
        <v>54</v>
      </c>
      <c r="AG404" s="1">
        <v>53.0</v>
      </c>
      <c r="AH404" s="1">
        <v>30.0</v>
      </c>
      <c r="AI404" s="1">
        <v>30.0</v>
      </c>
      <c r="AJ404" s="1">
        <v>23.0</v>
      </c>
      <c r="AK404" s="1">
        <v>23.0</v>
      </c>
      <c r="AL404" s="1">
        <v>396.0</v>
      </c>
      <c r="AM404" s="1">
        <v>4.0</v>
      </c>
      <c r="AN404" s="1" t="s">
        <v>55</v>
      </c>
      <c r="AO404" s="1" t="s">
        <v>55</v>
      </c>
      <c r="AP404" s="1" t="s">
        <v>2209</v>
      </c>
      <c r="AQ404" s="3" t="str">
        <f>HYPERLINK("https://icf.clappia.com/app/GMB253374/submission/AYG70457695/ICF247370-GMB253374-50jo3ppgm8mc00000000/SIG-20250702_1147f9fgm.jpeg", "SIG-20250702_1147f9fgm.jpeg")</f>
        <v>SIG-20250702_1147f9fgm.jpeg</v>
      </c>
      <c r="AR404" s="1" t="s">
        <v>2210</v>
      </c>
      <c r="AS404" s="3" t="str">
        <f>HYPERLINK("https://icf.clappia.com/app/GMB253374/submission/AYG70457695/ICF247370-GMB253374-5f8697o4kmog00000000/SIG-20250702_1147174ib8.jpeg", "SIG-20250702_1147174ib8.jpeg")</f>
        <v>SIG-20250702_1147174ib8.jpeg</v>
      </c>
      <c r="AT404" s="1" t="s">
        <v>2211</v>
      </c>
      <c r="AU404" s="3" t="str">
        <f>HYPERLINK("https://icf.clappia.com/app/GMB253374/submission/AYG70457695/ICF247370-GMB253374-6118bnf22hao00000000/SIG-20250702_114952aec.jpeg", "SIG-20250702_114952aec.jpeg")</f>
        <v>SIG-20250702_114952aec.jpeg</v>
      </c>
      <c r="AV404" s="3" t="str">
        <f>HYPERLINK("https://www.google.com/maps/place/8.92187%2C-12.1927467", "8.92187,-12.1927467")</f>
        <v>8.92187,-12.1927467</v>
      </c>
    </row>
    <row r="405" ht="15.75" customHeight="1">
      <c r="A405" s="1" t="s">
        <v>2212</v>
      </c>
      <c r="B405" s="1" t="s">
        <v>60</v>
      </c>
      <c r="C405" s="1" t="s">
        <v>2213</v>
      </c>
      <c r="D405" s="1" t="s">
        <v>2213</v>
      </c>
      <c r="E405" s="1" t="s">
        <v>2214</v>
      </c>
      <c r="F405" s="1" t="s">
        <v>49</v>
      </c>
      <c r="G405" s="1">
        <v>100.0</v>
      </c>
      <c r="H405" s="1" t="s">
        <v>50</v>
      </c>
      <c r="I405" s="1">
        <v>24.0</v>
      </c>
      <c r="J405" s="1">
        <v>6.0</v>
      </c>
      <c r="K405" s="1">
        <v>6.0</v>
      </c>
      <c r="L405" s="1">
        <v>6.0</v>
      </c>
      <c r="M405" s="1">
        <v>6.0</v>
      </c>
      <c r="N405" s="1" t="s">
        <v>51</v>
      </c>
      <c r="O405" s="1">
        <v>30.0</v>
      </c>
      <c r="P405" s="1">
        <v>10.0</v>
      </c>
      <c r="Q405" s="1">
        <v>3.0</v>
      </c>
      <c r="R405" s="1">
        <v>20.0</v>
      </c>
      <c r="S405" s="1">
        <v>7.0</v>
      </c>
      <c r="T405" s="1" t="s">
        <v>52</v>
      </c>
      <c r="U405" s="1">
        <v>30.0</v>
      </c>
      <c r="V405" s="1">
        <v>10.0</v>
      </c>
      <c r="W405" s="1" t="s">
        <v>55</v>
      </c>
      <c r="X405" s="1">
        <v>20.0</v>
      </c>
      <c r="Y405" s="1">
        <v>4.0</v>
      </c>
      <c r="Z405" s="1" t="s">
        <v>53</v>
      </c>
      <c r="AA405" s="1">
        <v>30.0</v>
      </c>
      <c r="AB405" s="1">
        <v>15.0</v>
      </c>
      <c r="AC405" s="1" t="s">
        <v>55</v>
      </c>
      <c r="AD405" s="1">
        <v>15.0</v>
      </c>
      <c r="AE405" s="1">
        <v>3.0</v>
      </c>
      <c r="AF405" s="1" t="s">
        <v>54</v>
      </c>
      <c r="AG405" s="1">
        <v>20.0</v>
      </c>
      <c r="AH405" s="1">
        <v>10.0</v>
      </c>
      <c r="AI405" s="1">
        <v>2.0</v>
      </c>
      <c r="AJ405" s="1">
        <v>10.0</v>
      </c>
      <c r="AK405" s="1">
        <v>3.0</v>
      </c>
      <c r="AL405" s="1">
        <v>34.0</v>
      </c>
      <c r="AM405" s="1" t="s">
        <v>55</v>
      </c>
      <c r="AN405" s="1">
        <v>66.0</v>
      </c>
      <c r="AO405" s="1">
        <v>66.0</v>
      </c>
      <c r="AP405" s="1" t="s">
        <v>2215</v>
      </c>
      <c r="AQ405" s="3" t="str">
        <f>HYPERLINK("https://icf.clappia.com/app/GMB253374/submission/YYM95448940/ICF247370-GMB253374-k9fmm0lgojig0000000/SIG-20250702_1154104oab.jpeg", "SIG-20250702_1154104oab.jpeg")</f>
        <v>SIG-20250702_1154104oab.jpeg</v>
      </c>
      <c r="AR405" s="1" t="s">
        <v>2216</v>
      </c>
      <c r="AS405" s="3" t="str">
        <f>HYPERLINK("https://icf.clappia.com/app/GMB253374/submission/YYM95448940/ICF247370-GMB253374-3l8p4np28apo00000000/SIG-20250702_1155igfk7.jpeg", "SIG-20250702_1155igfk7.jpeg")</f>
        <v>SIG-20250702_1155igfk7.jpeg</v>
      </c>
      <c r="AT405" s="1" t="s">
        <v>2217</v>
      </c>
      <c r="AU405" s="3" t="str">
        <f>HYPERLINK("https://icf.clappia.com/app/GMB253374/submission/YYM95448940/ICF247370-GMB253374-178kdjch5m3fe0000000/SIG-20250702_11563ki8m.jpeg", "SIG-20250702_11563ki8m.jpeg")</f>
        <v>SIG-20250702_11563ki8m.jpeg</v>
      </c>
      <c r="AV405" s="3" t="str">
        <f>HYPERLINK("https://www.google.com/maps/place/8.8882733%2C-12.0661017", "8.8882733,-12.0661017")</f>
        <v>8.8882733,-12.0661017</v>
      </c>
    </row>
    <row r="406" ht="15.75" customHeight="1">
      <c r="A406" s="1" t="s">
        <v>2218</v>
      </c>
      <c r="B406" s="1" t="s">
        <v>60</v>
      </c>
      <c r="C406" s="1" t="s">
        <v>2213</v>
      </c>
      <c r="D406" s="1" t="s">
        <v>2213</v>
      </c>
      <c r="E406" s="1" t="s">
        <v>2219</v>
      </c>
      <c r="F406" s="1" t="s">
        <v>64</v>
      </c>
      <c r="G406" s="1">
        <v>150.0</v>
      </c>
      <c r="H406" s="1" t="s">
        <v>50</v>
      </c>
      <c r="I406" s="1">
        <v>50.0</v>
      </c>
      <c r="J406" s="1">
        <v>21.0</v>
      </c>
      <c r="K406" s="1">
        <v>20.0</v>
      </c>
      <c r="L406" s="1">
        <v>29.0</v>
      </c>
      <c r="M406" s="1">
        <v>28.0</v>
      </c>
      <c r="N406" s="1" t="s">
        <v>51</v>
      </c>
      <c r="O406" s="1">
        <v>30.0</v>
      </c>
      <c r="P406" s="1">
        <v>13.0</v>
      </c>
      <c r="Q406" s="1">
        <v>13.0</v>
      </c>
      <c r="R406" s="1">
        <v>17.0</v>
      </c>
      <c r="S406" s="1">
        <v>17.0</v>
      </c>
      <c r="T406" s="1" t="s">
        <v>52</v>
      </c>
      <c r="U406" s="1">
        <v>20.0</v>
      </c>
      <c r="V406" s="1">
        <v>11.0</v>
      </c>
      <c r="W406" s="1">
        <v>11.0</v>
      </c>
      <c r="X406" s="1">
        <v>9.0</v>
      </c>
      <c r="Y406" s="1">
        <v>9.0</v>
      </c>
      <c r="Z406" s="1" t="s">
        <v>53</v>
      </c>
      <c r="AA406" s="1">
        <v>30.0</v>
      </c>
      <c r="AB406" s="1">
        <v>18.0</v>
      </c>
      <c r="AC406" s="1">
        <v>16.0</v>
      </c>
      <c r="AD406" s="1">
        <v>12.0</v>
      </c>
      <c r="AE406" s="1">
        <v>11.0</v>
      </c>
      <c r="AF406" s="1" t="s">
        <v>54</v>
      </c>
      <c r="AG406" s="1">
        <v>20.0</v>
      </c>
      <c r="AH406" s="1">
        <v>12.0</v>
      </c>
      <c r="AI406" s="1">
        <v>11.0</v>
      </c>
      <c r="AJ406" s="1">
        <v>8.0</v>
      </c>
      <c r="AK406" s="1">
        <v>8.0</v>
      </c>
      <c r="AL406" s="1">
        <v>144.0</v>
      </c>
      <c r="AM406" s="1">
        <v>6.0</v>
      </c>
      <c r="AN406" s="1" t="s">
        <v>55</v>
      </c>
      <c r="AO406" s="1" t="s">
        <v>55</v>
      </c>
      <c r="AP406" s="1" t="s">
        <v>2220</v>
      </c>
      <c r="AQ406" s="3" t="str">
        <f>HYPERLINK("https://icf.clappia.com/app/GMB253374/submission/KDJ44396776/ICF247370-GMB253374-2j7hmgnj68ak00000000/SIG-20250702_11496d60p.jpeg", "SIG-20250702_11496d60p.jpeg")</f>
        <v>SIG-20250702_11496d60p.jpeg</v>
      </c>
      <c r="AR406" s="1" t="s">
        <v>2221</v>
      </c>
      <c r="AS406" s="3" t="str">
        <f>HYPERLINK("https://icf.clappia.com/app/GMB253374/submission/KDJ44396776/ICF247370-GMB253374-4i12ai8f4acg00000000/SIG-20250702_1149h869p.jpeg", "SIG-20250702_1149h869p.jpeg")</f>
        <v>SIG-20250702_1149h869p.jpeg</v>
      </c>
      <c r="AT406" s="1" t="s">
        <v>2222</v>
      </c>
      <c r="AU406" s="3" t="str">
        <f>HYPERLINK("https://icf.clappia.com/app/GMB253374/submission/KDJ44396776/ICF247370-GMB253374-3ia7je3fkp2400000000/SIG-20250702_1154g94nc.jpeg", "SIG-20250702_1154g94nc.jpeg")</f>
        <v>SIG-20250702_1154g94nc.jpeg</v>
      </c>
      <c r="AV406" s="3" t="str">
        <f>HYPERLINK("https://www.google.com/maps/place/9.1610222%2C-12.0559403", "9.1610222,-12.0559403")</f>
        <v>9.1610222,-12.0559403</v>
      </c>
    </row>
    <row r="407" ht="15.75" customHeight="1">
      <c r="A407" s="1" t="s">
        <v>2223</v>
      </c>
      <c r="B407" s="1" t="s">
        <v>161</v>
      </c>
      <c r="C407" s="1" t="s">
        <v>2213</v>
      </c>
      <c r="D407" s="1" t="s">
        <v>2213</v>
      </c>
      <c r="E407" s="1" t="s">
        <v>2224</v>
      </c>
      <c r="F407" s="1" t="s">
        <v>64</v>
      </c>
      <c r="G407" s="1">
        <v>246.0</v>
      </c>
      <c r="H407" s="1" t="s">
        <v>50</v>
      </c>
      <c r="I407" s="1">
        <v>41.0</v>
      </c>
      <c r="J407" s="1">
        <v>20.0</v>
      </c>
      <c r="K407" s="1">
        <v>7.0</v>
      </c>
      <c r="L407" s="1">
        <v>21.0</v>
      </c>
      <c r="M407" s="1">
        <v>6.0</v>
      </c>
      <c r="N407" s="1" t="s">
        <v>51</v>
      </c>
      <c r="O407" s="1">
        <v>25.0</v>
      </c>
      <c r="P407" s="1">
        <v>15.0</v>
      </c>
      <c r="Q407" s="1">
        <v>4.0</v>
      </c>
      <c r="R407" s="1">
        <v>10.0</v>
      </c>
      <c r="S407" s="1">
        <v>3.0</v>
      </c>
      <c r="T407" s="1" t="s">
        <v>52</v>
      </c>
      <c r="U407" s="1">
        <v>38.0</v>
      </c>
      <c r="V407" s="1">
        <v>18.0</v>
      </c>
      <c r="W407" s="1">
        <v>1.0</v>
      </c>
      <c r="X407" s="1">
        <v>20.0</v>
      </c>
      <c r="Y407" s="1">
        <v>2.0</v>
      </c>
      <c r="Z407" s="1" t="s">
        <v>53</v>
      </c>
      <c r="AA407" s="1">
        <v>38.0</v>
      </c>
      <c r="AB407" s="1">
        <v>18.0</v>
      </c>
      <c r="AC407" s="1" t="s">
        <v>55</v>
      </c>
      <c r="AD407" s="1">
        <v>20.0</v>
      </c>
      <c r="AE407" s="1" t="s">
        <v>55</v>
      </c>
      <c r="AF407" s="1" t="s">
        <v>54</v>
      </c>
      <c r="AG407" s="1">
        <v>65.0</v>
      </c>
      <c r="AH407" s="1">
        <v>30.0</v>
      </c>
      <c r="AI407" s="1">
        <v>3.0</v>
      </c>
      <c r="AJ407" s="1">
        <v>35.0</v>
      </c>
      <c r="AK407" s="1">
        <v>5.0</v>
      </c>
      <c r="AL407" s="1">
        <v>31.0</v>
      </c>
      <c r="AM407" s="1" t="s">
        <v>55</v>
      </c>
      <c r="AN407" s="1">
        <v>215.0</v>
      </c>
      <c r="AO407" s="1">
        <v>210.0</v>
      </c>
      <c r="AP407" s="1" t="s">
        <v>824</v>
      </c>
      <c r="AQ407" s="3" t="str">
        <f>HYPERLINK("https://icf.clappia.com/app/GMB253374/submission/FER74499976/ICF247370-GMB253374-3hi8m2a48h6200000000/SIG-20250702_1149122g4n.jpeg", "SIG-20250702_1149122g4n.jpeg")</f>
        <v>SIG-20250702_1149122g4n.jpeg</v>
      </c>
      <c r="AR407" s="1" t="s">
        <v>825</v>
      </c>
      <c r="AS407" s="3" t="str">
        <f>HYPERLINK("https://icf.clappia.com/app/GMB253374/submission/FER74499976/ICF247370-GMB253374-gejk008l9mde0000000/SIG-20250702_1149alo70.jpeg", "SIG-20250702_1149alo70.jpeg")</f>
        <v>SIG-20250702_1149alo70.jpeg</v>
      </c>
      <c r="AT407" s="1" t="s">
        <v>826</v>
      </c>
      <c r="AU407" s="3" t="str">
        <f>HYPERLINK("https://icf.clappia.com/app/GMB253374/submission/FER74499976/ICF247370-GMB253374-6aod7j8j1fli00000000/SIG-20250702_1150h9hlf.jpeg", "SIG-20250702_1150h9hlf.jpeg")</f>
        <v>SIG-20250702_1150h9hlf.jpeg</v>
      </c>
      <c r="AV407" s="3" t="str">
        <f>HYPERLINK("https://www.google.com/maps/place/7.9823983%2C-11.73025", "7.9823983,-11.73025")</f>
        <v>7.9823983,-11.73025</v>
      </c>
    </row>
    <row r="408" ht="15.75" customHeight="1">
      <c r="A408" s="1" t="s">
        <v>2225</v>
      </c>
      <c r="B408" s="1" t="s">
        <v>81</v>
      </c>
      <c r="C408" s="1" t="s">
        <v>2186</v>
      </c>
      <c r="D408" s="1" t="s">
        <v>2186</v>
      </c>
      <c r="E408" s="1" t="s">
        <v>2226</v>
      </c>
      <c r="F408" s="1" t="s">
        <v>64</v>
      </c>
      <c r="G408" s="1">
        <v>150.0</v>
      </c>
      <c r="H408" s="1" t="s">
        <v>50</v>
      </c>
      <c r="I408" s="1">
        <v>126.0</v>
      </c>
      <c r="J408" s="1">
        <v>58.0</v>
      </c>
      <c r="K408" s="1">
        <v>50.0</v>
      </c>
      <c r="L408" s="1">
        <v>68.0</v>
      </c>
      <c r="M408" s="1">
        <v>50.0</v>
      </c>
      <c r="N408" s="1" t="s">
        <v>51</v>
      </c>
      <c r="O408" s="1">
        <v>125.0</v>
      </c>
      <c r="P408" s="1">
        <v>60.0</v>
      </c>
      <c r="Q408" s="1">
        <v>40.0</v>
      </c>
      <c r="R408" s="1">
        <v>65.0</v>
      </c>
      <c r="S408" s="1">
        <v>10.0</v>
      </c>
      <c r="T408" s="1" t="s">
        <v>52</v>
      </c>
      <c r="U408" s="1">
        <v>119.0</v>
      </c>
      <c r="V408" s="1">
        <v>54.0</v>
      </c>
      <c r="W408" s="1" t="s">
        <v>55</v>
      </c>
      <c r="X408" s="1">
        <v>65.0</v>
      </c>
      <c r="Y408" s="1" t="s">
        <v>55</v>
      </c>
      <c r="Z408" s="1" t="s">
        <v>53</v>
      </c>
      <c r="AA408" s="1">
        <v>116.0</v>
      </c>
      <c r="AB408" s="1">
        <v>48.0</v>
      </c>
      <c r="AC408" s="1" t="s">
        <v>55</v>
      </c>
      <c r="AD408" s="1">
        <v>68.0</v>
      </c>
      <c r="AE408" s="1" t="s">
        <v>55</v>
      </c>
      <c r="AF408" s="1" t="s">
        <v>54</v>
      </c>
      <c r="AG408" s="1">
        <v>114.0</v>
      </c>
      <c r="AH408" s="1">
        <v>52.0</v>
      </c>
      <c r="AI408" s="1" t="s">
        <v>55</v>
      </c>
      <c r="AJ408" s="1">
        <v>62.0</v>
      </c>
      <c r="AK408" s="1" t="s">
        <v>55</v>
      </c>
      <c r="AL408" s="1">
        <v>150.0</v>
      </c>
      <c r="AM408" s="1" t="s">
        <v>55</v>
      </c>
      <c r="AN408" s="1" t="s">
        <v>55</v>
      </c>
      <c r="AO408" s="1" t="s">
        <v>55</v>
      </c>
      <c r="AP408" s="1" t="s">
        <v>2227</v>
      </c>
      <c r="AQ408" s="3" t="str">
        <f>HYPERLINK("https://icf.clappia.com/app/GMB253374/submission/NFD91405377/ICF247370-GMB253374-43on0f2kbh2c00000000/SIG-20250702_115318i29l.jpeg", "SIG-20250702_115318i29l.jpeg")</f>
        <v>SIG-20250702_115318i29l.jpeg</v>
      </c>
      <c r="AR408" s="1" t="s">
        <v>951</v>
      </c>
      <c r="AS408" s="3" t="str">
        <f>HYPERLINK("https://icf.clappia.com/app/GMB253374/submission/NFD91405377/ICF247370-GMB253374-1i5c4nn7i3n2o000000/SIG-20250702_11531ec0g.jpeg", "SIG-20250702_11531ec0g.jpeg")</f>
        <v>SIG-20250702_11531ec0g.jpeg</v>
      </c>
      <c r="AT408" s="1" t="s">
        <v>952</v>
      </c>
      <c r="AU408" s="3" t="str">
        <f>HYPERLINK("https://icf.clappia.com/app/GMB253374/submission/NFD91405377/ICF247370-GMB253374-1ep5j5pcdn85m0000000/SIG-20250702_1154194elf.jpeg", "SIG-20250702_1154194elf.jpeg")</f>
        <v>SIG-20250702_1154194elf.jpeg</v>
      </c>
      <c r="AV408" s="3" t="str">
        <f>HYPERLINK("https://www.google.com/maps/place/7.9715799%2C-11.7209166", "7.9715799,-11.7209166")</f>
        <v>7.9715799,-11.7209166</v>
      </c>
    </row>
    <row r="409" ht="15.75" customHeight="1">
      <c r="A409" s="1" t="s">
        <v>2228</v>
      </c>
      <c r="B409" s="1" t="s">
        <v>94</v>
      </c>
      <c r="C409" s="1" t="s">
        <v>2186</v>
      </c>
      <c r="D409" s="1" t="s">
        <v>2186</v>
      </c>
      <c r="E409" s="1" t="s">
        <v>2229</v>
      </c>
      <c r="F409" s="1" t="s">
        <v>64</v>
      </c>
      <c r="G409" s="1">
        <v>385.0</v>
      </c>
      <c r="H409" s="1" t="s">
        <v>50</v>
      </c>
      <c r="I409" s="1">
        <v>60.0</v>
      </c>
      <c r="J409" s="1">
        <v>20.0</v>
      </c>
      <c r="K409" s="1">
        <v>20.0</v>
      </c>
      <c r="L409" s="1">
        <v>40.0</v>
      </c>
      <c r="M409" s="1">
        <v>40.0</v>
      </c>
      <c r="N409" s="1" t="s">
        <v>51</v>
      </c>
      <c r="O409" s="1">
        <v>56.0</v>
      </c>
      <c r="P409" s="1">
        <v>29.0</v>
      </c>
      <c r="Q409" s="1">
        <v>29.0</v>
      </c>
      <c r="R409" s="1">
        <v>27.0</v>
      </c>
      <c r="S409" s="1">
        <v>27.0</v>
      </c>
      <c r="T409" s="1" t="s">
        <v>52</v>
      </c>
      <c r="U409" s="1">
        <v>95.0</v>
      </c>
      <c r="V409" s="1">
        <v>45.0</v>
      </c>
      <c r="W409" s="1">
        <v>45.0</v>
      </c>
      <c r="X409" s="1">
        <v>50.0</v>
      </c>
      <c r="Y409" s="1">
        <v>50.0</v>
      </c>
      <c r="Z409" s="1" t="s">
        <v>53</v>
      </c>
      <c r="AA409" s="1">
        <v>90.0</v>
      </c>
      <c r="AB409" s="1">
        <v>30.0</v>
      </c>
      <c r="AC409" s="1">
        <v>30.0</v>
      </c>
      <c r="AD409" s="1">
        <v>60.0</v>
      </c>
      <c r="AE409" s="1">
        <v>60.0</v>
      </c>
      <c r="AF409" s="1" t="s">
        <v>54</v>
      </c>
      <c r="AG409" s="1">
        <v>90.0</v>
      </c>
      <c r="AH409" s="1">
        <v>40.0</v>
      </c>
      <c r="AI409" s="1">
        <v>40.0</v>
      </c>
      <c r="AJ409" s="1">
        <v>44.0</v>
      </c>
      <c r="AK409" s="1">
        <v>44.0</v>
      </c>
      <c r="AL409" s="1">
        <v>385.0</v>
      </c>
      <c r="AM409" s="1" t="s">
        <v>55</v>
      </c>
      <c r="AN409" s="1" t="s">
        <v>55</v>
      </c>
      <c r="AO409" s="1" t="s">
        <v>55</v>
      </c>
      <c r="AP409" s="1" t="s">
        <v>2230</v>
      </c>
      <c r="AQ409" s="3" t="str">
        <f>HYPERLINK("https://icf.clappia.com/app/GMB253374/submission/PJH76365717/ICF247370-GMB253374-5pi8afbj9n0800000000/SIG-20250702_1152jgh76.jpeg", "SIG-20250702_1152jgh76.jpeg")</f>
        <v>SIG-20250702_1152jgh76.jpeg</v>
      </c>
      <c r="AR409" s="1" t="s">
        <v>2231</v>
      </c>
      <c r="AS409" s="3" t="str">
        <f>HYPERLINK("https://icf.clappia.com/app/GMB253374/submission/PJH76365717/ICF247370-GMB253374-4ej49gnh0b3m00000000/SIG-20250701_1437p5bn.jpeg", "SIG-20250701_1437p5bn.jpeg")</f>
        <v>SIG-20250701_1437p5bn.jpeg</v>
      </c>
      <c r="AT409" s="1" t="s">
        <v>2232</v>
      </c>
      <c r="AU409" s="3" t="str">
        <f>HYPERLINK("https://icf.clappia.com/app/GMB253374/submission/PJH76365717/ICF247370-GMB253374-6gbe6b53b99a0000000/SIG-20250701_1438g7eje.jpeg", "SIG-20250701_1438g7eje.jpeg")</f>
        <v>SIG-20250701_1438g7eje.jpeg</v>
      </c>
      <c r="AV409" s="3" t="str">
        <f>HYPERLINK("https://www.google.com/maps/place/7.6524533%2C-11.963955", "7.6524533,-11.963955")</f>
        <v>7.6524533,-11.963955</v>
      </c>
    </row>
    <row r="410" ht="15.75" customHeight="1">
      <c r="A410" s="1" t="s">
        <v>2233</v>
      </c>
      <c r="B410" s="1" t="s">
        <v>802</v>
      </c>
      <c r="C410" s="1" t="s">
        <v>2234</v>
      </c>
      <c r="D410" s="1" t="s">
        <v>2235</v>
      </c>
      <c r="E410" s="1" t="s">
        <v>2236</v>
      </c>
      <c r="F410" s="1" t="s">
        <v>64</v>
      </c>
      <c r="G410" s="1">
        <v>64.0</v>
      </c>
      <c r="H410" s="1" t="s">
        <v>50</v>
      </c>
      <c r="I410" s="1">
        <v>23.0</v>
      </c>
      <c r="J410" s="1">
        <v>11.0</v>
      </c>
      <c r="K410" s="1">
        <v>11.0</v>
      </c>
      <c r="L410" s="1">
        <v>12.0</v>
      </c>
      <c r="M410" s="1">
        <v>12.0</v>
      </c>
      <c r="N410" s="1" t="s">
        <v>51</v>
      </c>
      <c r="O410" s="1">
        <v>15.0</v>
      </c>
      <c r="P410" s="1">
        <v>9.0</v>
      </c>
      <c r="Q410" s="1">
        <v>9.0</v>
      </c>
      <c r="R410" s="1">
        <v>6.0</v>
      </c>
      <c r="S410" s="1">
        <v>6.0</v>
      </c>
      <c r="T410" s="1" t="s">
        <v>52</v>
      </c>
      <c r="U410" s="1">
        <v>8.0</v>
      </c>
      <c r="V410" s="1">
        <v>6.0</v>
      </c>
      <c r="W410" s="1">
        <v>6.0</v>
      </c>
      <c r="X410" s="1">
        <v>2.0</v>
      </c>
      <c r="Y410" s="1">
        <v>2.0</v>
      </c>
      <c r="Z410" s="1" t="s">
        <v>53</v>
      </c>
      <c r="AA410" s="1">
        <v>8.0</v>
      </c>
      <c r="AB410" s="1">
        <v>2.0</v>
      </c>
      <c r="AC410" s="1">
        <v>2.0</v>
      </c>
      <c r="AD410" s="1">
        <v>6.0</v>
      </c>
      <c r="AE410" s="1">
        <v>6.0</v>
      </c>
      <c r="AF410" s="1" t="s">
        <v>54</v>
      </c>
      <c r="AG410" s="1">
        <v>5.0</v>
      </c>
      <c r="AH410" s="1">
        <v>3.0</v>
      </c>
      <c r="AI410" s="1">
        <v>3.0</v>
      </c>
      <c r="AJ410" s="1">
        <v>2.0</v>
      </c>
      <c r="AK410" s="1">
        <v>2.0</v>
      </c>
      <c r="AL410" s="1">
        <v>59.0</v>
      </c>
      <c r="AM410" s="1">
        <v>5.0</v>
      </c>
      <c r="AN410" s="1" t="s">
        <v>55</v>
      </c>
      <c r="AO410" s="1" t="s">
        <v>55</v>
      </c>
      <c r="AP410" s="1" t="s">
        <v>2237</v>
      </c>
      <c r="AQ410" s="3" t="str">
        <f>HYPERLINK("https://icf.clappia.com/app/GMB253374/submission/VEF37705177/ICF247370-GMB253374-24dmmnj6ojih60000000/SIG-20250702_1059ejkj5.jpeg", "SIG-20250702_1059ejkj5.jpeg")</f>
        <v>SIG-20250702_1059ejkj5.jpeg</v>
      </c>
      <c r="AR410" s="1" t="s">
        <v>2238</v>
      </c>
      <c r="AS410" s="3" t="str">
        <f>HYPERLINK("https://icf.clappia.com/app/GMB253374/submission/VEF37705177/ICF247370-GMB253374-o0g8p5g9n3c40000000/SIG-20250702_105919f48k.jpeg", "SIG-20250702_105919f48k.jpeg")</f>
        <v>SIG-20250702_105919f48k.jpeg</v>
      </c>
      <c r="AT410" s="1" t="s">
        <v>2239</v>
      </c>
      <c r="AU410" s="3" t="str">
        <f>HYPERLINK("https://icf.clappia.com/app/GMB253374/submission/VEF37705177/ICF247370-GMB253374-15d3pg15hlo2k00000/SIG-20250702_1059bmpjj.jpeg", "SIG-20250702_1059bmpjj.jpeg")</f>
        <v>SIG-20250702_1059bmpjj.jpeg</v>
      </c>
      <c r="AV410" s="3" t="str">
        <f>HYPERLINK("https://www.google.com/maps/place/7.8116617%2C-11.4278367", "7.8116617,-11.4278367")</f>
        <v>7.8116617,-11.4278367</v>
      </c>
    </row>
    <row r="411" ht="15.75" customHeight="1">
      <c r="A411" s="1" t="s">
        <v>2240</v>
      </c>
      <c r="B411" s="1" t="s">
        <v>161</v>
      </c>
      <c r="C411" s="1" t="s">
        <v>2241</v>
      </c>
      <c r="D411" s="1" t="s">
        <v>2241</v>
      </c>
      <c r="E411" s="1" t="s">
        <v>2242</v>
      </c>
      <c r="F411" s="1" t="s">
        <v>49</v>
      </c>
      <c r="G411" s="1">
        <v>209.0</v>
      </c>
      <c r="H411" s="1" t="s">
        <v>50</v>
      </c>
      <c r="I411" s="1">
        <v>49.0</v>
      </c>
      <c r="J411" s="1">
        <v>20.0</v>
      </c>
      <c r="K411" s="1">
        <v>20.0</v>
      </c>
      <c r="L411" s="1">
        <v>29.0</v>
      </c>
      <c r="M411" s="1">
        <v>29.0</v>
      </c>
      <c r="N411" s="1" t="s">
        <v>51</v>
      </c>
      <c r="O411" s="1">
        <v>38.0</v>
      </c>
      <c r="P411" s="1">
        <v>20.0</v>
      </c>
      <c r="Q411" s="1">
        <v>20.0</v>
      </c>
      <c r="R411" s="1">
        <v>18.0</v>
      </c>
      <c r="S411" s="1">
        <v>18.0</v>
      </c>
      <c r="T411" s="1" t="s">
        <v>52</v>
      </c>
      <c r="U411" s="1">
        <v>40.0</v>
      </c>
      <c r="V411" s="1">
        <v>18.0</v>
      </c>
      <c r="W411" s="1">
        <v>18.0</v>
      </c>
      <c r="X411" s="1">
        <v>22.0</v>
      </c>
      <c r="Y411" s="1">
        <v>22.0</v>
      </c>
      <c r="Z411" s="1" t="s">
        <v>53</v>
      </c>
      <c r="AA411" s="1">
        <v>40.0</v>
      </c>
      <c r="AB411" s="1">
        <v>20.0</v>
      </c>
      <c r="AC411" s="1">
        <v>20.0</v>
      </c>
      <c r="AD411" s="1">
        <v>20.0</v>
      </c>
      <c r="AE411" s="1">
        <v>20.0</v>
      </c>
      <c r="AF411" s="1" t="s">
        <v>54</v>
      </c>
      <c r="AG411" s="1">
        <v>42.0</v>
      </c>
      <c r="AH411" s="1">
        <v>20.0</v>
      </c>
      <c r="AI411" s="1">
        <v>20.0</v>
      </c>
      <c r="AJ411" s="1">
        <v>22.0</v>
      </c>
      <c r="AK411" s="1">
        <v>22.0</v>
      </c>
      <c r="AL411" s="1">
        <v>209.0</v>
      </c>
      <c r="AM411" s="1" t="s">
        <v>55</v>
      </c>
      <c r="AN411" s="1" t="s">
        <v>55</v>
      </c>
      <c r="AO411" s="1" t="s">
        <v>55</v>
      </c>
      <c r="AP411" s="1" t="s">
        <v>667</v>
      </c>
      <c r="AQ411" s="3" t="str">
        <f>HYPERLINK("https://icf.clappia.com/app/GMB253374/submission/BBT98403672/ICF247370-GMB253374-5abakdbpg0kc00000000/SIG-20250702_1145ephmg.jpeg", "SIG-20250702_1145ephmg.jpeg")</f>
        <v>SIG-20250702_1145ephmg.jpeg</v>
      </c>
      <c r="AR411" s="1" t="s">
        <v>668</v>
      </c>
      <c r="AS411" s="3" t="str">
        <f>HYPERLINK("https://icf.clappia.com/app/GMB253374/submission/BBT98403672/ICF247370-GMB253374-2j0706bhmapk00000000/SIG-20250702_11462kpcn.jpeg", "SIG-20250702_11462kpcn.jpeg")</f>
        <v>SIG-20250702_11462kpcn.jpeg</v>
      </c>
      <c r="AT411" s="1" t="s">
        <v>669</v>
      </c>
      <c r="AU411" s="3" t="str">
        <f>HYPERLINK("https://icf.clappia.com/app/GMB253374/submission/BBT98403672/ICF247370-GMB253374-ona98ckcie88000000/SIG-20250702_1146l9mec.jpeg", "SIG-20250702_1146l9mec.jpeg")</f>
        <v>SIG-20250702_1146l9mec.jpeg</v>
      </c>
      <c r="AV411" s="3" t="str">
        <f>HYPERLINK("https://www.google.com/maps/place/7.9727391%2C-11.7597412", "7.9727391,-11.7597412")</f>
        <v>7.9727391,-11.7597412</v>
      </c>
    </row>
    <row r="412" ht="15.75" customHeight="1">
      <c r="A412" s="1" t="s">
        <v>2243</v>
      </c>
      <c r="B412" s="1" t="s">
        <v>94</v>
      </c>
      <c r="C412" s="1" t="s">
        <v>2244</v>
      </c>
      <c r="D412" s="1" t="s">
        <v>2244</v>
      </c>
      <c r="E412" s="1" t="s">
        <v>2245</v>
      </c>
      <c r="F412" s="1" t="s">
        <v>64</v>
      </c>
      <c r="G412" s="1">
        <v>100.0</v>
      </c>
      <c r="H412" s="1" t="s">
        <v>50</v>
      </c>
      <c r="I412" s="1" t="s">
        <v>55</v>
      </c>
      <c r="J412" s="1" t="s">
        <v>55</v>
      </c>
      <c r="K412" s="1" t="s">
        <v>55</v>
      </c>
      <c r="L412" s="1" t="s">
        <v>55</v>
      </c>
      <c r="M412" s="1" t="s">
        <v>55</v>
      </c>
      <c r="N412" s="1" t="s">
        <v>51</v>
      </c>
      <c r="O412" s="1" t="s">
        <v>55</v>
      </c>
      <c r="P412" s="1" t="s">
        <v>55</v>
      </c>
      <c r="Q412" s="1" t="s">
        <v>55</v>
      </c>
      <c r="R412" s="1" t="s">
        <v>55</v>
      </c>
      <c r="S412" s="1" t="s">
        <v>55</v>
      </c>
      <c r="T412" s="1" t="s">
        <v>52</v>
      </c>
      <c r="U412" s="1" t="s">
        <v>55</v>
      </c>
      <c r="V412" s="1" t="s">
        <v>55</v>
      </c>
      <c r="W412" s="1" t="s">
        <v>55</v>
      </c>
      <c r="X412" s="1" t="s">
        <v>55</v>
      </c>
      <c r="Y412" s="1" t="s">
        <v>55</v>
      </c>
      <c r="Z412" s="1" t="s">
        <v>53</v>
      </c>
      <c r="AA412" s="1">
        <v>48.0</v>
      </c>
      <c r="AB412" s="1">
        <v>27.0</v>
      </c>
      <c r="AC412" s="1">
        <v>27.0</v>
      </c>
      <c r="AD412" s="1">
        <v>21.0</v>
      </c>
      <c r="AE412" s="1">
        <v>21.0</v>
      </c>
      <c r="AF412" s="1" t="s">
        <v>54</v>
      </c>
      <c r="AG412" s="1">
        <v>39.0</v>
      </c>
      <c r="AH412" s="1">
        <v>19.0</v>
      </c>
      <c r="AI412" s="1">
        <v>19.0</v>
      </c>
      <c r="AJ412" s="1">
        <v>20.0</v>
      </c>
      <c r="AK412" s="1">
        <v>20.0</v>
      </c>
      <c r="AL412" s="1">
        <v>87.0</v>
      </c>
      <c r="AM412" s="1" t="s">
        <v>55</v>
      </c>
      <c r="AN412" s="1">
        <v>13.0</v>
      </c>
      <c r="AO412" s="1">
        <v>13.0</v>
      </c>
      <c r="AP412" s="1" t="s">
        <v>98</v>
      </c>
      <c r="AQ412" s="3" t="str">
        <f>HYPERLINK("https://icf.clappia.com/app/GMB253374/submission/JAW77862839/ICF247370-GMB253374-43eimd6fp51o00000000/SIG-20250702_1142d6m40.jpeg", "SIG-20250702_1142d6m40.jpeg")</f>
        <v>SIG-20250702_1142d6m40.jpeg</v>
      </c>
      <c r="AR412" s="1" t="s">
        <v>2246</v>
      </c>
      <c r="AS412" s="3" t="str">
        <f>HYPERLINK("https://icf.clappia.com/app/GMB253374/submission/JAW77862839/ICF247370-GMB253374-10pc8d3i436mk0000000/SIG-20250702_1143d9fea.jpeg", "SIG-20250702_1143d9fea.jpeg")</f>
        <v>SIG-20250702_1143d9fea.jpeg</v>
      </c>
      <c r="AT412" s="1" t="s">
        <v>2247</v>
      </c>
      <c r="AU412" s="3" t="str">
        <f>HYPERLINK("https://icf.clappia.com/app/GMB253374/submission/JAW77862839/ICF247370-GMB253374-37bk7a5epgji00000000/SIG-20250702_11431ahmjm.jpeg", "SIG-20250702_11431ahmjm.jpeg")</f>
        <v>SIG-20250702_11431ahmjm.jpeg</v>
      </c>
      <c r="AV412" s="3" t="str">
        <f>HYPERLINK("https://www.google.com/maps/place/7.7242133%2C-11.8138467", "7.7242133,-11.8138467")</f>
        <v>7.7242133,-11.8138467</v>
      </c>
    </row>
    <row r="413" ht="15.75" customHeight="1">
      <c r="A413" s="1" t="s">
        <v>2248</v>
      </c>
      <c r="B413" s="1" t="s">
        <v>102</v>
      </c>
      <c r="C413" s="1" t="s">
        <v>2244</v>
      </c>
      <c r="D413" s="1" t="s">
        <v>2244</v>
      </c>
      <c r="E413" s="1" t="s">
        <v>2249</v>
      </c>
      <c r="F413" s="1" t="s">
        <v>64</v>
      </c>
      <c r="G413" s="1">
        <v>178.0</v>
      </c>
      <c r="H413" s="1" t="s">
        <v>50</v>
      </c>
      <c r="I413" s="1">
        <v>54.0</v>
      </c>
      <c r="J413" s="1">
        <v>23.0</v>
      </c>
      <c r="K413" s="1">
        <v>22.0</v>
      </c>
      <c r="L413" s="1">
        <v>31.0</v>
      </c>
      <c r="M413" s="1">
        <v>30.0</v>
      </c>
      <c r="N413" s="1" t="s">
        <v>51</v>
      </c>
      <c r="O413" s="1">
        <v>38.0</v>
      </c>
      <c r="P413" s="1">
        <v>16.0</v>
      </c>
      <c r="Q413" s="1">
        <v>16.0</v>
      </c>
      <c r="R413" s="1">
        <v>22.0</v>
      </c>
      <c r="S413" s="1">
        <v>20.0</v>
      </c>
      <c r="T413" s="1" t="s">
        <v>52</v>
      </c>
      <c r="U413" s="1">
        <v>33.0</v>
      </c>
      <c r="V413" s="1">
        <v>15.0</v>
      </c>
      <c r="W413" s="1">
        <v>15.0</v>
      </c>
      <c r="X413" s="1">
        <v>18.0</v>
      </c>
      <c r="Y413" s="1">
        <v>18.0</v>
      </c>
      <c r="Z413" s="1" t="s">
        <v>53</v>
      </c>
      <c r="AA413" s="1">
        <v>26.0</v>
      </c>
      <c r="AB413" s="1">
        <v>16.0</v>
      </c>
      <c r="AC413" s="1">
        <v>14.0</v>
      </c>
      <c r="AD413" s="1">
        <v>10.0</v>
      </c>
      <c r="AE413" s="1">
        <v>9.0</v>
      </c>
      <c r="AF413" s="1" t="s">
        <v>54</v>
      </c>
      <c r="AG413" s="1">
        <v>27.0</v>
      </c>
      <c r="AH413" s="1">
        <v>13.0</v>
      </c>
      <c r="AI413" s="1">
        <v>13.0</v>
      </c>
      <c r="AJ413" s="1">
        <v>13.0</v>
      </c>
      <c r="AK413" s="1">
        <v>13.0</v>
      </c>
      <c r="AL413" s="1">
        <v>170.0</v>
      </c>
      <c r="AM413" s="1" t="s">
        <v>55</v>
      </c>
      <c r="AN413" s="1">
        <v>8.0</v>
      </c>
      <c r="AO413" s="1">
        <v>8.0</v>
      </c>
      <c r="AP413" s="1" t="s">
        <v>983</v>
      </c>
      <c r="AQ413" s="3" t="str">
        <f>HYPERLINK("https://icf.clappia.com/app/GMB253374/submission/GRM32853158/ICF247370-GMB253374-1m5f502dg45p20000000/SIG-20250702_1128k3266.jpeg", "SIG-20250702_1128k3266.jpeg")</f>
        <v>SIG-20250702_1128k3266.jpeg</v>
      </c>
      <c r="AR413" s="1" t="s">
        <v>984</v>
      </c>
      <c r="AS413" s="3" t="str">
        <f>HYPERLINK("https://icf.clappia.com/app/GMB253374/submission/GRM32853158/ICF247370-GMB253374-3ah30ab3opjm00000000/SIG-20250702_112814a889.jpeg", "SIG-20250702_112814a889.jpeg")</f>
        <v>SIG-20250702_112814a889.jpeg</v>
      </c>
      <c r="AT413" s="1" t="s">
        <v>985</v>
      </c>
      <c r="AU413" s="3" t="str">
        <f>HYPERLINK("https://icf.clappia.com/app/GMB253374/submission/GRM32853158/ICF247370-GMB253374-53kpekh4e6gg00000000/SIG-20250702_112824lll.jpeg", "SIG-20250702_112824lll.jpeg")</f>
        <v>SIG-20250702_112824lll.jpeg</v>
      </c>
      <c r="AV413" s="3" t="str">
        <f>HYPERLINK("https://www.google.com/maps/place/9.0591033%2C-11.9354933", "9.0591033,-11.9354933")</f>
        <v>9.0591033,-11.9354933</v>
      </c>
    </row>
    <row r="414" ht="15.75" customHeight="1">
      <c r="A414" s="1" t="s">
        <v>2250</v>
      </c>
      <c r="B414" s="1" t="s">
        <v>302</v>
      </c>
      <c r="C414" s="1" t="s">
        <v>2251</v>
      </c>
      <c r="D414" s="1" t="s">
        <v>2251</v>
      </c>
      <c r="E414" s="1" t="s">
        <v>2252</v>
      </c>
      <c r="F414" s="1" t="s">
        <v>64</v>
      </c>
      <c r="G414" s="1">
        <v>200.0</v>
      </c>
      <c r="H414" s="1" t="s">
        <v>50</v>
      </c>
      <c r="I414" s="1">
        <v>95.0</v>
      </c>
      <c r="J414" s="1">
        <v>23.0</v>
      </c>
      <c r="K414" s="1">
        <v>23.0</v>
      </c>
      <c r="L414" s="1">
        <v>4.0</v>
      </c>
      <c r="M414" s="1">
        <v>4.0</v>
      </c>
      <c r="N414" s="1" t="s">
        <v>51</v>
      </c>
      <c r="O414" s="1">
        <v>30.0</v>
      </c>
      <c r="P414" s="1">
        <v>15.0</v>
      </c>
      <c r="Q414" s="1">
        <v>15.0</v>
      </c>
      <c r="R414" s="1">
        <v>15.0</v>
      </c>
      <c r="S414" s="1">
        <v>15.0</v>
      </c>
      <c r="T414" s="1" t="s">
        <v>52</v>
      </c>
      <c r="U414" s="1">
        <v>10.0</v>
      </c>
      <c r="V414" s="1">
        <v>5.0</v>
      </c>
      <c r="W414" s="1">
        <v>5.0</v>
      </c>
      <c r="X414" s="1">
        <v>5.0</v>
      </c>
      <c r="Y414" s="1">
        <v>5.0</v>
      </c>
      <c r="Z414" s="1" t="s">
        <v>53</v>
      </c>
      <c r="AA414" s="1">
        <v>10.0</v>
      </c>
      <c r="AB414" s="1">
        <v>5.0</v>
      </c>
      <c r="AC414" s="1">
        <v>5.0</v>
      </c>
      <c r="AD414" s="1">
        <v>5.0</v>
      </c>
      <c r="AE414" s="1">
        <v>5.0</v>
      </c>
      <c r="AF414" s="1" t="s">
        <v>54</v>
      </c>
      <c r="AG414" s="1">
        <v>18.0</v>
      </c>
      <c r="AH414" s="1">
        <v>10.0</v>
      </c>
      <c r="AI414" s="1">
        <v>10.0</v>
      </c>
      <c r="AJ414" s="1">
        <v>8.0</v>
      </c>
      <c r="AK414" s="1">
        <v>8.0</v>
      </c>
      <c r="AL414" s="1">
        <v>95.0</v>
      </c>
      <c r="AM414" s="1" t="s">
        <v>55</v>
      </c>
      <c r="AN414" s="1">
        <v>105.0</v>
      </c>
      <c r="AO414" s="1">
        <v>105.0</v>
      </c>
      <c r="AP414" s="1" t="s">
        <v>2253</v>
      </c>
      <c r="AQ414" s="3" t="str">
        <f>HYPERLINK("https://icf.clappia.com/app/GMB253374/submission/VGB95004478/ICF247370-GMB253374-hpjcjphppiak0000000/SIG-20250702_1141pnol8.jpeg", "SIG-20250702_1141pnol8.jpeg")</f>
        <v>SIG-20250702_1141pnol8.jpeg</v>
      </c>
      <c r="AR414" s="1" t="s">
        <v>2254</v>
      </c>
      <c r="AS414" s="3" t="str">
        <f>HYPERLINK("https://icf.clappia.com/app/GMB253374/submission/VGB95004478/ICF247370-GMB253374-51nk8fc13c7a00000000/SIG-20250702_114146ehi.jpeg", "SIG-20250702_114146ehi.jpeg")</f>
        <v>SIG-20250702_114146ehi.jpeg</v>
      </c>
      <c r="AT414" s="1" t="s">
        <v>2255</v>
      </c>
      <c r="AU414" s="3" t="str">
        <f>HYPERLINK("https://icf.clappia.com/app/GMB253374/submission/VGB95004478/ICF247370-GMB253374-2fk2hi41nefc00000000/SIG-20250702_113393mbm.jpeg", "SIG-20250702_113393mbm.jpeg")</f>
        <v>SIG-20250702_113393mbm.jpeg</v>
      </c>
      <c r="AV414" s="3" t="str">
        <f>HYPERLINK("https://www.google.com/maps/place/8.7507717%2C-12.0052583", "8.7507717,-12.0052583")</f>
        <v>8.7507717,-12.0052583</v>
      </c>
    </row>
    <row r="415" ht="15.75" customHeight="1">
      <c r="A415" s="1" t="s">
        <v>2256</v>
      </c>
      <c r="B415" s="1" t="s">
        <v>335</v>
      </c>
      <c r="C415" s="1" t="s">
        <v>2257</v>
      </c>
      <c r="D415" s="1" t="s">
        <v>2257</v>
      </c>
      <c r="E415" s="1" t="s">
        <v>2258</v>
      </c>
      <c r="F415" s="1" t="s">
        <v>64</v>
      </c>
      <c r="G415" s="1">
        <v>85.0</v>
      </c>
      <c r="H415" s="1" t="s">
        <v>50</v>
      </c>
      <c r="I415" s="1">
        <v>40.0</v>
      </c>
      <c r="J415" s="1">
        <v>23.0</v>
      </c>
      <c r="K415" s="1">
        <v>23.0</v>
      </c>
      <c r="L415" s="1">
        <v>17.0</v>
      </c>
      <c r="M415" s="1">
        <v>17.0</v>
      </c>
      <c r="N415" s="1" t="s">
        <v>51</v>
      </c>
      <c r="O415" s="1">
        <v>7.0</v>
      </c>
      <c r="P415" s="1">
        <v>3.0</v>
      </c>
      <c r="Q415" s="1">
        <v>3.0</v>
      </c>
      <c r="R415" s="1">
        <v>4.0</v>
      </c>
      <c r="S415" s="1">
        <v>4.0</v>
      </c>
      <c r="T415" s="1" t="s">
        <v>52</v>
      </c>
      <c r="U415" s="1">
        <v>13.0</v>
      </c>
      <c r="V415" s="1">
        <v>10.0</v>
      </c>
      <c r="W415" s="1">
        <v>10.0</v>
      </c>
      <c r="X415" s="1">
        <v>3.0</v>
      </c>
      <c r="Y415" s="1">
        <v>3.0</v>
      </c>
      <c r="Z415" s="1" t="s">
        <v>53</v>
      </c>
      <c r="AA415" s="1">
        <v>10.0</v>
      </c>
      <c r="AB415" s="1">
        <v>7.0</v>
      </c>
      <c r="AC415" s="1">
        <v>7.0</v>
      </c>
      <c r="AD415" s="1">
        <v>3.0</v>
      </c>
      <c r="AE415" s="1">
        <v>3.0</v>
      </c>
      <c r="AF415" s="1" t="s">
        <v>54</v>
      </c>
      <c r="AG415" s="1">
        <v>13.0</v>
      </c>
      <c r="AH415" s="1">
        <v>8.0</v>
      </c>
      <c r="AI415" s="1">
        <v>8.0</v>
      </c>
      <c r="AJ415" s="1">
        <v>5.0</v>
      </c>
      <c r="AK415" s="1">
        <v>5.0</v>
      </c>
      <c r="AL415" s="1">
        <v>83.0</v>
      </c>
      <c r="AM415" s="1">
        <v>2.0</v>
      </c>
      <c r="AN415" s="1" t="s">
        <v>55</v>
      </c>
      <c r="AO415" s="1" t="s">
        <v>55</v>
      </c>
      <c r="AP415" s="1" t="s">
        <v>1304</v>
      </c>
      <c r="AQ415" s="3" t="str">
        <f>HYPERLINK("https://icf.clappia.com/app/GMB253374/submission/FQJ11013070/ICF247370-GMB253374-3dmkjd95936a00000000/SIG-20250702_1138dkk0b.jpeg", "SIG-20250702_1138dkk0b.jpeg")</f>
        <v>SIG-20250702_1138dkk0b.jpeg</v>
      </c>
      <c r="AR415" s="1" t="s">
        <v>338</v>
      </c>
      <c r="AS415" s="3" t="str">
        <f>HYPERLINK("https://icf.clappia.com/app/GMB253374/submission/FQJ11013070/ICF247370-GMB253374-3ag136pj7pa200000000/SIG-20250702_1139mlhb8.jpeg", "SIG-20250702_1139mlhb8.jpeg")</f>
        <v>SIG-20250702_1139mlhb8.jpeg</v>
      </c>
      <c r="AT415" s="1" t="s">
        <v>1305</v>
      </c>
      <c r="AU415" s="3" t="str">
        <f>HYPERLINK("https://icf.clappia.com/app/GMB253374/submission/FQJ11013070/ICF247370-GMB253374-2bnhkk4jjcgm00000000/SIG-20250702_113912bf7h.jpeg", "SIG-20250702_113912bf7h.jpeg")</f>
        <v>SIG-20250702_113912bf7h.jpeg</v>
      </c>
      <c r="AV415" s="3" t="str">
        <f>HYPERLINK("https://www.google.com/maps/place/8.12668%2C-11.57811", "8.12668,-11.57811")</f>
        <v>8.12668,-11.57811</v>
      </c>
    </row>
    <row r="416" ht="15.75" customHeight="1">
      <c r="A416" s="1" t="s">
        <v>2259</v>
      </c>
      <c r="B416" s="1" t="s">
        <v>690</v>
      </c>
      <c r="C416" s="1" t="s">
        <v>2260</v>
      </c>
      <c r="D416" s="1" t="s">
        <v>2260</v>
      </c>
      <c r="E416" s="1" t="s">
        <v>2261</v>
      </c>
      <c r="F416" s="1" t="s">
        <v>64</v>
      </c>
      <c r="G416" s="1">
        <v>370.0</v>
      </c>
      <c r="H416" s="1" t="s">
        <v>50</v>
      </c>
      <c r="I416" s="1">
        <v>70.0</v>
      </c>
      <c r="J416" s="1">
        <v>37.0</v>
      </c>
      <c r="K416" s="1">
        <v>37.0</v>
      </c>
      <c r="L416" s="1">
        <v>33.0</v>
      </c>
      <c r="M416" s="1">
        <v>33.0</v>
      </c>
      <c r="N416" s="1" t="s">
        <v>51</v>
      </c>
      <c r="O416" s="1">
        <v>78.0</v>
      </c>
      <c r="P416" s="1">
        <v>38.0</v>
      </c>
      <c r="Q416" s="1">
        <v>38.0</v>
      </c>
      <c r="R416" s="1">
        <v>40.0</v>
      </c>
      <c r="S416" s="1">
        <v>40.0</v>
      </c>
      <c r="T416" s="1" t="s">
        <v>52</v>
      </c>
      <c r="U416" s="1">
        <v>85.0</v>
      </c>
      <c r="V416" s="1">
        <v>43.0</v>
      </c>
      <c r="W416" s="1">
        <v>43.0</v>
      </c>
      <c r="X416" s="1">
        <v>42.0</v>
      </c>
      <c r="Y416" s="1">
        <v>42.0</v>
      </c>
      <c r="Z416" s="1" t="s">
        <v>53</v>
      </c>
      <c r="AA416" s="1">
        <v>74.0</v>
      </c>
      <c r="AB416" s="1">
        <v>31.0</v>
      </c>
      <c r="AC416" s="1">
        <v>31.0</v>
      </c>
      <c r="AD416" s="1">
        <v>43.0</v>
      </c>
      <c r="AE416" s="1">
        <v>43.0</v>
      </c>
      <c r="AF416" s="1" t="s">
        <v>54</v>
      </c>
      <c r="AG416" s="1">
        <v>70.0</v>
      </c>
      <c r="AH416" s="1">
        <v>30.0</v>
      </c>
      <c r="AI416" s="1">
        <v>26.0</v>
      </c>
      <c r="AJ416" s="1">
        <v>40.0</v>
      </c>
      <c r="AK416" s="1">
        <v>37.0</v>
      </c>
      <c r="AL416" s="1">
        <v>370.0</v>
      </c>
      <c r="AM416" s="1" t="s">
        <v>55</v>
      </c>
      <c r="AN416" s="1" t="s">
        <v>55</v>
      </c>
      <c r="AO416" s="1" t="s">
        <v>55</v>
      </c>
      <c r="AP416" s="1" t="s">
        <v>2262</v>
      </c>
      <c r="AQ416" s="3" t="str">
        <f>HYPERLINK("https://icf.clappia.com/app/GMB253374/submission/PGM04046901/ICF247370-GMB253374-5i18ccf5796800000000/SIG-20250702_11153k55j.jpeg", "SIG-20250702_11153k55j.jpeg")</f>
        <v>SIG-20250702_11153k55j.jpeg</v>
      </c>
      <c r="AR416" s="1" t="s">
        <v>2263</v>
      </c>
      <c r="AS416" s="3" t="str">
        <f>HYPERLINK("https://icf.clappia.com/app/GMB253374/submission/PGM04046901/ICF247370-GMB253374-2da4dg69g13800000000/SIG-20250702_1116ndd4m.jpeg", "SIG-20250702_1116ndd4m.jpeg")</f>
        <v>SIG-20250702_1116ndd4m.jpeg</v>
      </c>
      <c r="AT416" s="1" t="s">
        <v>2264</v>
      </c>
      <c r="AU416" s="3" t="str">
        <f>HYPERLINK("https://icf.clappia.com/app/GMB253374/submission/PGM04046901/ICF247370-GMB253374-ogk4emajfae40000000/SIG-20250702_1116lgf6c.jpeg", "SIG-20250702_1116lgf6c.jpeg")</f>
        <v>SIG-20250702_1116lgf6c.jpeg</v>
      </c>
      <c r="AV416" s="3" t="str">
        <f>HYPERLINK("https://www.google.com/maps/place/8.862695%2C-12.0529883", "8.862695,-12.0529883")</f>
        <v>8.862695,-12.0529883</v>
      </c>
    </row>
    <row r="417" ht="15.75" customHeight="1">
      <c r="A417" s="1" t="s">
        <v>2265</v>
      </c>
      <c r="B417" s="1" t="s">
        <v>142</v>
      </c>
      <c r="C417" s="1" t="s">
        <v>2260</v>
      </c>
      <c r="D417" s="1" t="s">
        <v>2260</v>
      </c>
      <c r="E417" s="1" t="s">
        <v>2266</v>
      </c>
      <c r="F417" s="1" t="s">
        <v>64</v>
      </c>
      <c r="G417" s="1">
        <v>224.0</v>
      </c>
      <c r="H417" s="1" t="s">
        <v>50</v>
      </c>
      <c r="I417" s="1">
        <v>85.0</v>
      </c>
      <c r="J417" s="1">
        <v>45.0</v>
      </c>
      <c r="K417" s="1">
        <v>30.0</v>
      </c>
      <c r="L417" s="1">
        <v>40.0</v>
      </c>
      <c r="M417" s="1">
        <v>25.0</v>
      </c>
      <c r="N417" s="1" t="s">
        <v>51</v>
      </c>
      <c r="O417" s="1">
        <v>46.0</v>
      </c>
      <c r="P417" s="1">
        <v>26.0</v>
      </c>
      <c r="Q417" s="1">
        <v>18.0</v>
      </c>
      <c r="R417" s="1">
        <v>20.0</v>
      </c>
      <c r="S417" s="1">
        <v>16.0</v>
      </c>
      <c r="T417" s="1" t="s">
        <v>52</v>
      </c>
      <c r="U417" s="1">
        <v>40.0</v>
      </c>
      <c r="V417" s="1">
        <v>20.0</v>
      </c>
      <c r="W417" s="1">
        <v>15.0</v>
      </c>
      <c r="X417" s="1">
        <v>20.0</v>
      </c>
      <c r="Y417" s="1">
        <v>13.0</v>
      </c>
      <c r="Z417" s="1" t="s">
        <v>53</v>
      </c>
      <c r="AA417" s="1">
        <v>37.0</v>
      </c>
      <c r="AB417" s="1">
        <v>17.0</v>
      </c>
      <c r="AC417" s="1">
        <v>17.0</v>
      </c>
      <c r="AD417" s="1">
        <v>20.0</v>
      </c>
      <c r="AE417" s="1">
        <v>15.0</v>
      </c>
      <c r="AF417" s="1" t="s">
        <v>54</v>
      </c>
      <c r="AG417" s="1">
        <v>42.0</v>
      </c>
      <c r="AH417" s="1">
        <v>24.0</v>
      </c>
      <c r="AI417" s="1">
        <v>24.0</v>
      </c>
      <c r="AJ417" s="1">
        <v>18.0</v>
      </c>
      <c r="AK417" s="1">
        <v>18.0</v>
      </c>
      <c r="AL417" s="1">
        <v>191.0</v>
      </c>
      <c r="AM417" s="1" t="s">
        <v>55</v>
      </c>
      <c r="AN417" s="1">
        <v>33.0</v>
      </c>
      <c r="AO417" s="1">
        <v>33.0</v>
      </c>
      <c r="AP417" s="1" t="s">
        <v>994</v>
      </c>
      <c r="AQ417" s="3" t="str">
        <f>HYPERLINK("https://icf.clappia.com/app/GMB253374/submission/XHJ59973045/ICF247370-GMB253374-15oceno63n0ec0000000/SIG-20250702_113216b03e.jpeg", "SIG-20250702_113216b03e.jpeg")</f>
        <v>SIG-20250702_113216b03e.jpeg</v>
      </c>
      <c r="AR417" s="1" t="s">
        <v>995</v>
      </c>
      <c r="AS417" s="3" t="str">
        <f>HYPERLINK("https://icf.clappia.com/app/GMB253374/submission/XHJ59973045/ICF247370-GMB253374-3kfpjhbpg5b200000000/SIG-20250702_1138146eg6.jpeg", "SIG-20250702_1138146eg6.jpeg")</f>
        <v>SIG-20250702_1138146eg6.jpeg</v>
      </c>
      <c r="AT417" s="1" t="s">
        <v>996</v>
      </c>
      <c r="AU417" s="3" t="str">
        <f>HYPERLINK("https://icf.clappia.com/app/GMB253374/submission/XHJ59973045/ICF247370-GMB253374-o9mndehc8k9m0000000/SIG-20250702_113712ep4.jpeg", "SIG-20250702_113712ep4.jpeg")</f>
        <v>SIG-20250702_113712ep4.jpeg</v>
      </c>
      <c r="AV417" s="3" t="str">
        <f>HYPERLINK("https://www.google.com/maps/place/7.9239317%2C-11.8875383", "7.9239317,-11.8875383")</f>
        <v>7.9239317,-11.8875383</v>
      </c>
    </row>
    <row r="418" ht="15.75" customHeight="1">
      <c r="A418" s="1" t="s">
        <v>2267</v>
      </c>
      <c r="B418" s="1" t="s">
        <v>349</v>
      </c>
      <c r="C418" s="1" t="s">
        <v>2268</v>
      </c>
      <c r="D418" s="1" t="s">
        <v>2268</v>
      </c>
      <c r="E418" s="1" t="s">
        <v>2269</v>
      </c>
      <c r="F418" s="1" t="s">
        <v>64</v>
      </c>
      <c r="G418" s="1">
        <v>240.0</v>
      </c>
      <c r="H418" s="1" t="s">
        <v>50</v>
      </c>
      <c r="I418" s="1">
        <v>50.0</v>
      </c>
      <c r="J418" s="1">
        <v>28.0</v>
      </c>
      <c r="K418" s="1">
        <v>28.0</v>
      </c>
      <c r="L418" s="1">
        <v>22.0</v>
      </c>
      <c r="M418" s="1">
        <v>22.0</v>
      </c>
      <c r="N418" s="1" t="s">
        <v>51</v>
      </c>
      <c r="O418" s="1">
        <v>40.0</v>
      </c>
      <c r="P418" s="1">
        <v>19.0</v>
      </c>
      <c r="Q418" s="1">
        <v>19.0</v>
      </c>
      <c r="R418" s="1">
        <v>21.0</v>
      </c>
      <c r="S418" s="1">
        <v>21.0</v>
      </c>
      <c r="T418" s="1" t="s">
        <v>52</v>
      </c>
      <c r="U418" s="1">
        <v>42.0</v>
      </c>
      <c r="V418" s="1">
        <v>19.0</v>
      </c>
      <c r="W418" s="1">
        <v>19.0</v>
      </c>
      <c r="X418" s="1">
        <v>23.0</v>
      </c>
      <c r="Y418" s="1">
        <v>23.0</v>
      </c>
      <c r="Z418" s="1" t="s">
        <v>53</v>
      </c>
      <c r="AA418" s="1">
        <v>24.0</v>
      </c>
      <c r="AB418" s="1">
        <v>10.0</v>
      </c>
      <c r="AC418" s="1">
        <v>10.0</v>
      </c>
      <c r="AD418" s="1">
        <v>14.0</v>
      </c>
      <c r="AE418" s="1">
        <v>14.0</v>
      </c>
      <c r="AF418" s="1" t="s">
        <v>54</v>
      </c>
      <c r="AG418" s="1">
        <v>15.0</v>
      </c>
      <c r="AH418" s="1">
        <v>7.0</v>
      </c>
      <c r="AI418" s="1">
        <v>7.0</v>
      </c>
      <c r="AJ418" s="1">
        <v>8.0</v>
      </c>
      <c r="AK418" s="1">
        <v>8.0</v>
      </c>
      <c r="AL418" s="1">
        <v>171.0</v>
      </c>
      <c r="AM418" s="1" t="s">
        <v>55</v>
      </c>
      <c r="AN418" s="1">
        <v>69.0</v>
      </c>
      <c r="AO418" s="1">
        <v>69.0</v>
      </c>
      <c r="AP418" s="1" t="s">
        <v>2270</v>
      </c>
      <c r="AQ418" s="3" t="str">
        <f>HYPERLINK("https://icf.clappia.com/app/GMB253374/submission/YFV22616381/ICF247370-GMB253374-32k84cnmgaig00000000/SIG-20250702_10451929n2.jpeg", "SIG-20250702_10451929n2.jpeg")</f>
        <v>SIG-20250702_10451929n2.jpeg</v>
      </c>
      <c r="AR418" s="1" t="s">
        <v>2271</v>
      </c>
      <c r="AS418" s="3" t="str">
        <f>HYPERLINK("https://icf.clappia.com/app/GMB253374/submission/YFV22616381/ICF247370-GMB253374-e1k5kk02clbm0000000/SIG-20250702_1046el9p7.jpeg", "SIG-20250702_1046el9p7.jpeg")</f>
        <v>SIG-20250702_1046el9p7.jpeg</v>
      </c>
      <c r="AT418" s="1" t="s">
        <v>2272</v>
      </c>
      <c r="AU418" s="3" t="str">
        <f>HYPERLINK("https://icf.clappia.com/app/GMB253374/submission/YFV22616381/ICF247370-GMB253374-4239cbdcjcpe00000000/SIG-20250702_1047dghbp.jpeg", "SIG-20250702_1047dghbp.jpeg")</f>
        <v>SIG-20250702_1047dghbp.jpeg</v>
      </c>
      <c r="AV418" s="3" t="str">
        <f>HYPERLINK("https://www.google.com/maps/place/8.9725082%2C-11.9710077", "8.9725082,-11.9710077")</f>
        <v>8.9725082,-11.9710077</v>
      </c>
    </row>
    <row r="419" ht="15.75" customHeight="1">
      <c r="A419" s="1" t="s">
        <v>2273</v>
      </c>
      <c r="B419" s="1" t="s">
        <v>189</v>
      </c>
      <c r="C419" s="1" t="s">
        <v>2274</v>
      </c>
      <c r="D419" s="1" t="s">
        <v>2274</v>
      </c>
      <c r="E419" s="1" t="s">
        <v>2275</v>
      </c>
      <c r="F419" s="1" t="s">
        <v>64</v>
      </c>
      <c r="G419" s="1">
        <v>350.0</v>
      </c>
      <c r="H419" s="1" t="s">
        <v>50</v>
      </c>
      <c r="I419" s="1">
        <v>57.0</v>
      </c>
      <c r="J419" s="1">
        <v>27.0</v>
      </c>
      <c r="K419" s="1">
        <v>21.0</v>
      </c>
      <c r="L419" s="1">
        <v>30.0</v>
      </c>
      <c r="M419" s="1">
        <v>25.0</v>
      </c>
      <c r="N419" s="1" t="s">
        <v>51</v>
      </c>
      <c r="O419" s="1">
        <v>40.0</v>
      </c>
      <c r="P419" s="1">
        <v>25.0</v>
      </c>
      <c r="Q419" s="1">
        <v>24.0</v>
      </c>
      <c r="R419" s="1">
        <v>15.0</v>
      </c>
      <c r="S419" s="1">
        <v>14.0</v>
      </c>
      <c r="T419" s="1" t="s">
        <v>52</v>
      </c>
      <c r="U419" s="1">
        <v>43.0</v>
      </c>
      <c r="V419" s="1">
        <v>13.0</v>
      </c>
      <c r="W419" s="1">
        <v>12.0</v>
      </c>
      <c r="X419" s="1">
        <v>30.0</v>
      </c>
      <c r="Y419" s="1">
        <v>24.0</v>
      </c>
      <c r="Z419" s="1" t="s">
        <v>53</v>
      </c>
      <c r="AA419" s="1">
        <v>64.0</v>
      </c>
      <c r="AB419" s="1">
        <v>30.0</v>
      </c>
      <c r="AC419" s="1">
        <v>22.0</v>
      </c>
      <c r="AD419" s="1">
        <v>34.0</v>
      </c>
      <c r="AE419" s="1">
        <v>24.0</v>
      </c>
      <c r="AF419" s="1" t="s">
        <v>54</v>
      </c>
      <c r="AG419" s="1">
        <v>54.0</v>
      </c>
      <c r="AH419" s="1">
        <v>27.0</v>
      </c>
      <c r="AI419" s="1">
        <v>22.0</v>
      </c>
      <c r="AJ419" s="1">
        <v>27.0</v>
      </c>
      <c r="AK419" s="1">
        <v>21.0</v>
      </c>
      <c r="AL419" s="1">
        <v>209.0</v>
      </c>
      <c r="AM419" s="1" t="s">
        <v>55</v>
      </c>
      <c r="AN419" s="1">
        <v>141.0</v>
      </c>
      <c r="AO419" s="1">
        <v>141.0</v>
      </c>
      <c r="AP419" s="1" t="s">
        <v>2276</v>
      </c>
      <c r="AQ419" s="3" t="str">
        <f>HYPERLINK("https://icf.clappia.com/app/GMB253374/submission/UTB61323279/ICF247370-GMB253374-406oa040oheo00000000/SIG-20250702_1134gff1h.jpeg", "SIG-20250702_1134gff1h.jpeg")</f>
        <v>SIG-20250702_1134gff1h.jpeg</v>
      </c>
      <c r="AR419" s="1" t="s">
        <v>2277</v>
      </c>
      <c r="AS419" s="3" t="str">
        <f>HYPERLINK("https://icf.clappia.com/app/GMB253374/submission/UTB61323279/ICF247370-GMB253374-42596b6n793o00000000/SIG-20250702_113511nh3o.jpeg", "SIG-20250702_113511nh3o.jpeg")</f>
        <v>SIG-20250702_113511nh3o.jpeg</v>
      </c>
      <c r="AT419" s="1" t="s">
        <v>2278</v>
      </c>
      <c r="AU419" s="3" t="str">
        <f>HYPERLINK("https://icf.clappia.com/app/GMB253374/submission/UTB61323279/ICF247370-GMB253374-5c2hmmkh3ekg00000000/SIG-20250702_113558g2.jpeg", "SIG-20250702_113558g2.jpeg")</f>
        <v>SIG-20250702_113558g2.jpeg</v>
      </c>
      <c r="AV419" s="3" t="str">
        <f>HYPERLINK("https://www.google.com/maps/place/8.87301%2C-12.042085", "8.87301,-12.042085")</f>
        <v>8.87301,-12.042085</v>
      </c>
    </row>
    <row r="420" ht="15.75" customHeight="1">
      <c r="A420" s="1" t="s">
        <v>2279</v>
      </c>
      <c r="B420" s="1" t="s">
        <v>690</v>
      </c>
      <c r="C420" s="1" t="s">
        <v>2274</v>
      </c>
      <c r="D420" s="1" t="s">
        <v>2274</v>
      </c>
      <c r="E420" s="1" t="s">
        <v>2280</v>
      </c>
      <c r="F420" s="1" t="s">
        <v>64</v>
      </c>
      <c r="G420" s="1">
        <v>100.0</v>
      </c>
      <c r="H420" s="1" t="s">
        <v>50</v>
      </c>
      <c r="I420" s="1">
        <v>9.0</v>
      </c>
      <c r="J420" s="1">
        <v>6.0</v>
      </c>
      <c r="K420" s="1">
        <v>6.0</v>
      </c>
      <c r="L420" s="1">
        <v>3.0</v>
      </c>
      <c r="M420" s="1">
        <v>3.0</v>
      </c>
      <c r="N420" s="1" t="s">
        <v>51</v>
      </c>
      <c r="O420" s="1">
        <v>14.0</v>
      </c>
      <c r="P420" s="1">
        <v>6.0</v>
      </c>
      <c r="Q420" s="1">
        <v>6.0</v>
      </c>
      <c r="R420" s="1">
        <v>8.0</v>
      </c>
      <c r="S420" s="1">
        <v>8.0</v>
      </c>
      <c r="T420" s="1" t="s">
        <v>52</v>
      </c>
      <c r="U420" s="1">
        <v>8.0</v>
      </c>
      <c r="V420" s="1">
        <v>6.0</v>
      </c>
      <c r="W420" s="1">
        <v>6.0</v>
      </c>
      <c r="X420" s="1">
        <v>2.0</v>
      </c>
      <c r="Y420" s="1">
        <v>2.0</v>
      </c>
      <c r="Z420" s="1" t="s">
        <v>53</v>
      </c>
      <c r="AA420" s="1">
        <v>10.0</v>
      </c>
      <c r="AB420" s="1">
        <v>6.0</v>
      </c>
      <c r="AC420" s="1">
        <v>6.0</v>
      </c>
      <c r="AD420" s="1">
        <v>4.0</v>
      </c>
      <c r="AE420" s="1">
        <v>4.0</v>
      </c>
      <c r="AF420" s="1" t="s">
        <v>54</v>
      </c>
      <c r="AG420" s="1">
        <v>15.0</v>
      </c>
      <c r="AH420" s="1">
        <v>5.0</v>
      </c>
      <c r="AI420" s="1">
        <v>5.0</v>
      </c>
      <c r="AJ420" s="1">
        <v>10.0</v>
      </c>
      <c r="AK420" s="1">
        <v>10.0</v>
      </c>
      <c r="AL420" s="1">
        <v>56.0</v>
      </c>
      <c r="AM420" s="1" t="s">
        <v>55</v>
      </c>
      <c r="AN420" s="1">
        <v>44.0</v>
      </c>
      <c r="AO420" s="1">
        <v>44.0</v>
      </c>
      <c r="AP420" s="1" t="s">
        <v>2281</v>
      </c>
      <c r="AQ420" s="3" t="str">
        <f>HYPERLINK("https://icf.clappia.com/app/GMB253374/submission/NVL61101890/ICF247370-GMB253374-eid33ek466b20000000/SIG-20250702_113645bo7.jpeg", "SIG-20250702_113645bo7.jpeg")</f>
        <v>SIG-20250702_113645bo7.jpeg</v>
      </c>
      <c r="AR420" s="1" t="s">
        <v>2282</v>
      </c>
      <c r="AS420" s="3" t="str">
        <f>HYPERLINK("https://icf.clappia.com/app/GMB253374/submission/NVL61101890/ICF247370-GMB253374-4k897d7209gg00000000/SIG-20250702_1136n0gg7.jpeg", "SIG-20250702_1136n0gg7.jpeg")</f>
        <v>SIG-20250702_1136n0gg7.jpeg</v>
      </c>
      <c r="AT420" s="1" t="s">
        <v>2283</v>
      </c>
      <c r="AU420" s="3" t="str">
        <f>HYPERLINK("https://icf.clappia.com/app/GMB253374/submission/NVL61101890/ICF247370-GMB253374-1m3m1lb10p26e0000000/SIG-20250702_113715ga06.jpeg", "SIG-20250702_113715ga06.jpeg")</f>
        <v>SIG-20250702_113715ga06.jpeg</v>
      </c>
      <c r="AV420" s="3" t="str">
        <f>HYPERLINK("https://www.google.com/maps/place/8.8528632%2C-12.0270272", "8.8528632,-12.0270272")</f>
        <v>8.8528632,-12.0270272</v>
      </c>
    </row>
    <row r="421" ht="15.75" customHeight="1">
      <c r="A421" s="1" t="s">
        <v>2284</v>
      </c>
      <c r="B421" s="1" t="s">
        <v>161</v>
      </c>
      <c r="C421" s="1" t="s">
        <v>2274</v>
      </c>
      <c r="D421" s="1" t="s">
        <v>2274</v>
      </c>
      <c r="E421" s="1" t="s">
        <v>2285</v>
      </c>
      <c r="F421" s="1" t="s">
        <v>64</v>
      </c>
      <c r="G421" s="1">
        <v>307.0</v>
      </c>
      <c r="H421" s="1" t="s">
        <v>50</v>
      </c>
      <c r="I421" s="1">
        <v>188.0</v>
      </c>
      <c r="J421" s="1">
        <v>98.0</v>
      </c>
      <c r="K421" s="1">
        <v>98.0</v>
      </c>
      <c r="L421" s="1">
        <v>90.0</v>
      </c>
      <c r="M421" s="1">
        <v>90.0</v>
      </c>
      <c r="N421" s="1" t="s">
        <v>51</v>
      </c>
      <c r="O421" s="1">
        <v>90.0</v>
      </c>
      <c r="P421" s="1">
        <v>50.0</v>
      </c>
      <c r="Q421" s="1">
        <v>50.0</v>
      </c>
      <c r="R421" s="1">
        <v>40.0</v>
      </c>
      <c r="S421" s="1">
        <v>40.0</v>
      </c>
      <c r="T421" s="1" t="s">
        <v>52</v>
      </c>
      <c r="U421" s="1">
        <v>29.0</v>
      </c>
      <c r="V421" s="1">
        <v>20.0</v>
      </c>
      <c r="W421" s="1">
        <v>20.0</v>
      </c>
      <c r="X421" s="1">
        <v>9.0</v>
      </c>
      <c r="Y421" s="1">
        <v>9.0</v>
      </c>
      <c r="Z421" s="1" t="s">
        <v>53</v>
      </c>
      <c r="AA421" s="1" t="s">
        <v>55</v>
      </c>
      <c r="AB421" s="1" t="s">
        <v>55</v>
      </c>
      <c r="AC421" s="1" t="s">
        <v>55</v>
      </c>
      <c r="AD421" s="1" t="s">
        <v>55</v>
      </c>
      <c r="AE421" s="1" t="s">
        <v>55</v>
      </c>
      <c r="AF421" s="1" t="s">
        <v>54</v>
      </c>
      <c r="AG421" s="1" t="s">
        <v>55</v>
      </c>
      <c r="AH421" s="1" t="s">
        <v>55</v>
      </c>
      <c r="AI421" s="1" t="s">
        <v>55</v>
      </c>
      <c r="AJ421" s="1" t="s">
        <v>55</v>
      </c>
      <c r="AK421" s="1" t="s">
        <v>55</v>
      </c>
      <c r="AL421" s="1">
        <v>307.0</v>
      </c>
      <c r="AM421" s="1" t="s">
        <v>55</v>
      </c>
      <c r="AN421" s="1" t="s">
        <v>55</v>
      </c>
      <c r="AO421" s="1" t="s">
        <v>55</v>
      </c>
      <c r="AP421" s="1" t="s">
        <v>2286</v>
      </c>
      <c r="AQ421" s="3" t="str">
        <f>HYPERLINK("https://icf.clappia.com/app/GMB253374/submission/PLL69119130/ICF247370-GMB253374-l0cdel1nj1i00000000/SIG-20250702_1135h2fff.jpeg", "SIG-20250702_1135h2fff.jpeg")</f>
        <v>SIG-20250702_1135h2fff.jpeg</v>
      </c>
      <c r="AR421" s="1" t="s">
        <v>2287</v>
      </c>
      <c r="AS421" s="3" t="str">
        <f>HYPERLINK("https://icf.clappia.com/app/GMB253374/submission/PLL69119130/ICF247370-GMB253374-cd12k4m43nc40000000/SIG-20250702_113612c6ib.jpeg", "SIG-20250702_113612c6ib.jpeg")</f>
        <v>SIG-20250702_113612c6ib.jpeg</v>
      </c>
      <c r="AT421" s="1" t="s">
        <v>55</v>
      </c>
      <c r="AU421" s="3" t="str">
        <f>HYPERLINK("https://icf.clappia.com/app/GMB253374/submission/PLL69119130/ICF247370-GMB253374-2201o1o3eo98i0000000/SIG-20250702_11373bcoi.jpeg", "SIG-20250702_11373bcoi.jpeg")</f>
        <v>SIG-20250702_11373bcoi.jpeg</v>
      </c>
      <c r="AV421" s="3" t="str">
        <f>HYPERLINK("https://www.google.com/maps/place/8.016375%2C-11.7835717", "8.016375,-11.7835717")</f>
        <v>8.016375,-11.7835717</v>
      </c>
    </row>
    <row r="422" ht="15.75" customHeight="1">
      <c r="A422" s="1" t="s">
        <v>2288</v>
      </c>
      <c r="B422" s="1" t="s">
        <v>81</v>
      </c>
      <c r="C422" s="1" t="s">
        <v>2289</v>
      </c>
      <c r="D422" s="1" t="s">
        <v>2289</v>
      </c>
      <c r="E422" s="1" t="s">
        <v>2290</v>
      </c>
      <c r="F422" s="1" t="s">
        <v>64</v>
      </c>
      <c r="G422" s="1">
        <v>190.0</v>
      </c>
      <c r="H422" s="1" t="s">
        <v>50</v>
      </c>
      <c r="I422" s="1">
        <v>43.0</v>
      </c>
      <c r="J422" s="1">
        <v>20.0</v>
      </c>
      <c r="K422" s="1">
        <v>19.0</v>
      </c>
      <c r="L422" s="1">
        <v>23.0</v>
      </c>
      <c r="M422" s="1">
        <v>14.0</v>
      </c>
      <c r="N422" s="1" t="s">
        <v>51</v>
      </c>
      <c r="O422" s="1">
        <v>57.0</v>
      </c>
      <c r="P422" s="1">
        <v>25.0</v>
      </c>
      <c r="Q422" s="1">
        <v>13.0</v>
      </c>
      <c r="R422" s="1">
        <v>32.0</v>
      </c>
      <c r="S422" s="1">
        <v>14.0</v>
      </c>
      <c r="T422" s="1" t="s">
        <v>52</v>
      </c>
      <c r="U422" s="1">
        <v>45.0</v>
      </c>
      <c r="V422" s="1">
        <v>20.0</v>
      </c>
      <c r="W422" s="1">
        <v>18.0</v>
      </c>
      <c r="X422" s="1">
        <v>25.0</v>
      </c>
      <c r="Y422" s="1">
        <v>21.0</v>
      </c>
      <c r="Z422" s="1" t="s">
        <v>53</v>
      </c>
      <c r="AA422" s="1">
        <v>48.0</v>
      </c>
      <c r="AB422" s="1">
        <v>23.0</v>
      </c>
      <c r="AC422" s="1">
        <v>23.0</v>
      </c>
      <c r="AD422" s="1">
        <v>25.0</v>
      </c>
      <c r="AE422" s="1">
        <v>21.0</v>
      </c>
      <c r="AF422" s="1" t="s">
        <v>54</v>
      </c>
      <c r="AG422" s="1">
        <v>50.0</v>
      </c>
      <c r="AH422" s="1">
        <v>20.0</v>
      </c>
      <c r="AI422" s="1">
        <v>19.0</v>
      </c>
      <c r="AJ422" s="1">
        <v>30.0</v>
      </c>
      <c r="AK422" s="1">
        <v>28.0</v>
      </c>
      <c r="AL422" s="1">
        <v>190.0</v>
      </c>
      <c r="AM422" s="1" t="s">
        <v>55</v>
      </c>
      <c r="AN422" s="1" t="s">
        <v>55</v>
      </c>
      <c r="AO422" s="1" t="s">
        <v>55</v>
      </c>
      <c r="AP422" s="1" t="s">
        <v>125</v>
      </c>
      <c r="AQ422" s="3" t="str">
        <f>HYPERLINK("https://icf.clappia.com/app/GMB253374/submission/SDV49897677/ICF247370-GMB253374-5g3a6o3k5c3e00000000/SIG-20250702_111813a5jj.jpeg", "SIG-20250702_111813a5jj.jpeg")</f>
        <v>SIG-20250702_111813a5jj.jpeg</v>
      </c>
      <c r="AR422" s="1" t="s">
        <v>126</v>
      </c>
      <c r="AS422" s="3" t="str">
        <f>HYPERLINK("https://icf.clappia.com/app/GMB253374/submission/SDV49897677/ICF247370-GMB253374-3alh3mf3a5640000000/SIG-20250702_1126106ada.jpeg", "SIG-20250702_1126106ada.jpeg")</f>
        <v>SIG-20250702_1126106ada.jpeg</v>
      </c>
      <c r="AT422" s="1" t="s">
        <v>127</v>
      </c>
      <c r="AU422" s="3" t="str">
        <f>HYPERLINK("https://icf.clappia.com/app/GMB253374/submission/SDV49897677/ICF247370-GMB253374-68emm12j9dac00000000/SIG-20250702_1127g9p98.jpeg", "SIG-20250702_1127g9p98.jpeg")</f>
        <v>SIG-20250702_1127g9p98.jpeg</v>
      </c>
      <c r="AV422" s="3" t="str">
        <f>HYPERLINK("https://www.google.com/maps/place/7.9725483%2C-11.7317583", "7.9725483,-11.7317583")</f>
        <v>7.9725483,-11.7317583</v>
      </c>
    </row>
    <row r="423" ht="15.75" customHeight="1">
      <c r="A423" s="1" t="s">
        <v>2291</v>
      </c>
      <c r="B423" s="1" t="s">
        <v>248</v>
      </c>
      <c r="C423" s="1" t="s">
        <v>2289</v>
      </c>
      <c r="D423" s="1" t="s">
        <v>2289</v>
      </c>
      <c r="E423" s="1" t="s">
        <v>2292</v>
      </c>
      <c r="F423" s="1" t="s">
        <v>64</v>
      </c>
      <c r="G423" s="1">
        <v>319.0</v>
      </c>
      <c r="H423" s="1" t="s">
        <v>50</v>
      </c>
      <c r="I423" s="1">
        <v>80.0</v>
      </c>
      <c r="J423" s="1">
        <v>37.0</v>
      </c>
      <c r="K423" s="1">
        <v>35.0</v>
      </c>
      <c r="L423" s="1">
        <v>43.0</v>
      </c>
      <c r="M423" s="1">
        <v>38.0</v>
      </c>
      <c r="N423" s="1" t="s">
        <v>51</v>
      </c>
      <c r="O423" s="1">
        <v>70.0</v>
      </c>
      <c r="P423" s="1">
        <v>35.0</v>
      </c>
      <c r="Q423" s="1">
        <v>28.0</v>
      </c>
      <c r="R423" s="1">
        <v>35.0</v>
      </c>
      <c r="S423" s="1">
        <v>19.0</v>
      </c>
      <c r="T423" s="1" t="s">
        <v>52</v>
      </c>
      <c r="U423" s="1">
        <v>54.0</v>
      </c>
      <c r="V423" s="1">
        <v>25.0</v>
      </c>
      <c r="W423" s="1">
        <v>17.0</v>
      </c>
      <c r="X423" s="1">
        <v>29.0</v>
      </c>
      <c r="Y423" s="1">
        <v>24.0</v>
      </c>
      <c r="Z423" s="1" t="s">
        <v>53</v>
      </c>
      <c r="AA423" s="1">
        <v>74.0</v>
      </c>
      <c r="AB423" s="1">
        <v>32.0</v>
      </c>
      <c r="AC423" s="1">
        <v>20.0</v>
      </c>
      <c r="AD423" s="1">
        <v>42.0</v>
      </c>
      <c r="AE423" s="1">
        <v>32.0</v>
      </c>
      <c r="AF423" s="1" t="s">
        <v>54</v>
      </c>
      <c r="AG423" s="1">
        <v>53.0</v>
      </c>
      <c r="AH423" s="1">
        <v>20.0</v>
      </c>
      <c r="AI423" s="1">
        <v>18.0</v>
      </c>
      <c r="AJ423" s="1">
        <v>33.0</v>
      </c>
      <c r="AK423" s="1">
        <v>30.0</v>
      </c>
      <c r="AL423" s="1">
        <v>261.0</v>
      </c>
      <c r="AM423" s="1" t="s">
        <v>55</v>
      </c>
      <c r="AN423" s="1">
        <v>58.0</v>
      </c>
      <c r="AO423" s="1">
        <v>58.0</v>
      </c>
      <c r="AP423" s="1" t="s">
        <v>595</v>
      </c>
      <c r="AQ423" s="3" t="str">
        <f>HYPERLINK("https://icf.clappia.com/app/GMB253374/submission/SWW19810761/ICF247370-GMB253374-597pj6jb7emk00000000/SIG-20250702_113271e95.jpeg", "SIG-20250702_113271e95.jpeg")</f>
        <v>SIG-20250702_113271e95.jpeg</v>
      </c>
      <c r="AR423" s="1" t="s">
        <v>596</v>
      </c>
      <c r="AS423" s="3" t="str">
        <f>HYPERLINK("https://icf.clappia.com/app/GMB253374/submission/SWW19810761/ICF247370-GMB253374-2mc55g6ib1mk00000000/SIG-20250702_113214ibm3.jpeg", "SIG-20250702_113214ibm3.jpeg")</f>
        <v>SIG-20250702_113214ibm3.jpeg</v>
      </c>
      <c r="AT423" s="1" t="s">
        <v>597</v>
      </c>
      <c r="AU423" s="3" t="str">
        <f>HYPERLINK("https://icf.clappia.com/app/GMB253374/submission/SWW19810761/ICF247370-GMB253374-4io64ec3e3hi00000000/SIG-20250702_1132b0gn9.jpeg", "SIG-20250702_1132b0gn9.jpeg")</f>
        <v>SIG-20250702_1132b0gn9.jpeg</v>
      </c>
      <c r="AV423" s="3" t="str">
        <f>HYPERLINK("https://www.google.com/maps/place/7.9397667%2C-11.4948267", "7.9397667,-11.4948267")</f>
        <v>7.9397667,-11.4948267</v>
      </c>
    </row>
    <row r="424" ht="15.75" customHeight="1">
      <c r="A424" s="1" t="s">
        <v>2293</v>
      </c>
      <c r="B424" s="1" t="s">
        <v>167</v>
      </c>
      <c r="C424" s="1" t="s">
        <v>2294</v>
      </c>
      <c r="D424" s="1" t="s">
        <v>2294</v>
      </c>
      <c r="E424" s="1" t="s">
        <v>2295</v>
      </c>
      <c r="F424" s="1" t="s">
        <v>64</v>
      </c>
      <c r="G424" s="1">
        <v>157.0</v>
      </c>
      <c r="H424" s="1" t="s">
        <v>50</v>
      </c>
      <c r="I424" s="1">
        <v>31.0</v>
      </c>
      <c r="J424" s="1">
        <v>17.0</v>
      </c>
      <c r="K424" s="1">
        <v>17.0</v>
      </c>
      <c r="L424" s="1">
        <v>14.0</v>
      </c>
      <c r="M424" s="1">
        <v>14.0</v>
      </c>
      <c r="N424" s="1" t="s">
        <v>51</v>
      </c>
      <c r="O424" s="1">
        <v>8.0</v>
      </c>
      <c r="P424" s="1">
        <v>4.0</v>
      </c>
      <c r="Q424" s="1">
        <v>4.0</v>
      </c>
      <c r="R424" s="1">
        <v>4.0</v>
      </c>
      <c r="S424" s="1">
        <v>4.0</v>
      </c>
      <c r="T424" s="1" t="s">
        <v>52</v>
      </c>
      <c r="U424" s="1">
        <v>19.0</v>
      </c>
      <c r="V424" s="1">
        <v>8.0</v>
      </c>
      <c r="W424" s="1">
        <v>8.0</v>
      </c>
      <c r="X424" s="1">
        <v>11.0</v>
      </c>
      <c r="Y424" s="1">
        <v>11.0</v>
      </c>
      <c r="Z424" s="1" t="s">
        <v>53</v>
      </c>
      <c r="AA424" s="1" t="s">
        <v>55</v>
      </c>
      <c r="AB424" s="1" t="s">
        <v>55</v>
      </c>
      <c r="AC424" s="1" t="s">
        <v>55</v>
      </c>
      <c r="AD424" s="1" t="s">
        <v>55</v>
      </c>
      <c r="AE424" s="1" t="s">
        <v>55</v>
      </c>
      <c r="AF424" s="1" t="s">
        <v>54</v>
      </c>
      <c r="AG424" s="1" t="s">
        <v>55</v>
      </c>
      <c r="AH424" s="1" t="s">
        <v>55</v>
      </c>
      <c r="AI424" s="1" t="s">
        <v>55</v>
      </c>
      <c r="AJ424" s="1" t="s">
        <v>55</v>
      </c>
      <c r="AK424" s="1" t="s">
        <v>55</v>
      </c>
      <c r="AL424" s="1">
        <v>58.0</v>
      </c>
      <c r="AM424" s="1">
        <v>10.0</v>
      </c>
      <c r="AN424" s="1">
        <v>89.0</v>
      </c>
      <c r="AO424" s="1">
        <v>88.0</v>
      </c>
      <c r="AP424" s="1" t="s">
        <v>2296</v>
      </c>
      <c r="AQ424" s="3" t="str">
        <f>HYPERLINK("https://icf.clappia.com/app/GMB253374/submission/MJV26976187/ICF247370-GMB253374-52f0fod513og00000000/SIG-20250702_1128l0ddi.jpeg", "SIG-20250702_1128l0ddi.jpeg")</f>
        <v>SIG-20250702_1128l0ddi.jpeg</v>
      </c>
      <c r="AR424" s="1" t="s">
        <v>2297</v>
      </c>
      <c r="AS424" s="3" t="str">
        <f>HYPERLINK("https://icf.clappia.com/app/GMB253374/submission/MJV26976187/ICF247370-GMB253374-44kh6kmmbf4i00000000/SIG-20250702_1129163noi.jpeg", "SIG-20250702_1129163noi.jpeg")</f>
        <v>SIG-20250702_1129163noi.jpeg</v>
      </c>
      <c r="AT424" s="1" t="s">
        <v>2298</v>
      </c>
      <c r="AU424" s="3" t="str">
        <f>HYPERLINK("https://icf.clappia.com/app/GMB253374/submission/MJV26976187/ICF247370-GMB253374-jolbknll9m7a0000000/SIG-20250702_1129f6cjh.jpeg", "SIG-20250702_1129f6cjh.jpeg")</f>
        <v>SIG-20250702_1129f6cjh.jpeg</v>
      </c>
      <c r="AV424" s="3" t="str">
        <f>HYPERLINK("https://www.google.com/maps/place/7.9632833%2C-11.8495317", "7.9632833,-11.8495317")</f>
        <v>7.9632833,-11.8495317</v>
      </c>
    </row>
    <row r="425" ht="15.75" customHeight="1">
      <c r="A425" s="1" t="s">
        <v>2299</v>
      </c>
      <c r="B425" s="1" t="s">
        <v>349</v>
      </c>
      <c r="C425" s="1" t="s">
        <v>2300</v>
      </c>
      <c r="D425" s="1" t="s">
        <v>2300</v>
      </c>
      <c r="E425" s="1" t="s">
        <v>2301</v>
      </c>
      <c r="F425" s="1" t="s">
        <v>64</v>
      </c>
      <c r="G425" s="1">
        <v>179.0</v>
      </c>
      <c r="H425" s="1" t="s">
        <v>50</v>
      </c>
      <c r="I425" s="1">
        <v>37.0</v>
      </c>
      <c r="J425" s="1">
        <v>17.0</v>
      </c>
      <c r="K425" s="1">
        <v>17.0</v>
      </c>
      <c r="L425" s="1">
        <v>20.0</v>
      </c>
      <c r="M425" s="1">
        <v>20.0</v>
      </c>
      <c r="N425" s="1" t="s">
        <v>51</v>
      </c>
      <c r="O425" s="1">
        <v>35.0</v>
      </c>
      <c r="P425" s="1">
        <v>20.0</v>
      </c>
      <c r="Q425" s="1">
        <v>20.0</v>
      </c>
      <c r="R425" s="1">
        <v>15.0</v>
      </c>
      <c r="S425" s="1">
        <v>15.0</v>
      </c>
      <c r="T425" s="1" t="s">
        <v>52</v>
      </c>
      <c r="U425" s="1">
        <v>44.0</v>
      </c>
      <c r="V425" s="1">
        <v>18.0</v>
      </c>
      <c r="W425" s="1">
        <v>18.0</v>
      </c>
      <c r="X425" s="1">
        <v>26.0</v>
      </c>
      <c r="Y425" s="1">
        <v>26.0</v>
      </c>
      <c r="Z425" s="1" t="s">
        <v>53</v>
      </c>
      <c r="AA425" s="1">
        <v>36.0</v>
      </c>
      <c r="AB425" s="1">
        <v>20.0</v>
      </c>
      <c r="AC425" s="1">
        <v>20.0</v>
      </c>
      <c r="AD425" s="1">
        <v>16.0</v>
      </c>
      <c r="AE425" s="1">
        <v>16.0</v>
      </c>
      <c r="AF425" s="1" t="s">
        <v>54</v>
      </c>
      <c r="AG425" s="1">
        <v>27.0</v>
      </c>
      <c r="AH425" s="1">
        <v>12.0</v>
      </c>
      <c r="AI425" s="1">
        <v>12.0</v>
      </c>
      <c r="AJ425" s="1">
        <v>15.0</v>
      </c>
      <c r="AK425" s="1">
        <v>15.0</v>
      </c>
      <c r="AL425" s="1">
        <v>179.0</v>
      </c>
      <c r="AM425" s="1" t="s">
        <v>55</v>
      </c>
      <c r="AN425" s="1" t="s">
        <v>55</v>
      </c>
      <c r="AO425" s="1" t="s">
        <v>55</v>
      </c>
      <c r="AP425" s="1" t="s">
        <v>2302</v>
      </c>
      <c r="AQ425" s="3" t="str">
        <f>HYPERLINK("https://icf.clappia.com/app/GMB253374/submission/JIV92343159/ICF247370-GMB253374-281jnpgjj31ki0000000/SIG-20250702_1124h8aao.jpeg", "SIG-20250702_1124h8aao.jpeg")</f>
        <v>SIG-20250702_1124h8aao.jpeg</v>
      </c>
      <c r="AR425" s="1" t="s">
        <v>2303</v>
      </c>
      <c r="AS425" s="3" t="str">
        <f>HYPERLINK("https://icf.clappia.com/app/GMB253374/submission/JIV92343159/ICF247370-GMB253374-1gn30iijj3fkk0000000/SIG-20250702_1125ndfcn.jpeg", "SIG-20250702_1125ndfcn.jpeg")</f>
        <v>SIG-20250702_1125ndfcn.jpeg</v>
      </c>
      <c r="AT425" s="1" t="s">
        <v>2304</v>
      </c>
      <c r="AU425" s="3" t="str">
        <f>HYPERLINK("https://icf.clappia.com/app/GMB253374/submission/JIV92343159/ICF247370-GMB253374-10p2lb8c8meak0000000/SIG-20250702_112816lfog.jpeg", "SIG-20250702_112816lfog.jpeg")</f>
        <v>SIG-20250702_112816lfog.jpeg</v>
      </c>
      <c r="AV425" s="3" t="str">
        <f>HYPERLINK("https://www.google.com/maps/place/9.0009417%2C-12.0077233", "9.0009417,-12.0077233")</f>
        <v>9.0009417,-12.0077233</v>
      </c>
    </row>
    <row r="426" ht="15.75" customHeight="1">
      <c r="A426" s="1" t="s">
        <v>2305</v>
      </c>
      <c r="B426" s="1" t="s">
        <v>335</v>
      </c>
      <c r="C426" s="1" t="s">
        <v>2306</v>
      </c>
      <c r="D426" s="1" t="s">
        <v>2306</v>
      </c>
      <c r="E426" s="1" t="s">
        <v>2307</v>
      </c>
      <c r="F426" s="1" t="s">
        <v>64</v>
      </c>
      <c r="G426" s="1">
        <v>135.0</v>
      </c>
      <c r="H426" s="1" t="s">
        <v>50</v>
      </c>
      <c r="I426" s="1">
        <v>45.0</v>
      </c>
      <c r="J426" s="1">
        <v>20.0</v>
      </c>
      <c r="K426" s="1">
        <v>19.0</v>
      </c>
      <c r="L426" s="1">
        <v>25.0</v>
      </c>
      <c r="M426" s="1">
        <v>25.0</v>
      </c>
      <c r="N426" s="1" t="s">
        <v>51</v>
      </c>
      <c r="O426" s="1">
        <v>37.0</v>
      </c>
      <c r="P426" s="1">
        <v>18.0</v>
      </c>
      <c r="Q426" s="1">
        <v>18.0</v>
      </c>
      <c r="R426" s="1">
        <v>19.0</v>
      </c>
      <c r="S426" s="1">
        <v>19.0</v>
      </c>
      <c r="T426" s="1" t="s">
        <v>52</v>
      </c>
      <c r="U426" s="1">
        <v>22.0</v>
      </c>
      <c r="V426" s="1">
        <v>10.0</v>
      </c>
      <c r="W426" s="1">
        <v>10.0</v>
      </c>
      <c r="X426" s="1">
        <v>12.0</v>
      </c>
      <c r="Y426" s="1">
        <v>12.0</v>
      </c>
      <c r="Z426" s="1" t="s">
        <v>53</v>
      </c>
      <c r="AA426" s="1">
        <v>16.0</v>
      </c>
      <c r="AB426" s="1">
        <v>7.0</v>
      </c>
      <c r="AC426" s="1">
        <v>7.0</v>
      </c>
      <c r="AD426" s="1">
        <v>9.0</v>
      </c>
      <c r="AE426" s="1">
        <v>8.0</v>
      </c>
      <c r="AF426" s="1" t="s">
        <v>54</v>
      </c>
      <c r="AG426" s="1">
        <v>15.0</v>
      </c>
      <c r="AH426" s="1">
        <v>6.0</v>
      </c>
      <c r="AI426" s="1">
        <v>6.0</v>
      </c>
      <c r="AJ426" s="1">
        <v>9.0</v>
      </c>
      <c r="AK426" s="1">
        <v>9.0</v>
      </c>
      <c r="AL426" s="1">
        <v>133.0</v>
      </c>
      <c r="AM426" s="1">
        <v>2.0</v>
      </c>
      <c r="AN426" s="1" t="s">
        <v>55</v>
      </c>
      <c r="AO426" s="1" t="s">
        <v>55</v>
      </c>
      <c r="AP426" s="1" t="s">
        <v>2308</v>
      </c>
      <c r="AQ426" s="3" t="str">
        <f>HYPERLINK("https://icf.clappia.com/app/GMB253374/submission/IDQ04160186/ICF247370-GMB253374-1bjeg18m94iba000000/SIG-20250702_09211a2kai.jpeg", "SIG-20250702_09211a2kai.jpeg")</f>
        <v>SIG-20250702_09211a2kai.jpeg</v>
      </c>
      <c r="AR426" s="1" t="s">
        <v>2309</v>
      </c>
      <c r="AS426" s="3" t="str">
        <f>HYPERLINK("https://icf.clappia.com/app/GMB253374/submission/IDQ04160186/ICF247370-GMB253374-20ad2g6hhabgk0000000/SIG-20250702_09212dk4o.jpeg", "SIG-20250702_09212dk4o.jpeg")</f>
        <v>SIG-20250702_09212dk4o.jpeg</v>
      </c>
      <c r="AT426" s="1" t="s">
        <v>2310</v>
      </c>
      <c r="AU426" s="3" t="str">
        <f>HYPERLINK("https://icf.clappia.com/app/GMB253374/submission/IDQ04160186/ICF247370-GMB253374-50d8bkc8e5og00000000/SIG-20250702_0921bn14e.jpeg", "SIG-20250702_0921bn14e.jpeg")</f>
        <v>SIG-20250702_0921bn14e.jpeg</v>
      </c>
      <c r="AV426" s="3" t="str">
        <f>HYPERLINK("https://www.google.com/maps/place/8.1748483%2C-11.6770382", "8.1748483,-11.6770382")</f>
        <v>8.1748483,-11.6770382</v>
      </c>
    </row>
    <row r="427" ht="15.75" customHeight="1">
      <c r="A427" s="1" t="s">
        <v>2311</v>
      </c>
      <c r="B427" s="1" t="s">
        <v>690</v>
      </c>
      <c r="C427" s="1" t="s">
        <v>2306</v>
      </c>
      <c r="D427" s="1" t="s">
        <v>2306</v>
      </c>
      <c r="E427" s="1" t="s">
        <v>2312</v>
      </c>
      <c r="F427" s="1" t="s">
        <v>64</v>
      </c>
      <c r="G427" s="1">
        <v>300.0</v>
      </c>
      <c r="H427" s="1" t="s">
        <v>50</v>
      </c>
      <c r="I427" s="1">
        <v>80.0</v>
      </c>
      <c r="J427" s="1">
        <v>39.0</v>
      </c>
      <c r="K427" s="1">
        <v>36.0</v>
      </c>
      <c r="L427" s="1">
        <v>41.0</v>
      </c>
      <c r="M427" s="1">
        <v>39.0</v>
      </c>
      <c r="N427" s="1" t="s">
        <v>51</v>
      </c>
      <c r="O427" s="1">
        <v>62.0</v>
      </c>
      <c r="P427" s="1">
        <v>32.0</v>
      </c>
      <c r="Q427" s="1">
        <v>30.0</v>
      </c>
      <c r="R427" s="1">
        <v>30.0</v>
      </c>
      <c r="S427" s="1">
        <v>30.0</v>
      </c>
      <c r="T427" s="1" t="s">
        <v>52</v>
      </c>
      <c r="U427" s="1">
        <v>63.0</v>
      </c>
      <c r="V427" s="1">
        <v>31.0</v>
      </c>
      <c r="W427" s="1">
        <v>29.0</v>
      </c>
      <c r="X427" s="1">
        <v>32.0</v>
      </c>
      <c r="Y427" s="1">
        <v>30.0</v>
      </c>
      <c r="Z427" s="1" t="s">
        <v>53</v>
      </c>
      <c r="AA427" s="1">
        <v>52.0</v>
      </c>
      <c r="AB427" s="1">
        <v>20.0</v>
      </c>
      <c r="AC427" s="1">
        <v>20.0</v>
      </c>
      <c r="AD427" s="1">
        <v>32.0</v>
      </c>
      <c r="AE427" s="1">
        <v>30.0</v>
      </c>
      <c r="AF427" s="1" t="s">
        <v>54</v>
      </c>
      <c r="AG427" s="1">
        <v>56.0</v>
      </c>
      <c r="AH427" s="1">
        <v>25.0</v>
      </c>
      <c r="AI427" s="1">
        <v>20.0</v>
      </c>
      <c r="AJ427" s="1">
        <v>30.0</v>
      </c>
      <c r="AK427" s="1">
        <v>28.0</v>
      </c>
      <c r="AL427" s="1">
        <v>292.0</v>
      </c>
      <c r="AM427" s="1" t="s">
        <v>55</v>
      </c>
      <c r="AN427" s="1">
        <v>8.0</v>
      </c>
      <c r="AO427" s="1">
        <v>8.0</v>
      </c>
      <c r="AP427" s="1" t="s">
        <v>694</v>
      </c>
      <c r="AQ427" s="3" t="str">
        <f>HYPERLINK("https://icf.clappia.com/app/GMB253374/submission/AAX02214702/ICF247370-GMB253374-5pj213pija860000000/SIG-20250702_11265m966.jpeg", "SIG-20250702_11265m966.jpeg")</f>
        <v>SIG-20250702_11265m966.jpeg</v>
      </c>
      <c r="AR427" s="1" t="s">
        <v>2313</v>
      </c>
      <c r="AS427" s="3" t="str">
        <f>HYPERLINK("https://icf.clappia.com/app/GMB253374/submission/AAX02214702/ICF247370-GMB253374-544hb9bcb18400000000/SIG-20250702_112730abn.jpeg", "SIG-20250702_112730abn.jpeg")</f>
        <v>SIG-20250702_112730abn.jpeg</v>
      </c>
      <c r="AT427" s="1" t="s">
        <v>2314</v>
      </c>
      <c r="AU427" s="3" t="str">
        <f>HYPERLINK("https://icf.clappia.com/app/GMB253374/submission/AAX02214702/ICF247370-GMB253374-737883ili1im0000000/SIG-20250702_112810odi4.jpeg", "SIG-20250702_112810odi4.jpeg")</f>
        <v>SIG-20250702_112810odi4.jpeg</v>
      </c>
      <c r="AV427" s="3" t="str">
        <f>HYPERLINK("https://www.google.com/maps/place/8.8690716%2C-12.0488006", "8.8690716,-12.0488006")</f>
        <v>8.8690716,-12.0488006</v>
      </c>
    </row>
    <row r="428" ht="15.75" customHeight="1">
      <c r="A428" s="1" t="s">
        <v>2315</v>
      </c>
      <c r="B428" s="1" t="s">
        <v>94</v>
      </c>
      <c r="C428" s="1" t="s">
        <v>2316</v>
      </c>
      <c r="D428" s="1" t="s">
        <v>2317</v>
      </c>
      <c r="E428" s="1" t="s">
        <v>2318</v>
      </c>
      <c r="F428" s="1" t="s">
        <v>64</v>
      </c>
      <c r="G428" s="1">
        <v>208.0</v>
      </c>
      <c r="H428" s="1" t="s">
        <v>50</v>
      </c>
      <c r="I428" s="1">
        <v>68.0</v>
      </c>
      <c r="J428" s="1">
        <v>36.0</v>
      </c>
      <c r="K428" s="1">
        <v>29.0</v>
      </c>
      <c r="L428" s="1">
        <v>32.0</v>
      </c>
      <c r="M428" s="1">
        <v>26.0</v>
      </c>
      <c r="N428" s="1" t="s">
        <v>51</v>
      </c>
      <c r="O428" s="1">
        <v>75.0</v>
      </c>
      <c r="P428" s="1">
        <v>36.0</v>
      </c>
      <c r="Q428" s="1">
        <v>30.0</v>
      </c>
      <c r="R428" s="1">
        <v>39.0</v>
      </c>
      <c r="S428" s="1">
        <v>33.0</v>
      </c>
      <c r="T428" s="1" t="s">
        <v>52</v>
      </c>
      <c r="U428" s="1">
        <v>45.0</v>
      </c>
      <c r="V428" s="1">
        <v>27.0</v>
      </c>
      <c r="W428" s="1">
        <v>25.0</v>
      </c>
      <c r="X428" s="1">
        <v>18.0</v>
      </c>
      <c r="Y428" s="1">
        <v>17.0</v>
      </c>
      <c r="Z428" s="1" t="s">
        <v>53</v>
      </c>
      <c r="AA428" s="1">
        <v>27.0</v>
      </c>
      <c r="AB428" s="1">
        <v>17.0</v>
      </c>
      <c r="AC428" s="1">
        <v>16.0</v>
      </c>
      <c r="AD428" s="1">
        <v>10.0</v>
      </c>
      <c r="AE428" s="1">
        <v>9.0</v>
      </c>
      <c r="AF428" s="1" t="s">
        <v>54</v>
      </c>
      <c r="AG428" s="1">
        <v>23.0</v>
      </c>
      <c r="AH428" s="1">
        <v>13.0</v>
      </c>
      <c r="AI428" s="1">
        <v>13.0</v>
      </c>
      <c r="AJ428" s="1">
        <v>10.0</v>
      </c>
      <c r="AK428" s="1">
        <v>10.0</v>
      </c>
      <c r="AL428" s="1">
        <v>208.0</v>
      </c>
      <c r="AM428" s="1" t="s">
        <v>55</v>
      </c>
      <c r="AN428" s="1" t="s">
        <v>55</v>
      </c>
      <c r="AO428" s="1" t="s">
        <v>55</v>
      </c>
      <c r="AP428" s="1" t="s">
        <v>2319</v>
      </c>
      <c r="AQ428" s="3" t="str">
        <f>HYPERLINK("https://icf.clappia.com/app/GMB253374/submission/HVY09431573/ICF247370-GMB253374-5mlg0bk3d96000000000/SIG-20250702_112215h1le.jpeg", "SIG-20250702_112215h1le.jpeg")</f>
        <v>SIG-20250702_112215h1le.jpeg</v>
      </c>
      <c r="AR428" s="1" t="s">
        <v>2320</v>
      </c>
      <c r="AS428" s="3" t="str">
        <f>HYPERLINK("https://icf.clappia.com/app/GMB253374/submission/HVY09431573/ICF247370-GMB253374-44p1iig7e9600000000/SIG-20250702_1123167fm3.jpeg", "SIG-20250702_1123167fm3.jpeg")</f>
        <v>SIG-20250702_1123167fm3.jpeg</v>
      </c>
      <c r="AT428" s="1" t="s">
        <v>2321</v>
      </c>
      <c r="AU428" s="3" t="str">
        <f>HYPERLINK("https://icf.clappia.com/app/GMB253374/submission/HVY09431573/ICF247370-GMB253374-5004ng8h9b4800000000/SIG-20250702_11241701el.jpeg", "SIG-20250702_11241701el.jpeg")</f>
        <v>SIG-20250702_11241701el.jpeg</v>
      </c>
      <c r="AV428" s="3" t="str">
        <f>HYPERLINK("https://www.google.com/maps/place/7.6820717%2C-11.8122283", "7.6820717,-11.8122283")</f>
        <v>7.6820717,-11.8122283</v>
      </c>
    </row>
    <row r="429" ht="15.75" customHeight="1">
      <c r="A429" s="1" t="s">
        <v>2322</v>
      </c>
      <c r="B429" s="1" t="s">
        <v>142</v>
      </c>
      <c r="C429" s="1" t="s">
        <v>2323</v>
      </c>
      <c r="D429" s="1" t="s">
        <v>2323</v>
      </c>
      <c r="E429" s="1" t="s">
        <v>2324</v>
      </c>
      <c r="F429" s="1" t="s">
        <v>64</v>
      </c>
      <c r="G429" s="1">
        <v>150.0</v>
      </c>
      <c r="H429" s="1" t="s">
        <v>50</v>
      </c>
      <c r="I429" s="1">
        <v>56.0</v>
      </c>
      <c r="J429" s="1">
        <v>26.0</v>
      </c>
      <c r="K429" s="1">
        <v>26.0</v>
      </c>
      <c r="L429" s="1">
        <v>30.0</v>
      </c>
      <c r="M429" s="1">
        <v>27.0</v>
      </c>
      <c r="N429" s="1" t="s">
        <v>51</v>
      </c>
      <c r="O429" s="1">
        <v>28.0</v>
      </c>
      <c r="P429" s="1">
        <v>13.0</v>
      </c>
      <c r="Q429" s="1">
        <v>12.0</v>
      </c>
      <c r="R429" s="1">
        <v>15.0</v>
      </c>
      <c r="S429" s="1">
        <v>13.0</v>
      </c>
      <c r="T429" s="1" t="s">
        <v>52</v>
      </c>
      <c r="U429" s="1">
        <v>29.0</v>
      </c>
      <c r="V429" s="1">
        <v>14.0</v>
      </c>
      <c r="W429" s="1">
        <v>11.0</v>
      </c>
      <c r="X429" s="1">
        <v>15.0</v>
      </c>
      <c r="Y429" s="1">
        <v>12.0</v>
      </c>
      <c r="Z429" s="1" t="s">
        <v>53</v>
      </c>
      <c r="AA429" s="1">
        <v>25.0</v>
      </c>
      <c r="AB429" s="1">
        <v>15.0</v>
      </c>
      <c r="AC429" s="1">
        <v>13.0</v>
      </c>
      <c r="AD429" s="1">
        <v>10.0</v>
      </c>
      <c r="AE429" s="1">
        <v>7.0</v>
      </c>
      <c r="AF429" s="1" t="s">
        <v>54</v>
      </c>
      <c r="AG429" s="1">
        <v>25.0</v>
      </c>
      <c r="AH429" s="1">
        <v>15.0</v>
      </c>
      <c r="AI429" s="1">
        <v>13.0</v>
      </c>
      <c r="AJ429" s="1">
        <v>10.0</v>
      </c>
      <c r="AK429" s="1">
        <v>7.0</v>
      </c>
      <c r="AL429" s="1">
        <v>141.0</v>
      </c>
      <c r="AM429" s="1" t="s">
        <v>55</v>
      </c>
      <c r="AN429" s="1">
        <v>9.0</v>
      </c>
      <c r="AO429" s="1">
        <v>9.0</v>
      </c>
      <c r="AP429" s="1" t="s">
        <v>145</v>
      </c>
      <c r="AQ429" s="3" t="str">
        <f>HYPERLINK("https://icf.clappia.com/app/GMB253374/submission/AHT16274299/ICF247370-GMB253374-1d04k8500ab8k0000000/SIG-20250702_1124n498e.jpeg", "SIG-20250702_1124n498e.jpeg")</f>
        <v>SIG-20250702_1124n498e.jpeg</v>
      </c>
      <c r="AR429" s="1" t="s">
        <v>146</v>
      </c>
      <c r="AS429" s="3" t="str">
        <f>HYPERLINK("https://icf.clappia.com/app/GMB253374/submission/AHT16274299/ICF247370-GMB253374-4dmp4k0h8h9k00000000/SIG-20250702_1125do2ha.jpeg", "SIG-20250702_1125do2ha.jpeg")</f>
        <v>SIG-20250702_1125do2ha.jpeg</v>
      </c>
      <c r="AT429" s="1" t="s">
        <v>147</v>
      </c>
      <c r="AU429" s="3" t="str">
        <f>HYPERLINK("https://icf.clappia.com/app/GMB253374/submission/AHT16274299/ICF247370-GMB253374-1887pkhlha4o00000000/SIG-20250702_112519cgp8.jpeg", "SIG-20250702_112519cgp8.jpeg")</f>
        <v>SIG-20250702_112519cgp8.jpeg</v>
      </c>
      <c r="AV429" s="3" t="str">
        <f>HYPERLINK("https://www.google.com/maps/place/7.9466401%2C-12.0884322", "7.9466401,-12.0884322")</f>
        <v>7.9466401,-12.0884322</v>
      </c>
    </row>
    <row r="430" ht="15.75" customHeight="1">
      <c r="A430" s="1" t="s">
        <v>2325</v>
      </c>
      <c r="B430" s="1" t="s">
        <v>81</v>
      </c>
      <c r="C430" s="1" t="s">
        <v>2316</v>
      </c>
      <c r="D430" s="1" t="s">
        <v>2316</v>
      </c>
      <c r="E430" s="1" t="s">
        <v>2326</v>
      </c>
      <c r="F430" s="1" t="s">
        <v>64</v>
      </c>
      <c r="G430" s="1">
        <v>150.0</v>
      </c>
      <c r="H430" s="1" t="s">
        <v>50</v>
      </c>
      <c r="I430" s="1">
        <v>45.0</v>
      </c>
      <c r="J430" s="1">
        <v>24.0</v>
      </c>
      <c r="K430" s="1">
        <v>24.0</v>
      </c>
      <c r="L430" s="1">
        <v>21.0</v>
      </c>
      <c r="M430" s="1">
        <v>21.0</v>
      </c>
      <c r="N430" s="1" t="s">
        <v>51</v>
      </c>
      <c r="O430" s="1">
        <v>25.0</v>
      </c>
      <c r="P430" s="1">
        <v>10.0</v>
      </c>
      <c r="Q430" s="1">
        <v>10.0</v>
      </c>
      <c r="R430" s="1">
        <v>15.0</v>
      </c>
      <c r="S430" s="1">
        <v>15.0</v>
      </c>
      <c r="T430" s="1" t="s">
        <v>52</v>
      </c>
      <c r="U430" s="1">
        <v>26.0</v>
      </c>
      <c r="V430" s="1">
        <v>13.0</v>
      </c>
      <c r="W430" s="1">
        <v>13.0</v>
      </c>
      <c r="X430" s="1">
        <v>13.0</v>
      </c>
      <c r="Y430" s="1">
        <v>13.0</v>
      </c>
      <c r="Z430" s="1" t="s">
        <v>53</v>
      </c>
      <c r="AA430" s="1">
        <v>19.0</v>
      </c>
      <c r="AB430" s="1">
        <v>11.0</v>
      </c>
      <c r="AC430" s="1">
        <v>11.0</v>
      </c>
      <c r="AD430" s="1">
        <v>8.0</v>
      </c>
      <c r="AE430" s="1">
        <v>8.0</v>
      </c>
      <c r="AF430" s="1" t="s">
        <v>54</v>
      </c>
      <c r="AG430" s="1">
        <v>11.0</v>
      </c>
      <c r="AH430" s="1">
        <v>5.0</v>
      </c>
      <c r="AI430" s="1">
        <v>5.0</v>
      </c>
      <c r="AJ430" s="1">
        <v>6.0</v>
      </c>
      <c r="AK430" s="1">
        <v>6.0</v>
      </c>
      <c r="AL430" s="1">
        <v>126.0</v>
      </c>
      <c r="AM430" s="1" t="s">
        <v>55</v>
      </c>
      <c r="AN430" s="1">
        <v>24.0</v>
      </c>
      <c r="AO430" s="1">
        <v>24.0</v>
      </c>
      <c r="AP430" s="1" t="s">
        <v>176</v>
      </c>
      <c r="AQ430" s="3" t="str">
        <f>HYPERLINK("https://icf.clappia.com/app/GMB253374/submission/PMF18346301/ICF247370-GMB253374-38jhoh4fldk800000000/SIG-20250702_111618jd8f.jpeg", "SIG-20250702_111618jd8f.jpeg")</f>
        <v>SIG-20250702_111618jd8f.jpeg</v>
      </c>
      <c r="AR430" s="1" t="s">
        <v>177</v>
      </c>
      <c r="AS430" s="3" t="str">
        <f>HYPERLINK("https://icf.clappia.com/app/GMB253374/submission/PMF18346301/ICF247370-GMB253374-5bdbd69me1mi00000000/SIG-20250702_11177gg9a.jpeg", "SIG-20250702_11177gg9a.jpeg")</f>
        <v>SIG-20250702_11177gg9a.jpeg</v>
      </c>
      <c r="AT430" s="1" t="s">
        <v>178</v>
      </c>
      <c r="AU430" s="3" t="str">
        <f>HYPERLINK("https://icf.clappia.com/app/GMB253374/submission/PMF18346301/ICF247370-GMB253374-2hfngmgp5oh200000000/SIG-20250702_1118176ii1.jpeg", "SIG-20250702_1118176ii1.jpeg")</f>
        <v>SIG-20250702_1118176ii1.jpeg</v>
      </c>
      <c r="AV430" s="3" t="str">
        <f>HYPERLINK("https://www.google.com/maps/place/7.9566317%2C-11.7398317", "7.9566317,-11.7398317")</f>
        <v>7.9566317,-11.7398317</v>
      </c>
    </row>
    <row r="431" ht="15.75" customHeight="1">
      <c r="A431" s="1" t="s">
        <v>2327</v>
      </c>
      <c r="B431" s="1" t="s">
        <v>2328</v>
      </c>
      <c r="C431" s="1" t="s">
        <v>2316</v>
      </c>
      <c r="D431" s="1" t="s">
        <v>2316</v>
      </c>
      <c r="E431" s="1" t="s">
        <v>2329</v>
      </c>
      <c r="F431" s="1" t="s">
        <v>64</v>
      </c>
      <c r="G431" s="1">
        <v>261.0</v>
      </c>
      <c r="H431" s="1" t="s">
        <v>50</v>
      </c>
      <c r="I431" s="1">
        <v>80.0</v>
      </c>
      <c r="J431" s="1">
        <v>50.0</v>
      </c>
      <c r="K431" s="1">
        <v>48.0</v>
      </c>
      <c r="L431" s="1">
        <v>30.0</v>
      </c>
      <c r="M431" s="1">
        <v>29.0</v>
      </c>
      <c r="N431" s="1" t="s">
        <v>51</v>
      </c>
      <c r="O431" s="1">
        <v>62.0</v>
      </c>
      <c r="P431" s="1">
        <v>28.0</v>
      </c>
      <c r="Q431" s="1">
        <v>27.0</v>
      </c>
      <c r="R431" s="1">
        <v>34.0</v>
      </c>
      <c r="S431" s="1">
        <v>34.0</v>
      </c>
      <c r="T431" s="1" t="s">
        <v>52</v>
      </c>
      <c r="U431" s="1">
        <v>45.0</v>
      </c>
      <c r="V431" s="1">
        <v>25.0</v>
      </c>
      <c r="W431" s="1">
        <v>24.0</v>
      </c>
      <c r="X431" s="1">
        <v>20.0</v>
      </c>
      <c r="Y431" s="1">
        <v>18.0</v>
      </c>
      <c r="Z431" s="1" t="s">
        <v>53</v>
      </c>
      <c r="AA431" s="1" t="s">
        <v>55</v>
      </c>
      <c r="AB431" s="1" t="s">
        <v>55</v>
      </c>
      <c r="AC431" s="1" t="s">
        <v>55</v>
      </c>
      <c r="AD431" s="1" t="s">
        <v>55</v>
      </c>
      <c r="AE431" s="1" t="s">
        <v>55</v>
      </c>
      <c r="AF431" s="1" t="s">
        <v>54</v>
      </c>
      <c r="AG431" s="1" t="s">
        <v>55</v>
      </c>
      <c r="AH431" s="1" t="s">
        <v>55</v>
      </c>
      <c r="AI431" s="1" t="s">
        <v>55</v>
      </c>
      <c r="AJ431" s="1" t="s">
        <v>55</v>
      </c>
      <c r="AK431" s="1" t="s">
        <v>55</v>
      </c>
      <c r="AL431" s="1">
        <v>180.0</v>
      </c>
      <c r="AM431" s="1" t="s">
        <v>55</v>
      </c>
      <c r="AN431" s="1">
        <v>81.0</v>
      </c>
      <c r="AO431" s="1" t="s">
        <v>55</v>
      </c>
      <c r="AP431" s="1" t="s">
        <v>2330</v>
      </c>
      <c r="AQ431" s="3" t="str">
        <f>HYPERLINK("https://icf.clappia.com/app/GMB253374/submission/AME64860609/ICF247370-GMB253374-2l0ekfj11l0c0000000/SIG-20250702_1120135d5b.jpeg", "SIG-20250702_1120135d5b.jpeg")</f>
        <v>SIG-20250702_1120135d5b.jpeg</v>
      </c>
      <c r="AR431" s="1" t="s">
        <v>2331</v>
      </c>
      <c r="AS431" s="3" t="str">
        <f>HYPERLINK("https://icf.clappia.com/app/GMB253374/submission/AME64860609/ICF247370-GMB253374-3lgnhagielaa00000000/SIG-20250702_1121178ijp.jpeg", "SIG-20250702_1121178ijp.jpeg")</f>
        <v>SIG-20250702_1121178ijp.jpeg</v>
      </c>
      <c r="AT431" s="1" t="s">
        <v>2332</v>
      </c>
      <c r="AU431" s="3" t="str">
        <f>HYPERLINK("https://icf.clappia.com/app/GMB253374/submission/AME64860609/ICF247370-GMB253374-4mcdk8mpfab800000000/SIG-20250702_1122k02j7.jpeg", "SIG-20250702_1122k02j7.jpeg")</f>
        <v>SIG-20250702_1122k02j7.jpeg</v>
      </c>
      <c r="AV431" s="3" t="str">
        <f>HYPERLINK("https://www.google.com/maps/place/8.0701967%2C-11.4648933", "8.0701967,-11.4648933")</f>
        <v>8.0701967,-11.4648933</v>
      </c>
    </row>
    <row r="432" ht="15.75" customHeight="1">
      <c r="A432" s="1" t="s">
        <v>2333</v>
      </c>
      <c r="B432" s="1" t="s">
        <v>81</v>
      </c>
      <c r="C432" s="1" t="s">
        <v>2316</v>
      </c>
      <c r="D432" s="1" t="s">
        <v>2316</v>
      </c>
      <c r="E432" s="1" t="s">
        <v>2334</v>
      </c>
      <c r="F432" s="1" t="s">
        <v>49</v>
      </c>
      <c r="G432" s="1">
        <v>45.0</v>
      </c>
      <c r="H432" s="1" t="s">
        <v>50</v>
      </c>
      <c r="I432" s="1">
        <v>18.0</v>
      </c>
      <c r="J432" s="1">
        <v>8.0</v>
      </c>
      <c r="K432" s="1">
        <v>8.0</v>
      </c>
      <c r="L432" s="1">
        <v>10.0</v>
      </c>
      <c r="M432" s="1">
        <v>10.0</v>
      </c>
      <c r="N432" s="1" t="s">
        <v>51</v>
      </c>
      <c r="O432" s="1">
        <v>3.0</v>
      </c>
      <c r="P432" s="1">
        <v>2.0</v>
      </c>
      <c r="Q432" s="1">
        <v>2.0</v>
      </c>
      <c r="R432" s="1">
        <v>1.0</v>
      </c>
      <c r="S432" s="1">
        <v>1.0</v>
      </c>
      <c r="T432" s="1" t="s">
        <v>52</v>
      </c>
      <c r="U432" s="1">
        <v>10.0</v>
      </c>
      <c r="V432" s="1">
        <v>4.0</v>
      </c>
      <c r="W432" s="1">
        <v>1.0</v>
      </c>
      <c r="X432" s="1">
        <v>6.0</v>
      </c>
      <c r="Y432" s="1">
        <v>3.0</v>
      </c>
      <c r="Z432" s="1" t="s">
        <v>53</v>
      </c>
      <c r="AA432" s="1" t="s">
        <v>55</v>
      </c>
      <c r="AB432" s="1" t="s">
        <v>55</v>
      </c>
      <c r="AC432" s="1" t="s">
        <v>55</v>
      </c>
      <c r="AD432" s="1" t="s">
        <v>55</v>
      </c>
      <c r="AE432" s="1" t="s">
        <v>55</v>
      </c>
      <c r="AF432" s="1" t="s">
        <v>54</v>
      </c>
      <c r="AG432" s="1" t="s">
        <v>55</v>
      </c>
      <c r="AH432" s="1" t="s">
        <v>55</v>
      </c>
      <c r="AI432" s="1" t="s">
        <v>55</v>
      </c>
      <c r="AJ432" s="1" t="s">
        <v>55</v>
      </c>
      <c r="AK432" s="1" t="s">
        <v>55</v>
      </c>
      <c r="AL432" s="1">
        <v>25.0</v>
      </c>
      <c r="AM432" s="1">
        <v>8.0</v>
      </c>
      <c r="AN432" s="1">
        <v>12.0</v>
      </c>
      <c r="AO432" s="1">
        <v>12.0</v>
      </c>
      <c r="AP432" s="1" t="s">
        <v>1193</v>
      </c>
      <c r="AQ432" s="3" t="str">
        <f>HYPERLINK("https://icf.clappia.com/app/GMB253374/submission/YDN05066794/ICF247370-GMB253374-35pjgecm224i00000000/SIG-20250702_11208k2d4.jpeg", "SIG-20250702_11208k2d4.jpeg")</f>
        <v>SIG-20250702_11208k2d4.jpeg</v>
      </c>
      <c r="AR432" s="1" t="s">
        <v>1194</v>
      </c>
      <c r="AS432" s="3" t="str">
        <f>HYPERLINK("https://icf.clappia.com/app/GMB253374/submission/YDN05066794/ICF247370-GMB253374-550mjblfbm0a00000000/SIG-20250702_112319ceh4.jpeg", "SIG-20250702_112319ceh4.jpeg")</f>
        <v>SIG-20250702_112319ceh4.jpeg</v>
      </c>
      <c r="AT432" s="1" t="s">
        <v>1195</v>
      </c>
      <c r="AU432" s="3" t="str">
        <f>HYPERLINK("https://icf.clappia.com/app/GMB253374/submission/YDN05066794/ICF247370-GMB253374-23fo888lm9lok0000000/SIG-20250702_1124dc0b0.jpeg", "SIG-20250702_1124dc0b0.jpeg")</f>
        <v>SIG-20250702_1124dc0b0.jpeg</v>
      </c>
      <c r="AV432" s="3" t="str">
        <f>HYPERLINK("https://www.google.com/maps/place/7.9458245%2C-11.7230208", "7.9458245,-11.7230208")</f>
        <v>7.9458245,-11.7230208</v>
      </c>
    </row>
    <row r="433" ht="15.75" customHeight="1">
      <c r="A433" s="1" t="s">
        <v>2335</v>
      </c>
      <c r="B433" s="1" t="s">
        <v>189</v>
      </c>
      <c r="C433" s="1" t="s">
        <v>2336</v>
      </c>
      <c r="D433" s="1" t="s">
        <v>2336</v>
      </c>
      <c r="E433" s="1" t="s">
        <v>2337</v>
      </c>
      <c r="F433" s="1" t="s">
        <v>49</v>
      </c>
      <c r="G433" s="1">
        <v>157.0</v>
      </c>
      <c r="H433" s="1" t="s">
        <v>50</v>
      </c>
      <c r="I433" s="1">
        <v>61.0</v>
      </c>
      <c r="J433" s="1">
        <v>27.0</v>
      </c>
      <c r="K433" s="1">
        <v>25.0</v>
      </c>
      <c r="L433" s="1">
        <v>34.0</v>
      </c>
      <c r="M433" s="1">
        <v>28.0</v>
      </c>
      <c r="N433" s="1" t="s">
        <v>51</v>
      </c>
      <c r="O433" s="1">
        <v>41.0</v>
      </c>
      <c r="P433" s="1">
        <v>15.0</v>
      </c>
      <c r="Q433" s="1">
        <v>14.0</v>
      </c>
      <c r="R433" s="1">
        <v>26.0</v>
      </c>
      <c r="S433" s="1">
        <v>19.0</v>
      </c>
      <c r="T433" s="1" t="s">
        <v>52</v>
      </c>
      <c r="U433" s="1">
        <v>46.0</v>
      </c>
      <c r="V433" s="1">
        <v>23.0</v>
      </c>
      <c r="W433" s="1">
        <v>16.0</v>
      </c>
      <c r="X433" s="1">
        <v>23.0</v>
      </c>
      <c r="Y433" s="1">
        <v>16.0</v>
      </c>
      <c r="Z433" s="1" t="s">
        <v>53</v>
      </c>
      <c r="AA433" s="1">
        <v>20.0</v>
      </c>
      <c r="AB433" s="1">
        <v>8.0</v>
      </c>
      <c r="AC433" s="1">
        <v>8.0</v>
      </c>
      <c r="AD433" s="1">
        <v>12.0</v>
      </c>
      <c r="AE433" s="1">
        <v>12.0</v>
      </c>
      <c r="AF433" s="1" t="s">
        <v>54</v>
      </c>
      <c r="AG433" s="1">
        <v>19.0</v>
      </c>
      <c r="AH433" s="1">
        <v>8.0</v>
      </c>
      <c r="AI433" s="1">
        <v>8.0</v>
      </c>
      <c r="AJ433" s="1">
        <v>11.0</v>
      </c>
      <c r="AK433" s="1">
        <v>11.0</v>
      </c>
      <c r="AL433" s="1">
        <v>157.0</v>
      </c>
      <c r="AM433" s="1" t="s">
        <v>55</v>
      </c>
      <c r="AN433" s="1" t="s">
        <v>55</v>
      </c>
      <c r="AO433" s="1" t="s">
        <v>55</v>
      </c>
      <c r="AP433" s="1" t="s">
        <v>1205</v>
      </c>
      <c r="AQ433" s="3" t="str">
        <f>HYPERLINK("https://icf.clappia.com/app/GMB253374/submission/QEY38221200/ICF247370-GMB253374-3d6flenc2f580000000/SIG-20250702_1122m7gf2.jpeg", "SIG-20250702_1122m7gf2.jpeg")</f>
        <v>SIG-20250702_1122m7gf2.jpeg</v>
      </c>
      <c r="AR433" s="1" t="s">
        <v>2338</v>
      </c>
      <c r="AS433" s="3" t="str">
        <f>HYPERLINK("https://icf.clappia.com/app/GMB253374/submission/QEY38221200/ICF247370-GMB253374-2pg1i5kd5d5m00000000/SIG-20250702_1123ebpn7.jpeg", "SIG-20250702_1123ebpn7.jpeg")</f>
        <v>SIG-20250702_1123ebpn7.jpeg</v>
      </c>
      <c r="AT433" s="1" t="s">
        <v>1206</v>
      </c>
      <c r="AU433" s="3" t="str">
        <f>HYPERLINK("https://icf.clappia.com/app/GMB253374/submission/QEY38221200/ICF247370-GMB253374-2fhm00n7d50g00000000/SIG-20250702_1123d62e.jpeg", "SIG-20250702_1123d62e.jpeg")</f>
        <v>SIG-20250702_1123d62e.jpeg</v>
      </c>
      <c r="AV433" s="3" t="str">
        <f>HYPERLINK("https://www.google.com/maps/place/8.8862833%2C-12.036135", "8.8862833,-12.036135")</f>
        <v>8.8862833,-12.036135</v>
      </c>
    </row>
    <row r="434" ht="15.75" customHeight="1">
      <c r="A434" s="1" t="s">
        <v>2339</v>
      </c>
      <c r="B434" s="1" t="s">
        <v>81</v>
      </c>
      <c r="C434" s="1" t="s">
        <v>2340</v>
      </c>
      <c r="D434" s="1" t="s">
        <v>2340</v>
      </c>
      <c r="E434" s="1" t="s">
        <v>2341</v>
      </c>
      <c r="F434" s="1" t="s">
        <v>64</v>
      </c>
      <c r="G434" s="1">
        <v>110.0</v>
      </c>
      <c r="H434" s="1" t="s">
        <v>50</v>
      </c>
      <c r="I434" s="1">
        <v>28.0</v>
      </c>
      <c r="J434" s="1">
        <v>6.0</v>
      </c>
      <c r="K434" s="1">
        <v>5.0</v>
      </c>
      <c r="L434" s="1">
        <v>22.0</v>
      </c>
      <c r="M434" s="1">
        <v>13.0</v>
      </c>
      <c r="N434" s="1" t="s">
        <v>51</v>
      </c>
      <c r="O434" s="1">
        <v>18.0</v>
      </c>
      <c r="P434" s="1">
        <v>8.0</v>
      </c>
      <c r="Q434" s="1">
        <v>5.0</v>
      </c>
      <c r="R434" s="1">
        <v>10.0</v>
      </c>
      <c r="S434" s="1">
        <v>9.0</v>
      </c>
      <c r="T434" s="1" t="s">
        <v>52</v>
      </c>
      <c r="U434" s="1">
        <v>31.0</v>
      </c>
      <c r="V434" s="1">
        <v>11.0</v>
      </c>
      <c r="W434" s="1">
        <v>11.0</v>
      </c>
      <c r="X434" s="1">
        <v>20.0</v>
      </c>
      <c r="Y434" s="1">
        <v>16.0</v>
      </c>
      <c r="Z434" s="1" t="s">
        <v>53</v>
      </c>
      <c r="AA434" s="1">
        <v>25.0</v>
      </c>
      <c r="AB434" s="1">
        <v>15.0</v>
      </c>
      <c r="AC434" s="1">
        <v>15.0</v>
      </c>
      <c r="AD434" s="1">
        <v>10.0</v>
      </c>
      <c r="AE434" s="1">
        <v>5.0</v>
      </c>
      <c r="AF434" s="1" t="s">
        <v>54</v>
      </c>
      <c r="AG434" s="1">
        <v>27.0</v>
      </c>
      <c r="AH434" s="1">
        <v>15.0</v>
      </c>
      <c r="AI434" s="1">
        <v>11.0</v>
      </c>
      <c r="AJ434" s="1">
        <v>12.0</v>
      </c>
      <c r="AK434" s="1">
        <v>11.0</v>
      </c>
      <c r="AL434" s="1">
        <v>101.0</v>
      </c>
      <c r="AM434" s="1" t="s">
        <v>55</v>
      </c>
      <c r="AN434" s="1">
        <v>9.0</v>
      </c>
      <c r="AO434" s="1">
        <v>9.0</v>
      </c>
      <c r="AP434" s="1" t="s">
        <v>90</v>
      </c>
      <c r="AQ434" s="3" t="str">
        <f>HYPERLINK("https://icf.clappia.com/app/GMB253374/submission/AVO82692431/ICF247370-GMB253374-49ohd1e1l16800000000/SIG-20250702_110813mhef.jpeg", "SIG-20250702_110813mhef.jpeg")</f>
        <v>SIG-20250702_110813mhef.jpeg</v>
      </c>
      <c r="AR434" s="1" t="s">
        <v>91</v>
      </c>
      <c r="AS434" s="3" t="str">
        <f>HYPERLINK("https://icf.clappia.com/app/GMB253374/submission/AVO82692431/ICF247370-GMB253374-4471imjd5f9600000000/SIG-20250702_1111fiphb.jpeg", "SIG-20250702_1111fiphb.jpeg")</f>
        <v>SIG-20250702_1111fiphb.jpeg</v>
      </c>
      <c r="AT434" s="1" t="s">
        <v>92</v>
      </c>
      <c r="AU434" s="3" t="str">
        <f>HYPERLINK("https://icf.clappia.com/app/GMB253374/submission/AVO82692431/ICF247370-GMB253374-63l9oknefhe600000000/SIG-20250702_111210adf0.jpeg", "SIG-20250702_111210adf0.jpeg")</f>
        <v>SIG-20250702_111210adf0.jpeg</v>
      </c>
      <c r="AV434" s="3" t="str">
        <f>HYPERLINK("https://www.google.com/maps/place/7.9708699%2C-11.7361894", "7.9708699,-11.7361894")</f>
        <v>7.9708699,-11.7361894</v>
      </c>
    </row>
    <row r="435" ht="15.75" customHeight="1">
      <c r="A435" s="1" t="s">
        <v>2342</v>
      </c>
      <c r="B435" s="1" t="s">
        <v>580</v>
      </c>
      <c r="C435" s="1" t="s">
        <v>2343</v>
      </c>
      <c r="D435" s="1" t="s">
        <v>2343</v>
      </c>
      <c r="E435" s="1" t="s">
        <v>2344</v>
      </c>
      <c r="F435" s="1" t="s">
        <v>64</v>
      </c>
      <c r="G435" s="1">
        <v>150.0</v>
      </c>
      <c r="H435" s="1" t="s">
        <v>50</v>
      </c>
      <c r="I435" s="1">
        <v>39.0</v>
      </c>
      <c r="J435" s="1">
        <v>22.0</v>
      </c>
      <c r="K435" s="1">
        <v>18.0</v>
      </c>
      <c r="L435" s="1">
        <v>17.0</v>
      </c>
      <c r="M435" s="1">
        <v>11.0</v>
      </c>
      <c r="N435" s="1" t="s">
        <v>51</v>
      </c>
      <c r="O435" s="1">
        <v>36.0</v>
      </c>
      <c r="P435" s="1">
        <v>20.0</v>
      </c>
      <c r="Q435" s="1">
        <v>18.0</v>
      </c>
      <c r="R435" s="1">
        <v>16.0</v>
      </c>
      <c r="S435" s="1">
        <v>14.0</v>
      </c>
      <c r="T435" s="1" t="s">
        <v>52</v>
      </c>
      <c r="U435" s="1">
        <v>24.0</v>
      </c>
      <c r="V435" s="1">
        <v>12.0</v>
      </c>
      <c r="W435" s="1">
        <v>12.0</v>
      </c>
      <c r="X435" s="1">
        <v>12.0</v>
      </c>
      <c r="Y435" s="1">
        <v>11.0</v>
      </c>
      <c r="Z435" s="1" t="s">
        <v>53</v>
      </c>
      <c r="AA435" s="1">
        <v>22.0</v>
      </c>
      <c r="AB435" s="1">
        <v>10.0</v>
      </c>
      <c r="AC435" s="1">
        <v>8.0</v>
      </c>
      <c r="AD435" s="1">
        <v>12.0</v>
      </c>
      <c r="AE435" s="1">
        <v>11.0</v>
      </c>
      <c r="AF435" s="1" t="s">
        <v>54</v>
      </c>
      <c r="AG435" s="1">
        <v>25.0</v>
      </c>
      <c r="AH435" s="1">
        <v>13.0</v>
      </c>
      <c r="AI435" s="1">
        <v>12.0</v>
      </c>
      <c r="AJ435" s="1">
        <v>12.0</v>
      </c>
      <c r="AK435" s="1">
        <v>10.0</v>
      </c>
      <c r="AL435" s="1">
        <v>125.0</v>
      </c>
      <c r="AM435" s="1" t="s">
        <v>55</v>
      </c>
      <c r="AN435" s="1">
        <v>25.0</v>
      </c>
      <c r="AO435" s="1">
        <v>25.0</v>
      </c>
      <c r="AP435" s="1" t="s">
        <v>2345</v>
      </c>
      <c r="AQ435" s="3" t="str">
        <f>HYPERLINK("https://icf.clappia.com/app/GMB253374/submission/NKP61334291/ICF247370-GMB253374-1igbemg8md19g000000/SIG-20250702_1102g1475.jpeg", "SIG-20250702_1102g1475.jpeg")</f>
        <v>SIG-20250702_1102g1475.jpeg</v>
      </c>
      <c r="AR435" s="1" t="s">
        <v>2346</v>
      </c>
      <c r="AS435" s="3" t="str">
        <f>HYPERLINK("https://icf.clappia.com/app/GMB253374/submission/NKP61334291/ICF247370-GMB253374-4johl9ilh06a00000000/SIG-20250702_110513cjf0.jpeg", "SIG-20250702_110513cjf0.jpeg")</f>
        <v>SIG-20250702_110513cjf0.jpeg</v>
      </c>
      <c r="AT435" s="1" t="s">
        <v>2347</v>
      </c>
      <c r="AU435" s="3" t="str">
        <f>HYPERLINK("https://icf.clappia.com/app/GMB253374/submission/NKP61334291/ICF247370-GMB253374-1jmll5e5kh8240000000/SIG-20250702_11058jn6.jpeg", "SIG-20250702_11058jn6.jpeg")</f>
        <v>SIG-20250702_11058jn6.jpeg</v>
      </c>
      <c r="AV435" s="3" t="str">
        <f>HYPERLINK("https://www.google.com/maps/place/8.11919%2C-11.5069017", "8.11919,-11.5069017")</f>
        <v>8.11919,-11.5069017</v>
      </c>
    </row>
    <row r="436" ht="15.75" customHeight="1">
      <c r="A436" s="1" t="s">
        <v>2348</v>
      </c>
      <c r="B436" s="1" t="s">
        <v>46</v>
      </c>
      <c r="C436" s="1" t="s">
        <v>2349</v>
      </c>
      <c r="D436" s="1" t="s">
        <v>2349</v>
      </c>
      <c r="E436" s="1" t="s">
        <v>2350</v>
      </c>
      <c r="F436" s="1" t="s">
        <v>49</v>
      </c>
      <c r="G436" s="1">
        <v>45.0</v>
      </c>
      <c r="H436" s="1" t="s">
        <v>50</v>
      </c>
      <c r="I436" s="1">
        <v>9.0</v>
      </c>
      <c r="J436" s="1">
        <v>3.0</v>
      </c>
      <c r="K436" s="1">
        <v>3.0</v>
      </c>
      <c r="L436" s="1">
        <v>6.0</v>
      </c>
      <c r="M436" s="1">
        <v>6.0</v>
      </c>
      <c r="N436" s="1" t="s">
        <v>51</v>
      </c>
      <c r="O436" s="1">
        <v>15.0</v>
      </c>
      <c r="P436" s="1">
        <v>7.0</v>
      </c>
      <c r="Q436" s="1">
        <v>7.0</v>
      </c>
      <c r="R436" s="1">
        <v>8.0</v>
      </c>
      <c r="S436" s="1">
        <v>8.0</v>
      </c>
      <c r="T436" s="1" t="s">
        <v>52</v>
      </c>
      <c r="U436" s="1">
        <v>7.0</v>
      </c>
      <c r="V436" s="1">
        <v>3.0</v>
      </c>
      <c r="W436" s="1">
        <v>3.0</v>
      </c>
      <c r="X436" s="1">
        <v>4.0</v>
      </c>
      <c r="Y436" s="1">
        <v>4.0</v>
      </c>
      <c r="Z436" s="1" t="s">
        <v>53</v>
      </c>
      <c r="AA436" s="1">
        <v>6.0</v>
      </c>
      <c r="AB436" s="1">
        <v>3.0</v>
      </c>
      <c r="AC436" s="1">
        <v>3.0</v>
      </c>
      <c r="AD436" s="1">
        <v>3.0</v>
      </c>
      <c r="AE436" s="1">
        <v>3.0</v>
      </c>
      <c r="AF436" s="1" t="s">
        <v>54</v>
      </c>
      <c r="AG436" s="1">
        <v>8.0</v>
      </c>
      <c r="AH436" s="1">
        <v>4.0</v>
      </c>
      <c r="AI436" s="1">
        <v>4.0</v>
      </c>
      <c r="AJ436" s="1">
        <v>4.0</v>
      </c>
      <c r="AK436" s="1">
        <v>4.0</v>
      </c>
      <c r="AL436" s="1">
        <v>45.0</v>
      </c>
      <c r="AM436" s="1" t="s">
        <v>55</v>
      </c>
      <c r="AN436" s="1" t="s">
        <v>55</v>
      </c>
      <c r="AO436" s="1" t="s">
        <v>55</v>
      </c>
      <c r="AP436" s="1" t="s">
        <v>2351</v>
      </c>
      <c r="AQ436" s="3" t="str">
        <f>HYPERLINK("https://icf.clappia.com/app/GMB253374/submission/FMX52784963/ICF247370-GMB253374-2e5fl1i3kb2e00000000/SIG-20250702_110581im7.jpeg", "SIG-20250702_110581im7.jpeg")</f>
        <v>SIG-20250702_110581im7.jpeg</v>
      </c>
      <c r="AR436" s="1" t="s">
        <v>2352</v>
      </c>
      <c r="AS436" s="3" t="str">
        <f>HYPERLINK("https://icf.clappia.com/app/GMB253374/submission/FMX52784963/ICF247370-GMB253374-489g093lc4do00000000/SIG-20250702_1105jadll.jpeg", "SIG-20250702_1105jadll.jpeg")</f>
        <v>SIG-20250702_1105jadll.jpeg</v>
      </c>
      <c r="AT436" s="1" t="s">
        <v>2353</v>
      </c>
      <c r="AU436" s="3" t="str">
        <f>HYPERLINK("https://icf.clappia.com/app/GMB253374/submission/FMX52784963/ICF247370-GMB253374-69k2ng0mb9gc00000000/SIG-20250702_1106aom8i.jpeg", "SIG-20250702_1106aom8i.jpeg")</f>
        <v>SIG-20250702_1106aom8i.jpeg</v>
      </c>
      <c r="AV436" s="3" t="str">
        <f>HYPERLINK("https://www.google.com/maps/place/8.8800167%2C-12.070975", "8.8800167,-12.070975")</f>
        <v>8.8800167,-12.070975</v>
      </c>
    </row>
    <row r="437" ht="15.75" customHeight="1">
      <c r="A437" s="1" t="s">
        <v>2354</v>
      </c>
      <c r="B437" s="1" t="s">
        <v>81</v>
      </c>
      <c r="C437" s="1" t="s">
        <v>2349</v>
      </c>
      <c r="D437" s="1" t="s">
        <v>2349</v>
      </c>
      <c r="E437" s="1" t="s">
        <v>2355</v>
      </c>
      <c r="F437" s="1" t="s">
        <v>49</v>
      </c>
      <c r="G437" s="1">
        <v>100.0</v>
      </c>
      <c r="H437" s="1" t="s">
        <v>50</v>
      </c>
      <c r="I437" s="1">
        <v>19.0</v>
      </c>
      <c r="J437" s="1">
        <v>10.0</v>
      </c>
      <c r="K437" s="1">
        <v>10.0</v>
      </c>
      <c r="L437" s="1">
        <v>9.0</v>
      </c>
      <c r="M437" s="1">
        <v>9.0</v>
      </c>
      <c r="N437" s="1" t="s">
        <v>51</v>
      </c>
      <c r="O437" s="1">
        <v>21.0</v>
      </c>
      <c r="P437" s="1">
        <v>10.0</v>
      </c>
      <c r="Q437" s="1">
        <v>10.0</v>
      </c>
      <c r="R437" s="1">
        <v>11.0</v>
      </c>
      <c r="S437" s="1">
        <v>11.0</v>
      </c>
      <c r="T437" s="1" t="s">
        <v>52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53</v>
      </c>
      <c r="AA437" s="1">
        <v>25.0</v>
      </c>
      <c r="AB437" s="1">
        <v>10.0</v>
      </c>
      <c r="AC437" s="1">
        <v>10.0</v>
      </c>
      <c r="AD437" s="1">
        <v>15.0</v>
      </c>
      <c r="AE437" s="1">
        <v>15.0</v>
      </c>
      <c r="AF437" s="1" t="s">
        <v>54</v>
      </c>
      <c r="AG437" s="1">
        <v>20.0</v>
      </c>
      <c r="AH437" s="1">
        <v>5.0</v>
      </c>
      <c r="AI437" s="1">
        <v>5.0</v>
      </c>
      <c r="AJ437" s="1">
        <v>15.0</v>
      </c>
      <c r="AK437" s="1">
        <v>15.0</v>
      </c>
      <c r="AL437" s="1">
        <v>100.0</v>
      </c>
      <c r="AM437" s="1" t="s">
        <v>55</v>
      </c>
      <c r="AN437" s="1" t="s">
        <v>55</v>
      </c>
      <c r="AO437" s="1" t="s">
        <v>55</v>
      </c>
      <c r="AP437" s="1" t="s">
        <v>871</v>
      </c>
      <c r="AQ437" s="3" t="str">
        <f>HYPERLINK("https://icf.clappia.com/app/GMB253374/submission/JTX54072675/ICF247370-GMB253374-58km80dgcd6e00000000/SIG-20250702_11136fbbf.jpeg", "SIG-20250702_11136fbbf.jpeg")</f>
        <v>SIG-20250702_11136fbbf.jpeg</v>
      </c>
      <c r="AR437" s="1" t="s">
        <v>2356</v>
      </c>
      <c r="AS437" s="3" t="str">
        <f>HYPERLINK("https://icf.clappia.com/app/GMB253374/submission/JTX54072675/ICF247370-GMB253374-2plo7i3ec16600000000/SIG-20250702_1114j9dmd.jpeg", "SIG-20250702_1114j9dmd.jpeg")</f>
        <v>SIG-20250702_1114j9dmd.jpeg</v>
      </c>
      <c r="AT437" s="1" t="s">
        <v>2357</v>
      </c>
      <c r="AU437" s="3" t="str">
        <f>HYPERLINK("https://icf.clappia.com/app/GMB253374/submission/JTX54072675/ICF247370-GMB253374-4h48i9mbk8ce00000000/SIG-20250702_11168o1oh.jpeg", "SIG-20250702_11168o1oh.jpeg")</f>
        <v>SIG-20250702_11168o1oh.jpeg</v>
      </c>
      <c r="AV437" s="3" t="str">
        <f>HYPERLINK("https://www.google.com/maps/place/7.9422579%2C-11.7308506", "7.9422579,-11.7308506")</f>
        <v>7.9422579,-11.7308506</v>
      </c>
    </row>
    <row r="438" ht="15.75" customHeight="1">
      <c r="A438" s="1" t="s">
        <v>2358</v>
      </c>
      <c r="B438" s="1" t="s">
        <v>438</v>
      </c>
      <c r="C438" s="1" t="s">
        <v>2359</v>
      </c>
      <c r="D438" s="1" t="s">
        <v>2359</v>
      </c>
      <c r="E438" s="1" t="s">
        <v>2360</v>
      </c>
      <c r="F438" s="1" t="s">
        <v>64</v>
      </c>
      <c r="G438" s="1">
        <v>175.0</v>
      </c>
      <c r="H438" s="1" t="s">
        <v>50</v>
      </c>
      <c r="I438" s="1" t="s">
        <v>55</v>
      </c>
      <c r="J438" s="1" t="s">
        <v>55</v>
      </c>
      <c r="K438" s="1" t="s">
        <v>55</v>
      </c>
      <c r="L438" s="1" t="s">
        <v>55</v>
      </c>
      <c r="M438" s="1" t="s">
        <v>55</v>
      </c>
      <c r="N438" s="1" t="s">
        <v>51</v>
      </c>
      <c r="O438" s="1" t="s">
        <v>55</v>
      </c>
      <c r="P438" s="1" t="s">
        <v>55</v>
      </c>
      <c r="Q438" s="1" t="s">
        <v>55</v>
      </c>
      <c r="R438" s="1" t="s">
        <v>55</v>
      </c>
      <c r="S438" s="1" t="s">
        <v>55</v>
      </c>
      <c r="T438" s="1" t="s">
        <v>52</v>
      </c>
      <c r="U438" s="1" t="s">
        <v>55</v>
      </c>
      <c r="V438" s="1" t="s">
        <v>55</v>
      </c>
      <c r="W438" s="1" t="s">
        <v>55</v>
      </c>
      <c r="X438" s="1" t="s">
        <v>55</v>
      </c>
      <c r="Y438" s="1" t="s">
        <v>55</v>
      </c>
      <c r="Z438" s="1" t="s">
        <v>53</v>
      </c>
      <c r="AA438" s="1">
        <v>91.0</v>
      </c>
      <c r="AB438" s="1">
        <v>45.0</v>
      </c>
      <c r="AC438" s="1">
        <v>45.0</v>
      </c>
      <c r="AD438" s="1">
        <v>43.0</v>
      </c>
      <c r="AE438" s="1">
        <v>43.0</v>
      </c>
      <c r="AF438" s="1" t="s">
        <v>54</v>
      </c>
      <c r="AG438" s="1">
        <v>84.0</v>
      </c>
      <c r="AH438" s="1">
        <v>38.0</v>
      </c>
      <c r="AI438" s="1">
        <v>38.0</v>
      </c>
      <c r="AJ438" s="1">
        <v>40.0</v>
      </c>
      <c r="AK438" s="1">
        <v>40.0</v>
      </c>
      <c r="AL438" s="1">
        <v>166.0</v>
      </c>
      <c r="AM438" s="1">
        <v>9.0</v>
      </c>
      <c r="AN438" s="1" t="s">
        <v>55</v>
      </c>
      <c r="AO438" s="1" t="s">
        <v>55</v>
      </c>
      <c r="AP438" s="1" t="s">
        <v>2361</v>
      </c>
      <c r="AQ438" s="3" t="str">
        <f>HYPERLINK("https://icf.clappia.com/app/GMB253374/submission/USN32066802/ICF247370-GMB253374-4e7hk5khl0nk00000000/SIG-20250701_1724p8d0d.jpeg", "SIG-20250701_1724p8d0d.jpeg")</f>
        <v>SIG-20250701_1724p8d0d.jpeg</v>
      </c>
      <c r="AR438" s="1" t="s">
        <v>2362</v>
      </c>
      <c r="AS438" s="3" t="str">
        <f>HYPERLINK("https://icf.clappia.com/app/GMB253374/submission/USN32066802/ICF247370-GMB253374-4gcl423e03bk00000000/SIG-20250701_17243lgjc.jpeg", "SIG-20250701_17243lgjc.jpeg")</f>
        <v>SIG-20250701_17243lgjc.jpeg</v>
      </c>
      <c r="AT438" s="1" t="s">
        <v>2363</v>
      </c>
      <c r="AU438" s="3" t="str">
        <f>HYPERLINK("https://icf.clappia.com/app/GMB253374/submission/USN32066802/ICF247370-GMB253374-440e8lbggmpi00000000/SIG-20250701_172510efhc.jpeg", "SIG-20250701_172510efhc.jpeg")</f>
        <v>SIG-20250701_172510efhc.jpeg</v>
      </c>
      <c r="AV438" s="3" t="str">
        <f>HYPERLINK("https://www.google.com/maps/place/7.6434283%2C-11.79356", "7.6434283,-11.79356")</f>
        <v>7.6434283,-11.79356</v>
      </c>
    </row>
    <row r="439" ht="15.75" customHeight="1">
      <c r="A439" s="1" t="s">
        <v>2364</v>
      </c>
      <c r="B439" s="1" t="s">
        <v>580</v>
      </c>
      <c r="C439" s="1" t="s">
        <v>241</v>
      </c>
      <c r="D439" s="1" t="s">
        <v>241</v>
      </c>
      <c r="E439" s="1" t="s">
        <v>2365</v>
      </c>
      <c r="F439" s="1" t="s">
        <v>64</v>
      </c>
      <c r="G439" s="1">
        <v>77.0</v>
      </c>
      <c r="H439" s="1" t="s">
        <v>50</v>
      </c>
      <c r="I439" s="1">
        <v>23.0</v>
      </c>
      <c r="J439" s="1">
        <v>11.0</v>
      </c>
      <c r="K439" s="1">
        <v>11.0</v>
      </c>
      <c r="L439" s="1">
        <v>12.0</v>
      </c>
      <c r="M439" s="1">
        <v>12.0</v>
      </c>
      <c r="N439" s="1" t="s">
        <v>51</v>
      </c>
      <c r="O439" s="1">
        <v>7.0</v>
      </c>
      <c r="P439" s="1">
        <v>2.0</v>
      </c>
      <c r="Q439" s="1">
        <v>2.0</v>
      </c>
      <c r="R439" s="1">
        <v>5.0</v>
      </c>
      <c r="S439" s="1">
        <v>5.0</v>
      </c>
      <c r="T439" s="1" t="s">
        <v>52</v>
      </c>
      <c r="U439" s="1">
        <v>8.0</v>
      </c>
      <c r="V439" s="1">
        <v>3.0</v>
      </c>
      <c r="W439" s="1">
        <v>3.0</v>
      </c>
      <c r="X439" s="1">
        <v>5.0</v>
      </c>
      <c r="Y439" s="1">
        <v>5.0</v>
      </c>
      <c r="Z439" s="1" t="s">
        <v>53</v>
      </c>
      <c r="AA439" s="1">
        <v>6.0</v>
      </c>
      <c r="AB439" s="1">
        <v>3.0</v>
      </c>
      <c r="AC439" s="1">
        <v>3.0</v>
      </c>
      <c r="AD439" s="1">
        <v>3.0</v>
      </c>
      <c r="AE439" s="1">
        <v>3.0</v>
      </c>
      <c r="AF439" s="1" t="s">
        <v>54</v>
      </c>
      <c r="AG439" s="1">
        <v>6.0</v>
      </c>
      <c r="AH439" s="1">
        <v>3.0</v>
      </c>
      <c r="AI439" s="1">
        <v>3.0</v>
      </c>
      <c r="AJ439" s="1">
        <v>3.0</v>
      </c>
      <c r="AK439" s="1">
        <v>3.0</v>
      </c>
      <c r="AL439" s="1">
        <v>50.0</v>
      </c>
      <c r="AM439" s="1">
        <v>7.0</v>
      </c>
      <c r="AN439" s="1">
        <v>20.0</v>
      </c>
      <c r="AO439" s="1">
        <v>20.0</v>
      </c>
      <c r="AP439" s="1" t="s">
        <v>583</v>
      </c>
      <c r="AQ439" s="3" t="str">
        <f>HYPERLINK("https://icf.clappia.com/app/GMB253374/submission/SND03990192/ICF247370-GMB253374-60b36pd43f5i00000000/SIG-20250701_124919n7d1.jpeg", "SIG-20250701_124919n7d1.jpeg")</f>
        <v>SIG-20250701_124919n7d1.jpeg</v>
      </c>
      <c r="AR439" s="1" t="s">
        <v>584</v>
      </c>
      <c r="AS439" s="3" t="str">
        <f>HYPERLINK("https://icf.clappia.com/app/GMB253374/submission/SND03990192/ICF247370-GMB253374-3e32o92b06ig00000000/SIG-20250701_1248nae61.jpeg", "SIG-20250701_1248nae61.jpeg")</f>
        <v>SIG-20250701_1248nae61.jpeg</v>
      </c>
      <c r="AT439" s="1" t="s">
        <v>585</v>
      </c>
      <c r="AU439" s="3" t="str">
        <f>HYPERLINK("https://icf.clappia.com/app/GMB253374/submission/SND03990192/ICF247370-GMB253374-3g77gijk64jk00000000/SIG-20250701_12476inhm.jpeg", "SIG-20250701_12476inhm.jpeg")</f>
        <v>SIG-20250701_12476inhm.jpeg</v>
      </c>
      <c r="AV439" s="3" t="str">
        <f>HYPERLINK("https://www.google.com/maps/place/7.9377188%2C-11.4876938", "7.9377188,-11.4876938")</f>
        <v>7.9377188,-11.4876938</v>
      </c>
    </row>
    <row r="440" ht="15.75" customHeight="1">
      <c r="A440" s="1" t="s">
        <v>2366</v>
      </c>
      <c r="B440" s="1" t="s">
        <v>248</v>
      </c>
      <c r="C440" s="1" t="s">
        <v>2367</v>
      </c>
      <c r="D440" s="1" t="s">
        <v>2367</v>
      </c>
      <c r="E440" s="1" t="s">
        <v>2368</v>
      </c>
      <c r="F440" s="1" t="s">
        <v>64</v>
      </c>
      <c r="G440" s="1">
        <v>188.0</v>
      </c>
      <c r="H440" s="1" t="s">
        <v>50</v>
      </c>
      <c r="I440" s="1">
        <v>61.0</v>
      </c>
      <c r="J440" s="1">
        <v>33.0</v>
      </c>
      <c r="K440" s="1">
        <v>33.0</v>
      </c>
      <c r="L440" s="1">
        <v>28.0</v>
      </c>
      <c r="M440" s="1">
        <v>28.0</v>
      </c>
      <c r="N440" s="1" t="s">
        <v>51</v>
      </c>
      <c r="O440" s="1">
        <v>43.0</v>
      </c>
      <c r="P440" s="1">
        <v>20.0</v>
      </c>
      <c r="Q440" s="1">
        <v>20.0</v>
      </c>
      <c r="R440" s="1">
        <v>23.0</v>
      </c>
      <c r="S440" s="1">
        <v>23.0</v>
      </c>
      <c r="T440" s="1" t="s">
        <v>52</v>
      </c>
      <c r="U440" s="1">
        <v>36.0</v>
      </c>
      <c r="V440" s="1">
        <v>17.0</v>
      </c>
      <c r="W440" s="1">
        <v>17.0</v>
      </c>
      <c r="X440" s="1">
        <v>19.0</v>
      </c>
      <c r="Y440" s="1">
        <v>19.0</v>
      </c>
      <c r="Z440" s="1" t="s">
        <v>53</v>
      </c>
      <c r="AA440" s="1">
        <v>32.0</v>
      </c>
      <c r="AB440" s="1">
        <v>17.0</v>
      </c>
      <c r="AC440" s="1">
        <v>17.0</v>
      </c>
      <c r="AD440" s="1">
        <v>15.0</v>
      </c>
      <c r="AE440" s="1">
        <v>15.0</v>
      </c>
      <c r="AF440" s="1" t="s">
        <v>54</v>
      </c>
      <c r="AG440" s="1">
        <v>16.0</v>
      </c>
      <c r="AH440" s="1">
        <v>6.0</v>
      </c>
      <c r="AI440" s="1">
        <v>6.0</v>
      </c>
      <c r="AJ440" s="1">
        <v>10.0</v>
      </c>
      <c r="AK440" s="1">
        <v>10.0</v>
      </c>
      <c r="AL440" s="1">
        <v>188.0</v>
      </c>
      <c r="AM440" s="1" t="s">
        <v>55</v>
      </c>
      <c r="AN440" s="1" t="s">
        <v>55</v>
      </c>
      <c r="AO440" s="1" t="s">
        <v>55</v>
      </c>
      <c r="AP440" s="1" t="s">
        <v>1259</v>
      </c>
      <c r="AQ440" s="3" t="str">
        <f>HYPERLINK("https://icf.clappia.com/app/GMB253374/submission/OUV49164564/ICF247370-GMB253374-2njoiebnb51a00000000/SIG-20250702_1113664ca.jpeg", "SIG-20250702_1113664ca.jpeg")</f>
        <v>SIG-20250702_1113664ca.jpeg</v>
      </c>
      <c r="AR440" s="1" t="s">
        <v>1260</v>
      </c>
      <c r="AS440" s="3" t="str">
        <f>HYPERLINK("https://icf.clappia.com/app/GMB253374/submission/OUV49164564/ICF247370-GMB253374-eohj8lpg891i0000000/SIG-20250702_111212n8jj.jpeg", "SIG-20250702_111212n8jj.jpeg")</f>
        <v>SIG-20250702_111212n8jj.jpeg</v>
      </c>
      <c r="AT440" s="1" t="s">
        <v>1261</v>
      </c>
      <c r="AU440" s="3" t="str">
        <f>HYPERLINK("https://icf.clappia.com/app/GMB253374/submission/OUV49164564/ICF247370-GMB253374-45m21l8paml200000000/SIG-20250702_111318d1g7.jpeg", "SIG-20250702_111318d1g7.jpeg")</f>
        <v>SIG-20250702_111318d1g7.jpeg</v>
      </c>
      <c r="AV440" s="3" t="str">
        <f>HYPERLINK("https://www.google.com/maps/place/7.9060967%2C-11.4784117", "7.9060967,-11.4784117")</f>
        <v>7.9060967,-11.4784117</v>
      </c>
    </row>
    <row r="441" ht="15.75" customHeight="1">
      <c r="A441" s="1" t="s">
        <v>2369</v>
      </c>
      <c r="B441" s="1" t="s">
        <v>161</v>
      </c>
      <c r="C441" s="1" t="s">
        <v>2370</v>
      </c>
      <c r="D441" s="1" t="s">
        <v>2370</v>
      </c>
      <c r="E441" s="1" t="s">
        <v>2371</v>
      </c>
      <c r="F441" s="1" t="s">
        <v>49</v>
      </c>
      <c r="G441" s="1">
        <v>153.0</v>
      </c>
      <c r="H441" s="1" t="s">
        <v>50</v>
      </c>
      <c r="I441" s="1">
        <v>59.0</v>
      </c>
      <c r="J441" s="1">
        <v>22.0</v>
      </c>
      <c r="K441" s="1">
        <v>22.0</v>
      </c>
      <c r="L441" s="1">
        <v>37.0</v>
      </c>
      <c r="M441" s="1">
        <v>37.0</v>
      </c>
      <c r="N441" s="1" t="s">
        <v>51</v>
      </c>
      <c r="O441" s="1">
        <v>34.0</v>
      </c>
      <c r="P441" s="1">
        <v>15.0</v>
      </c>
      <c r="Q441" s="1">
        <v>15.0</v>
      </c>
      <c r="R441" s="1">
        <v>19.0</v>
      </c>
      <c r="S441" s="1">
        <v>19.0</v>
      </c>
      <c r="T441" s="1" t="s">
        <v>52</v>
      </c>
      <c r="U441" s="1">
        <v>20.0</v>
      </c>
      <c r="V441" s="1">
        <v>9.0</v>
      </c>
      <c r="W441" s="1">
        <v>9.0</v>
      </c>
      <c r="X441" s="1">
        <v>11.0</v>
      </c>
      <c r="Y441" s="1">
        <v>11.0</v>
      </c>
      <c r="Z441" s="1" t="s">
        <v>53</v>
      </c>
      <c r="AA441" s="1">
        <v>13.0</v>
      </c>
      <c r="AB441" s="1">
        <v>6.0</v>
      </c>
      <c r="AC441" s="1">
        <v>6.0</v>
      </c>
      <c r="AD441" s="1">
        <v>7.0</v>
      </c>
      <c r="AE441" s="1">
        <v>7.0</v>
      </c>
      <c r="AF441" s="1" t="s">
        <v>54</v>
      </c>
      <c r="AG441" s="1">
        <v>27.0</v>
      </c>
      <c r="AH441" s="1">
        <v>10.0</v>
      </c>
      <c r="AI441" s="1">
        <v>10.0</v>
      </c>
      <c r="AJ441" s="1">
        <v>17.0</v>
      </c>
      <c r="AK441" s="1">
        <v>17.0</v>
      </c>
      <c r="AL441" s="1">
        <v>153.0</v>
      </c>
      <c r="AM441" s="1" t="s">
        <v>55</v>
      </c>
      <c r="AN441" s="1" t="s">
        <v>55</v>
      </c>
      <c r="AO441" s="1" t="s">
        <v>55</v>
      </c>
      <c r="AP441" s="1" t="s">
        <v>2372</v>
      </c>
      <c r="AQ441" s="3" t="str">
        <f>HYPERLINK("https://icf.clappia.com/app/GMB253374/submission/TMJ07036918/ICF247370-GMB253374-9ee140316l1a0000000/SIG-20250702_111115bjg4.jpeg", "SIG-20250702_111115bjg4.jpeg")</f>
        <v>SIG-20250702_111115bjg4.jpeg</v>
      </c>
      <c r="AR441" s="1" t="s">
        <v>794</v>
      </c>
      <c r="AS441" s="3" t="str">
        <f>HYPERLINK("https://icf.clappia.com/app/GMB253374/submission/TMJ07036918/ICF247370-GMB253374-1c80ocgcl386c0000000/SIG-20250702_1111404p2.jpeg", "SIG-20250702_1111404p2.jpeg")</f>
        <v>SIG-20250702_1111404p2.jpeg</v>
      </c>
      <c r="AT441" s="1" t="s">
        <v>2373</v>
      </c>
      <c r="AU441" s="3" t="str">
        <f>HYPERLINK("https://icf.clappia.com/app/GMB253374/submission/TMJ07036918/ICF247370-GMB253374-346k5cml98580000000/SIG-20250702_11124p6g8.jpeg", "SIG-20250702_11124p6g8.jpeg")</f>
        <v>SIG-20250702_11124p6g8.jpeg</v>
      </c>
      <c r="AV441" s="3" t="str">
        <f>HYPERLINK("https://www.google.com/maps/place/7.9463296%2C-11.7052282", "7.9463296,-11.7052282")</f>
        <v>7.9463296,-11.7052282</v>
      </c>
    </row>
    <row r="442" ht="15.75" customHeight="1">
      <c r="A442" s="1" t="s">
        <v>2374</v>
      </c>
      <c r="B442" s="1" t="s">
        <v>536</v>
      </c>
      <c r="C442" s="1" t="s">
        <v>2375</v>
      </c>
      <c r="D442" s="1" t="s">
        <v>2375</v>
      </c>
      <c r="E442" s="1" t="s">
        <v>2376</v>
      </c>
      <c r="F442" s="1" t="s">
        <v>49</v>
      </c>
      <c r="G442" s="1">
        <v>221.0</v>
      </c>
      <c r="H442" s="1" t="s">
        <v>50</v>
      </c>
      <c r="I442" s="1">
        <v>54.0</v>
      </c>
      <c r="J442" s="1">
        <v>24.0</v>
      </c>
      <c r="K442" s="1">
        <v>24.0</v>
      </c>
      <c r="L442" s="1">
        <v>30.0</v>
      </c>
      <c r="M442" s="1">
        <v>30.0</v>
      </c>
      <c r="N442" s="1" t="s">
        <v>51</v>
      </c>
      <c r="O442" s="1">
        <v>42.0</v>
      </c>
      <c r="P442" s="1">
        <v>11.0</v>
      </c>
      <c r="Q442" s="1">
        <v>11.0</v>
      </c>
      <c r="R442" s="1">
        <v>23.0</v>
      </c>
      <c r="S442" s="1">
        <v>23.0</v>
      </c>
      <c r="T442" s="1" t="s">
        <v>52</v>
      </c>
      <c r="U442" s="1">
        <v>29.0</v>
      </c>
      <c r="V442" s="1">
        <v>11.0</v>
      </c>
      <c r="W442" s="1">
        <v>11.0</v>
      </c>
      <c r="X442" s="1">
        <v>18.0</v>
      </c>
      <c r="Y442" s="1">
        <v>18.0</v>
      </c>
      <c r="Z442" s="1" t="s">
        <v>53</v>
      </c>
      <c r="AA442" s="1">
        <v>29.0</v>
      </c>
      <c r="AB442" s="1">
        <v>10.0</v>
      </c>
      <c r="AC442" s="1">
        <v>10.0</v>
      </c>
      <c r="AD442" s="1">
        <v>15.0</v>
      </c>
      <c r="AE442" s="1">
        <v>15.0</v>
      </c>
      <c r="AF442" s="1" t="s">
        <v>54</v>
      </c>
      <c r="AG442" s="1">
        <v>28.0</v>
      </c>
      <c r="AH442" s="1">
        <v>18.0</v>
      </c>
      <c r="AI442" s="1">
        <v>18.0</v>
      </c>
      <c r="AJ442" s="1">
        <v>10.0</v>
      </c>
      <c r="AK442" s="1">
        <v>6.0</v>
      </c>
      <c r="AL442" s="1">
        <v>166.0</v>
      </c>
      <c r="AM442" s="1">
        <v>4.0</v>
      </c>
      <c r="AN442" s="1">
        <v>51.0</v>
      </c>
      <c r="AO442" s="1">
        <v>47.0</v>
      </c>
      <c r="AP442" s="1" t="s">
        <v>539</v>
      </c>
      <c r="AQ442" s="3" t="str">
        <f>HYPERLINK("https://icf.clappia.com/app/GMB253374/submission/XHU86244813/ICF247370-GMB253374-49219kkgn68000000000/SIG-20250702_1108gkif0.jpeg", "SIG-20250702_1108gkif0.jpeg")</f>
        <v>SIG-20250702_1108gkif0.jpeg</v>
      </c>
      <c r="AR442" s="1" t="s">
        <v>2377</v>
      </c>
      <c r="AS442" s="3" t="str">
        <f>HYPERLINK("https://icf.clappia.com/app/GMB253374/submission/XHU86244813/ICF247370-GMB253374-2hdj58jga5i000000000/SIG-20250702_110813goje.jpeg", "SIG-20250702_110813goje.jpeg")</f>
        <v>SIG-20250702_110813goje.jpeg</v>
      </c>
      <c r="AT442" s="1" t="s">
        <v>1124</v>
      </c>
      <c r="AU442" s="3" t="str">
        <f>HYPERLINK("https://icf.clappia.com/app/GMB253374/submission/XHU86244813/ICF247370-GMB253374-12c84fl5id6ji0000000/SIG-20250702_1108b9d40.jpeg", "SIG-20250702_1108b9d40.jpeg")</f>
        <v>SIG-20250702_1108b9d40.jpeg</v>
      </c>
      <c r="AV442" s="3" t="str">
        <f>HYPERLINK("https://www.google.com/maps/place/9.2225883%2C-12.1400867", "9.2225883,-12.1400867")</f>
        <v>9.2225883,-12.1400867</v>
      </c>
    </row>
    <row r="443" ht="15.75" customHeight="1">
      <c r="A443" s="1" t="s">
        <v>2378</v>
      </c>
      <c r="B443" s="1" t="s">
        <v>248</v>
      </c>
      <c r="C443" s="1" t="s">
        <v>2375</v>
      </c>
      <c r="D443" s="1" t="s">
        <v>2375</v>
      </c>
      <c r="E443" s="1" t="s">
        <v>2379</v>
      </c>
      <c r="F443" s="1" t="s">
        <v>64</v>
      </c>
      <c r="G443" s="1">
        <v>103.0</v>
      </c>
      <c r="H443" s="1" t="s">
        <v>50</v>
      </c>
      <c r="I443" s="1">
        <v>50.0</v>
      </c>
      <c r="J443" s="1">
        <v>20.0</v>
      </c>
      <c r="K443" s="1">
        <v>20.0</v>
      </c>
      <c r="L443" s="1">
        <v>30.0</v>
      </c>
      <c r="M443" s="1">
        <v>30.0</v>
      </c>
      <c r="N443" s="1" t="s">
        <v>51</v>
      </c>
      <c r="O443" s="1">
        <v>33.0</v>
      </c>
      <c r="P443" s="1">
        <v>13.0</v>
      </c>
      <c r="Q443" s="1">
        <v>13.0</v>
      </c>
      <c r="R443" s="1">
        <v>20.0</v>
      </c>
      <c r="S443" s="1">
        <v>17.0</v>
      </c>
      <c r="T443" s="1" t="s">
        <v>52</v>
      </c>
      <c r="U443" s="1">
        <v>20.0</v>
      </c>
      <c r="V443" s="1">
        <v>8.0</v>
      </c>
      <c r="W443" s="1">
        <v>8.0</v>
      </c>
      <c r="X443" s="1">
        <v>12.0</v>
      </c>
      <c r="Y443" s="1">
        <v>12.0</v>
      </c>
      <c r="Z443" s="1" t="s">
        <v>53</v>
      </c>
      <c r="AA443" s="1" t="s">
        <v>55</v>
      </c>
      <c r="AB443" s="1" t="s">
        <v>55</v>
      </c>
      <c r="AC443" s="1" t="s">
        <v>55</v>
      </c>
      <c r="AD443" s="1" t="s">
        <v>55</v>
      </c>
      <c r="AE443" s="1" t="s">
        <v>55</v>
      </c>
      <c r="AF443" s="1" t="s">
        <v>54</v>
      </c>
      <c r="AG443" s="1" t="s">
        <v>55</v>
      </c>
      <c r="AH443" s="1" t="s">
        <v>55</v>
      </c>
      <c r="AI443" s="1" t="s">
        <v>55</v>
      </c>
      <c r="AJ443" s="1" t="s">
        <v>55</v>
      </c>
      <c r="AK443" s="1" t="s">
        <v>55</v>
      </c>
      <c r="AL443" s="1">
        <v>100.0</v>
      </c>
      <c r="AM443" s="1">
        <v>3.0</v>
      </c>
      <c r="AN443" s="1" t="s">
        <v>55</v>
      </c>
      <c r="AO443" s="1" t="s">
        <v>55</v>
      </c>
      <c r="AP443" s="1" t="s">
        <v>2380</v>
      </c>
      <c r="AQ443" s="3" t="str">
        <f>HYPERLINK("https://icf.clappia.com/app/GMB253374/submission/YCA43150282/ICF247370-GMB253374-2p4gjab871i400000000/SIG-20250701_124518i3jg.jpeg", "SIG-20250701_124518i3jg.jpeg")</f>
        <v>SIG-20250701_124518i3jg.jpeg</v>
      </c>
      <c r="AR443" s="1" t="s">
        <v>463</v>
      </c>
      <c r="AS443" s="3" t="str">
        <f>HYPERLINK("https://icf.clappia.com/app/GMB253374/submission/YCA43150282/ICF247370-GMB253374-4h625fj06pa400000000/SIG-20250701_124714919o.jpeg", "SIG-20250701_124714919o.jpeg")</f>
        <v>SIG-20250701_124714919o.jpeg</v>
      </c>
      <c r="AT443" s="1" t="s">
        <v>458</v>
      </c>
      <c r="AU443" s="3" t="str">
        <f>HYPERLINK("https://icf.clappia.com/app/GMB253374/submission/YCA43150282/ICF247370-GMB253374-64k9elkc5jea00000000/SIG-20250701_12481ebo2.jpeg", "SIG-20250701_12481ebo2.jpeg")</f>
        <v>SIG-20250701_12481ebo2.jpeg</v>
      </c>
      <c r="AV443" s="3" t="str">
        <f>HYPERLINK("https://www.google.com/maps/place/7.9483783%2C-11.4281633", "7.9483783,-11.4281633")</f>
        <v>7.9483783,-11.4281633</v>
      </c>
    </row>
    <row r="444" ht="15.75" customHeight="1">
      <c r="A444" s="1" t="s">
        <v>2381</v>
      </c>
      <c r="B444" s="1" t="s">
        <v>81</v>
      </c>
      <c r="C444" s="1" t="s">
        <v>2382</v>
      </c>
      <c r="D444" s="1" t="s">
        <v>2382</v>
      </c>
      <c r="E444" s="1" t="s">
        <v>2383</v>
      </c>
      <c r="F444" s="1" t="s">
        <v>64</v>
      </c>
      <c r="G444" s="1">
        <v>50.0</v>
      </c>
      <c r="H444" s="1" t="s">
        <v>50</v>
      </c>
      <c r="I444" s="1">
        <v>81.0</v>
      </c>
      <c r="J444" s="1">
        <v>36.0</v>
      </c>
      <c r="K444" s="1">
        <v>7.0</v>
      </c>
      <c r="L444" s="1">
        <v>45.0</v>
      </c>
      <c r="M444" s="1">
        <v>1.0</v>
      </c>
      <c r="N444" s="1" t="s">
        <v>51</v>
      </c>
      <c r="O444" s="1">
        <v>47.0</v>
      </c>
      <c r="P444" s="1">
        <v>20.0</v>
      </c>
      <c r="Q444" s="1">
        <v>3.0</v>
      </c>
      <c r="R444" s="1">
        <v>27.0</v>
      </c>
      <c r="S444" s="1">
        <v>4.0</v>
      </c>
      <c r="T444" s="1" t="s">
        <v>52</v>
      </c>
      <c r="U444" s="1">
        <v>43.0</v>
      </c>
      <c r="V444" s="1">
        <v>15.0</v>
      </c>
      <c r="W444" s="1">
        <v>6.0</v>
      </c>
      <c r="X444" s="1">
        <v>28.0</v>
      </c>
      <c r="Y444" s="1">
        <v>2.0</v>
      </c>
      <c r="Z444" s="1" t="s">
        <v>53</v>
      </c>
      <c r="AA444" s="1">
        <v>49.0</v>
      </c>
      <c r="AB444" s="1">
        <v>21.0</v>
      </c>
      <c r="AC444" s="1">
        <v>8.0</v>
      </c>
      <c r="AD444" s="1">
        <v>28.0</v>
      </c>
      <c r="AE444" s="1">
        <v>8.0</v>
      </c>
      <c r="AF444" s="1" t="s">
        <v>54</v>
      </c>
      <c r="AG444" s="1">
        <v>40.0</v>
      </c>
      <c r="AH444" s="1">
        <v>18.0</v>
      </c>
      <c r="AI444" s="1">
        <v>3.0</v>
      </c>
      <c r="AJ444" s="1" t="s">
        <v>55</v>
      </c>
      <c r="AK444" s="1" t="s">
        <v>55</v>
      </c>
      <c r="AL444" s="1">
        <v>42.0</v>
      </c>
      <c r="AM444" s="1" t="s">
        <v>55</v>
      </c>
      <c r="AN444" s="1">
        <v>8.0</v>
      </c>
      <c r="AO444" s="1">
        <v>8.0</v>
      </c>
      <c r="AP444" s="1" t="s">
        <v>589</v>
      </c>
      <c r="AQ444" s="3" t="str">
        <f>HYPERLINK("https://icf.clappia.com/app/GMB253374/submission/MKM91534002/ICF247370-GMB253374-2aof69jn07gk00000000/SIG-20250702_1105152067.jpeg", "SIG-20250702_1105152067.jpeg")</f>
        <v>SIG-20250702_1105152067.jpeg</v>
      </c>
      <c r="AR444" s="1" t="s">
        <v>590</v>
      </c>
      <c r="AS444" s="3" t="str">
        <f>HYPERLINK("https://icf.clappia.com/app/GMB253374/submission/MKM91534002/ICF247370-GMB253374-445bk0l6lg0g00000000/SIG-20250702_1106jn2en.jpeg", "SIG-20250702_1106jn2en.jpeg")</f>
        <v>SIG-20250702_1106jn2en.jpeg</v>
      </c>
      <c r="AT444" s="1" t="s">
        <v>2384</v>
      </c>
      <c r="AU444" s="3" t="str">
        <f>HYPERLINK("https://icf.clappia.com/app/GMB253374/submission/MKM91534002/ICF247370-GMB253374-126901op25hbm0000000/SIG-20250702_1107bdlcj.jpeg", "SIG-20250702_1107bdlcj.jpeg")</f>
        <v>SIG-20250702_1107bdlcj.jpeg</v>
      </c>
      <c r="AV444" s="3" t="str">
        <f>HYPERLINK("https://www.google.com/maps/place/7.9417033%2C-11.73357", "7.9417033,-11.73357")</f>
        <v>7.9417033,-11.73357</v>
      </c>
    </row>
    <row r="445" ht="15.75" customHeight="1">
      <c r="A445" s="1" t="s">
        <v>2385</v>
      </c>
      <c r="B445" s="1" t="s">
        <v>167</v>
      </c>
      <c r="C445" s="1" t="s">
        <v>2386</v>
      </c>
      <c r="D445" s="1" t="s">
        <v>2386</v>
      </c>
      <c r="E445" s="1" t="s">
        <v>2387</v>
      </c>
      <c r="F445" s="1" t="s">
        <v>49</v>
      </c>
      <c r="G445" s="1">
        <v>145.0</v>
      </c>
      <c r="H445" s="1" t="s">
        <v>50</v>
      </c>
      <c r="I445" s="1">
        <v>35.0</v>
      </c>
      <c r="J445" s="1">
        <v>14.0</v>
      </c>
      <c r="K445" s="1">
        <v>14.0</v>
      </c>
      <c r="L445" s="1">
        <v>21.0</v>
      </c>
      <c r="M445" s="1">
        <v>21.0</v>
      </c>
      <c r="N445" s="1" t="s">
        <v>51</v>
      </c>
      <c r="O445" s="1">
        <v>32.0</v>
      </c>
      <c r="P445" s="1">
        <v>13.0</v>
      </c>
      <c r="Q445" s="1">
        <v>13.0</v>
      </c>
      <c r="R445" s="1">
        <v>19.0</v>
      </c>
      <c r="S445" s="1">
        <v>19.0</v>
      </c>
      <c r="T445" s="1" t="s">
        <v>52</v>
      </c>
      <c r="U445" s="1">
        <v>30.0</v>
      </c>
      <c r="V445" s="1">
        <v>10.0</v>
      </c>
      <c r="W445" s="1">
        <v>10.0</v>
      </c>
      <c r="X445" s="1">
        <v>20.0</v>
      </c>
      <c r="Y445" s="1">
        <v>20.0</v>
      </c>
      <c r="Z445" s="1" t="s">
        <v>53</v>
      </c>
      <c r="AA445" s="1">
        <v>25.0</v>
      </c>
      <c r="AB445" s="1">
        <v>11.0</v>
      </c>
      <c r="AC445" s="1">
        <v>11.0</v>
      </c>
      <c r="AD445" s="1">
        <v>14.0</v>
      </c>
      <c r="AE445" s="1">
        <v>14.0</v>
      </c>
      <c r="AF445" s="1" t="s">
        <v>54</v>
      </c>
      <c r="AG445" s="1">
        <v>23.0</v>
      </c>
      <c r="AH445" s="1">
        <v>10.0</v>
      </c>
      <c r="AI445" s="1">
        <v>10.0</v>
      </c>
      <c r="AJ445" s="1">
        <v>13.0</v>
      </c>
      <c r="AK445" s="1">
        <v>13.0</v>
      </c>
      <c r="AL445" s="1">
        <v>145.0</v>
      </c>
      <c r="AM445" s="1" t="s">
        <v>55</v>
      </c>
      <c r="AN445" s="1" t="s">
        <v>55</v>
      </c>
      <c r="AO445" s="1" t="s">
        <v>55</v>
      </c>
      <c r="AP445" s="1" t="s">
        <v>2388</v>
      </c>
      <c r="AQ445" s="3" t="str">
        <f>HYPERLINK("https://icf.clappia.com/app/GMB253374/submission/YVC24213935/ICF247370-GMB253374-23kkm5c8d28pg0000000/SIG-20250702_105513pap0.jpeg", "SIG-20250702_105513pap0.jpeg")</f>
        <v>SIG-20250702_105513pap0.jpeg</v>
      </c>
      <c r="AR445" s="1" t="s">
        <v>2389</v>
      </c>
      <c r="AS445" s="3" t="str">
        <f>HYPERLINK("https://icf.clappia.com/app/GMB253374/submission/YVC24213935/ICF247370-GMB253374-2j9emdjh5flm00000000/SIG-20250702_10568n2ih.jpeg", "SIG-20250702_10568n2ih.jpeg")</f>
        <v>SIG-20250702_10568n2ih.jpeg</v>
      </c>
      <c r="AT445" s="1" t="s">
        <v>2390</v>
      </c>
      <c r="AU445" s="3" t="str">
        <f>HYPERLINK("https://icf.clappia.com/app/GMB253374/submission/YVC24213935/ICF247370-GMB253374-fj09d344300g0000000/SIG-20250702_11041829b6.jpeg", "SIG-20250702_11041829b6.jpeg")</f>
        <v>SIG-20250702_11041829b6.jpeg</v>
      </c>
      <c r="AV445" s="3" t="str">
        <f>HYPERLINK("https://www.google.com/maps/place/7.9483422%2C-11.7624096", "7.9483422,-11.7624096")</f>
        <v>7.9483422,-11.7624096</v>
      </c>
    </row>
    <row r="446" ht="15.75" customHeight="1">
      <c r="A446" s="1" t="s">
        <v>2391</v>
      </c>
      <c r="B446" s="1" t="s">
        <v>802</v>
      </c>
      <c r="C446" s="1" t="s">
        <v>2392</v>
      </c>
      <c r="D446" s="1" t="s">
        <v>2392</v>
      </c>
      <c r="E446" s="1" t="s">
        <v>2393</v>
      </c>
      <c r="F446" s="1" t="s">
        <v>64</v>
      </c>
      <c r="G446" s="1">
        <v>131.0</v>
      </c>
      <c r="H446" s="1" t="s">
        <v>50</v>
      </c>
      <c r="I446" s="1">
        <v>49.0</v>
      </c>
      <c r="J446" s="1">
        <v>20.0</v>
      </c>
      <c r="K446" s="1">
        <v>20.0</v>
      </c>
      <c r="L446" s="1">
        <v>29.0</v>
      </c>
      <c r="M446" s="1">
        <v>29.0</v>
      </c>
      <c r="N446" s="1" t="s">
        <v>51</v>
      </c>
      <c r="O446" s="1">
        <v>29.0</v>
      </c>
      <c r="P446" s="1">
        <v>9.0</v>
      </c>
      <c r="Q446" s="1">
        <v>9.0</v>
      </c>
      <c r="R446" s="1">
        <v>20.0</v>
      </c>
      <c r="S446" s="1">
        <v>20.0</v>
      </c>
      <c r="T446" s="1" t="s">
        <v>52</v>
      </c>
      <c r="U446" s="1">
        <v>27.0</v>
      </c>
      <c r="V446" s="1">
        <v>9.0</v>
      </c>
      <c r="W446" s="1">
        <v>9.0</v>
      </c>
      <c r="X446" s="1">
        <v>18.0</v>
      </c>
      <c r="Y446" s="1">
        <v>18.0</v>
      </c>
      <c r="Z446" s="1" t="s">
        <v>53</v>
      </c>
      <c r="AA446" s="1">
        <v>13.0</v>
      </c>
      <c r="AB446" s="1">
        <v>5.0</v>
      </c>
      <c r="AC446" s="1">
        <v>5.0</v>
      </c>
      <c r="AD446" s="1">
        <v>8.0</v>
      </c>
      <c r="AE446" s="1">
        <v>8.0</v>
      </c>
      <c r="AF446" s="1" t="s">
        <v>54</v>
      </c>
      <c r="AG446" s="1">
        <v>13.0</v>
      </c>
      <c r="AH446" s="1">
        <v>4.0</v>
      </c>
      <c r="AI446" s="1">
        <v>4.0</v>
      </c>
      <c r="AJ446" s="1">
        <v>9.0</v>
      </c>
      <c r="AK446" s="1">
        <v>9.0</v>
      </c>
      <c r="AL446" s="1">
        <v>131.0</v>
      </c>
      <c r="AM446" s="1" t="s">
        <v>55</v>
      </c>
      <c r="AN446" s="1" t="s">
        <v>55</v>
      </c>
      <c r="AO446" s="1" t="s">
        <v>55</v>
      </c>
      <c r="AP446" s="1" t="s">
        <v>806</v>
      </c>
      <c r="AQ446" s="3" t="str">
        <f>HYPERLINK("https://icf.clappia.com/app/GMB253374/submission/ZLQ07749993/ICF247370-GMB253374-5gk0b35mckg80000000/SIG-20250702_1101da950.jpeg", "SIG-20250702_1101da950.jpeg")</f>
        <v>SIG-20250702_1101da950.jpeg</v>
      </c>
      <c r="AR446" s="1" t="s">
        <v>807</v>
      </c>
      <c r="AS446" s="3" t="str">
        <f>HYPERLINK("https://icf.clappia.com/app/GMB253374/submission/ZLQ07749993/ICF247370-GMB253374-20ek0la7c014k0000000/SIG-20250702_1103jon0l.jpeg", "SIG-20250702_1103jon0l.jpeg")</f>
        <v>SIG-20250702_1103jon0l.jpeg</v>
      </c>
      <c r="AT446" s="1" t="s">
        <v>808</v>
      </c>
      <c r="AU446" s="3" t="str">
        <f>HYPERLINK("https://icf.clappia.com/app/GMB253374/submission/ZLQ07749993/ICF247370-GMB253374-1dm1a52pp074i0000000/SIG-20250702_110313i26f.jpeg", "SIG-20250702_110313i26f.jpeg")</f>
        <v>SIG-20250702_110313i26f.jpeg</v>
      </c>
      <c r="AV446" s="3" t="str">
        <f>HYPERLINK("https://www.google.com/maps/place/7.6346183%2C-11.6731217", "7.6346183,-11.6731217")</f>
        <v>7.6346183,-11.6731217</v>
      </c>
    </row>
    <row r="447" ht="15.75" customHeight="1">
      <c r="A447" s="1" t="s">
        <v>2394</v>
      </c>
      <c r="B447" s="1" t="s">
        <v>167</v>
      </c>
      <c r="C447" s="1" t="s">
        <v>2395</v>
      </c>
      <c r="D447" s="1" t="s">
        <v>2395</v>
      </c>
      <c r="E447" s="1" t="s">
        <v>2396</v>
      </c>
      <c r="F447" s="1" t="s">
        <v>64</v>
      </c>
      <c r="G447" s="1">
        <v>283.0</v>
      </c>
      <c r="H447" s="1" t="s">
        <v>50</v>
      </c>
      <c r="I447" s="1">
        <v>40.0</v>
      </c>
      <c r="J447" s="1">
        <v>19.0</v>
      </c>
      <c r="K447" s="1">
        <v>19.0</v>
      </c>
      <c r="L447" s="1">
        <v>21.0</v>
      </c>
      <c r="M447" s="1">
        <v>21.0</v>
      </c>
      <c r="N447" s="1" t="s">
        <v>51</v>
      </c>
      <c r="O447" s="1">
        <v>50.0</v>
      </c>
      <c r="P447" s="1">
        <v>22.0</v>
      </c>
      <c r="Q447" s="1">
        <v>22.0</v>
      </c>
      <c r="R447" s="1">
        <v>28.0</v>
      </c>
      <c r="S447" s="1">
        <v>28.0</v>
      </c>
      <c r="T447" s="1" t="s">
        <v>52</v>
      </c>
      <c r="U447" s="1">
        <v>50.0</v>
      </c>
      <c r="V447" s="1">
        <v>28.0</v>
      </c>
      <c r="W447" s="1">
        <v>28.0</v>
      </c>
      <c r="X447" s="1">
        <v>22.0</v>
      </c>
      <c r="Y447" s="1">
        <v>22.0</v>
      </c>
      <c r="Z447" s="1" t="s">
        <v>53</v>
      </c>
      <c r="AA447" s="1">
        <v>60.0</v>
      </c>
      <c r="AB447" s="1">
        <v>28.0</v>
      </c>
      <c r="AC447" s="1">
        <v>28.0</v>
      </c>
      <c r="AD447" s="1">
        <v>32.0</v>
      </c>
      <c r="AE447" s="1">
        <v>32.0</v>
      </c>
      <c r="AF447" s="1" t="s">
        <v>54</v>
      </c>
      <c r="AG447" s="1">
        <v>50.0</v>
      </c>
      <c r="AH447" s="1">
        <v>22.0</v>
      </c>
      <c r="AI447" s="1">
        <v>22.0</v>
      </c>
      <c r="AJ447" s="1">
        <v>28.0</v>
      </c>
      <c r="AK447" s="1">
        <v>28.0</v>
      </c>
      <c r="AL447" s="1">
        <v>250.0</v>
      </c>
      <c r="AM447" s="1" t="s">
        <v>55</v>
      </c>
      <c r="AN447" s="1">
        <v>33.0</v>
      </c>
      <c r="AO447" s="1">
        <v>33.0</v>
      </c>
      <c r="AP447" s="1" t="s">
        <v>170</v>
      </c>
      <c r="AQ447" s="3" t="str">
        <f>HYPERLINK("https://icf.clappia.com/app/GMB253374/submission/LQU06420585/ICF247370-GMB253374-4kl8ehlob6i400000000/SIG-20250702_1100obeo4.jpeg", "SIG-20250702_1100obeo4.jpeg")</f>
        <v>SIG-20250702_1100obeo4.jpeg</v>
      </c>
      <c r="AR447" s="1" t="s">
        <v>171</v>
      </c>
      <c r="AS447" s="3" t="str">
        <f>HYPERLINK("https://icf.clappia.com/app/GMB253374/submission/LQU06420585/ICF247370-GMB253374-2b6pi26g0peko0000000/SIG-20250702_1100jf274.jpeg", "SIG-20250702_1100jf274.jpeg")</f>
        <v>SIG-20250702_1100jf274.jpeg</v>
      </c>
      <c r="AT447" s="1" t="s">
        <v>172</v>
      </c>
      <c r="AU447" s="3" t="str">
        <f>HYPERLINK("https://icf.clappia.com/app/GMB253374/submission/LQU06420585/ICF247370-GMB253374-4ichb4fe4bkg00000000/SIG-20250702_1101nan9k.jpeg", "SIG-20250702_1101nan9k.jpeg")</f>
        <v>SIG-20250702_1101nan9k.jpeg</v>
      </c>
      <c r="AV447" s="3" t="str">
        <f>HYPERLINK("https://www.google.com/maps/place/7.9300583%2C-11.7299283", "7.9300583,-11.7299283")</f>
        <v>7.9300583,-11.7299283</v>
      </c>
    </row>
    <row r="448" ht="15.75" customHeight="1">
      <c r="A448" s="1" t="s">
        <v>2397</v>
      </c>
      <c r="B448" s="1" t="s">
        <v>81</v>
      </c>
      <c r="C448" s="1" t="s">
        <v>2395</v>
      </c>
      <c r="D448" s="1" t="s">
        <v>2395</v>
      </c>
      <c r="E448" s="1" t="s">
        <v>2398</v>
      </c>
      <c r="F448" s="1" t="s">
        <v>64</v>
      </c>
      <c r="G448" s="1">
        <v>300.0</v>
      </c>
      <c r="H448" s="1" t="s">
        <v>50</v>
      </c>
      <c r="I448" s="1">
        <v>60.0</v>
      </c>
      <c r="J448" s="1">
        <v>25.0</v>
      </c>
      <c r="K448" s="1">
        <v>25.0</v>
      </c>
      <c r="L448" s="1">
        <v>35.0</v>
      </c>
      <c r="M448" s="1">
        <v>35.0</v>
      </c>
      <c r="N448" s="1" t="s">
        <v>51</v>
      </c>
      <c r="O448" s="1">
        <v>49.0</v>
      </c>
      <c r="P448" s="1">
        <v>20.0</v>
      </c>
      <c r="Q448" s="1">
        <v>20.0</v>
      </c>
      <c r="R448" s="1">
        <v>29.0</v>
      </c>
      <c r="S448" s="1">
        <v>29.0</v>
      </c>
      <c r="T448" s="1" t="s">
        <v>52</v>
      </c>
      <c r="U448" s="1">
        <v>53.0</v>
      </c>
      <c r="V448" s="1">
        <v>23.0</v>
      </c>
      <c r="W448" s="1">
        <v>20.0</v>
      </c>
      <c r="X448" s="1">
        <v>30.0</v>
      </c>
      <c r="Y448" s="1">
        <v>30.0</v>
      </c>
      <c r="Z448" s="1" t="s">
        <v>53</v>
      </c>
      <c r="AA448" s="1">
        <v>62.0</v>
      </c>
      <c r="AB448" s="1">
        <v>30.0</v>
      </c>
      <c r="AC448" s="1">
        <v>30.0</v>
      </c>
      <c r="AD448" s="1">
        <v>32.0</v>
      </c>
      <c r="AE448" s="1">
        <v>30.0</v>
      </c>
      <c r="AF448" s="1" t="s">
        <v>54</v>
      </c>
      <c r="AG448" s="1">
        <v>68.0</v>
      </c>
      <c r="AH448" s="1">
        <v>38.0</v>
      </c>
      <c r="AI448" s="1">
        <v>38.0</v>
      </c>
      <c r="AJ448" s="1">
        <v>30.0</v>
      </c>
      <c r="AK448" s="1">
        <v>28.0</v>
      </c>
      <c r="AL448" s="1">
        <v>285.0</v>
      </c>
      <c r="AM448" s="1">
        <v>7.0</v>
      </c>
      <c r="AN448" s="1">
        <v>8.0</v>
      </c>
      <c r="AO448" s="1">
        <v>8.0</v>
      </c>
      <c r="AP448" s="1" t="s">
        <v>2399</v>
      </c>
      <c r="AQ448" s="3" t="str">
        <f>HYPERLINK("https://icf.clappia.com/app/GMB253374/submission/RTG12234340/ICF247370-GMB253374-5n14l5e9e67a00000000/SIG-20250702_1059120g1n.jpeg", "SIG-20250702_1059120g1n.jpeg")</f>
        <v>SIG-20250702_1059120g1n.jpeg</v>
      </c>
      <c r="AR448" s="1" t="s">
        <v>2400</v>
      </c>
      <c r="AS448" s="3" t="str">
        <f>HYPERLINK("https://icf.clappia.com/app/GMB253374/submission/RTG12234340/ICF247370-GMB253374-6351fm22448600000000/SIG-20250702_1100fenki.jpeg", "SIG-20250702_1100fenki.jpeg")</f>
        <v>SIG-20250702_1100fenki.jpeg</v>
      </c>
      <c r="AT448" s="1" t="s">
        <v>2401</v>
      </c>
      <c r="AU448" s="3" t="str">
        <f>HYPERLINK("https://icf.clappia.com/app/GMB253374/submission/RTG12234340/ICF247370-GMB253374-4bcp0d79fkgk00000000/SIG-20250702_11001ahae4.jpeg", "SIG-20250702_11001ahae4.jpeg")</f>
        <v>SIG-20250702_11001ahae4.jpeg</v>
      </c>
      <c r="AV448" s="3" t="str">
        <f>HYPERLINK("https://www.google.com/maps/place/7.9629583%2C-11.749415", "7.9629583,-11.749415")</f>
        <v>7.9629583,-11.749415</v>
      </c>
    </row>
    <row r="449" ht="15.75" customHeight="1">
      <c r="A449" s="1" t="s">
        <v>2402</v>
      </c>
      <c r="B449" s="1" t="s">
        <v>142</v>
      </c>
      <c r="C449" s="1" t="s">
        <v>2403</v>
      </c>
      <c r="D449" s="1" t="s">
        <v>2403</v>
      </c>
      <c r="E449" s="1" t="s">
        <v>2404</v>
      </c>
      <c r="F449" s="1" t="s">
        <v>64</v>
      </c>
      <c r="G449" s="1">
        <v>179.0</v>
      </c>
      <c r="H449" s="1" t="s">
        <v>50</v>
      </c>
      <c r="I449" s="1">
        <v>61.0</v>
      </c>
      <c r="J449" s="1">
        <v>31.0</v>
      </c>
      <c r="K449" s="1">
        <v>31.0</v>
      </c>
      <c r="L449" s="1">
        <v>30.0</v>
      </c>
      <c r="M449" s="1">
        <v>30.0</v>
      </c>
      <c r="N449" s="1" t="s">
        <v>51</v>
      </c>
      <c r="O449" s="1">
        <v>38.0</v>
      </c>
      <c r="P449" s="1">
        <v>17.0</v>
      </c>
      <c r="Q449" s="1">
        <v>17.0</v>
      </c>
      <c r="R449" s="1">
        <v>21.0</v>
      </c>
      <c r="S449" s="1">
        <v>21.0</v>
      </c>
      <c r="T449" s="1" t="s">
        <v>52</v>
      </c>
      <c r="U449" s="1">
        <v>18.0</v>
      </c>
      <c r="V449" s="1">
        <v>13.0</v>
      </c>
      <c r="W449" s="1">
        <v>13.0</v>
      </c>
      <c r="X449" s="1">
        <v>5.0</v>
      </c>
      <c r="Y449" s="1">
        <v>5.0</v>
      </c>
      <c r="Z449" s="1" t="s">
        <v>53</v>
      </c>
      <c r="AA449" s="1">
        <v>25.0</v>
      </c>
      <c r="AB449" s="1">
        <v>17.0</v>
      </c>
      <c r="AC449" s="1">
        <v>17.0</v>
      </c>
      <c r="AD449" s="1">
        <v>8.0</v>
      </c>
      <c r="AE449" s="1">
        <v>8.0</v>
      </c>
      <c r="AF449" s="1" t="s">
        <v>54</v>
      </c>
      <c r="AG449" s="1">
        <v>37.0</v>
      </c>
      <c r="AH449" s="1">
        <v>23.0</v>
      </c>
      <c r="AI449" s="1">
        <v>23.0</v>
      </c>
      <c r="AJ449" s="1">
        <v>14.0</v>
      </c>
      <c r="AK449" s="1">
        <v>14.0</v>
      </c>
      <c r="AL449" s="1">
        <v>179.0</v>
      </c>
      <c r="AM449" s="1" t="s">
        <v>55</v>
      </c>
      <c r="AN449" s="1" t="s">
        <v>55</v>
      </c>
      <c r="AO449" s="1" t="s">
        <v>55</v>
      </c>
      <c r="AP449" s="1" t="s">
        <v>652</v>
      </c>
      <c r="AQ449" s="3" t="str">
        <f>HYPERLINK("https://icf.clappia.com/app/GMB253374/submission/DXS01312608/ICF247370-GMB253374-cncbhhjegn3k0000000/SIG-20250701_142582nop.jpeg", "SIG-20250701_142582nop.jpeg")</f>
        <v>SIG-20250701_142582nop.jpeg</v>
      </c>
      <c r="AR449" s="1" t="s">
        <v>653</v>
      </c>
      <c r="AS449" s="3" t="str">
        <f>HYPERLINK("https://icf.clappia.com/app/GMB253374/submission/DXS01312608/ICF247370-GMB253374-53pnih0m371e00000000/SIG-20250701_14277mjn6.jpeg", "SIG-20250701_14277mjn6.jpeg")</f>
        <v>SIG-20250701_14277mjn6.jpeg</v>
      </c>
      <c r="AT449" s="1" t="s">
        <v>2405</v>
      </c>
      <c r="AU449" s="3" t="str">
        <f>HYPERLINK("https://icf.clappia.com/app/GMB253374/submission/DXS01312608/ICF247370-GMB253374-3fbmdcbgakm600000000/SIG-20250701_1427ahcn6.jpeg", "SIG-20250701_1427ahcn6.jpeg")</f>
        <v>SIG-20250701_1427ahcn6.jpeg</v>
      </c>
      <c r="AV449" s="3" t="str">
        <f>HYPERLINK("https://www.google.com/maps/place/7.7976756%2C-12.0002627", "7.7976756,-12.0002627")</f>
        <v>7.7976756,-12.0002627</v>
      </c>
    </row>
    <row r="450" ht="15.75" customHeight="1">
      <c r="A450" s="1" t="s">
        <v>2406</v>
      </c>
      <c r="B450" s="1" t="s">
        <v>189</v>
      </c>
      <c r="C450" s="1" t="s">
        <v>2403</v>
      </c>
      <c r="D450" s="1" t="s">
        <v>2403</v>
      </c>
      <c r="E450" s="1" t="s">
        <v>2407</v>
      </c>
      <c r="F450" s="1" t="s">
        <v>49</v>
      </c>
      <c r="G450" s="1">
        <v>161.0</v>
      </c>
      <c r="H450" s="1" t="s">
        <v>50</v>
      </c>
      <c r="I450" s="1">
        <v>28.0</v>
      </c>
      <c r="J450" s="1">
        <v>14.0</v>
      </c>
      <c r="K450" s="1">
        <v>14.0</v>
      </c>
      <c r="L450" s="1">
        <v>14.0</v>
      </c>
      <c r="M450" s="1">
        <v>14.0</v>
      </c>
      <c r="N450" s="1" t="s">
        <v>51</v>
      </c>
      <c r="O450" s="1">
        <v>26.0</v>
      </c>
      <c r="P450" s="1">
        <v>17.0</v>
      </c>
      <c r="Q450" s="1">
        <v>17.0</v>
      </c>
      <c r="R450" s="1">
        <v>9.0</v>
      </c>
      <c r="S450" s="1">
        <v>9.0</v>
      </c>
      <c r="T450" s="1" t="s">
        <v>52</v>
      </c>
      <c r="U450" s="1">
        <v>30.0</v>
      </c>
      <c r="V450" s="1">
        <v>18.0</v>
      </c>
      <c r="W450" s="1">
        <v>18.0</v>
      </c>
      <c r="X450" s="1">
        <v>12.0</v>
      </c>
      <c r="Y450" s="1">
        <v>12.0</v>
      </c>
      <c r="Z450" s="1" t="s">
        <v>53</v>
      </c>
      <c r="AA450" s="1">
        <v>27.0</v>
      </c>
      <c r="AB450" s="1">
        <v>14.0</v>
      </c>
      <c r="AC450" s="1">
        <v>14.0</v>
      </c>
      <c r="AD450" s="1">
        <v>13.0</v>
      </c>
      <c r="AE450" s="1">
        <v>13.0</v>
      </c>
      <c r="AF450" s="1" t="s">
        <v>54</v>
      </c>
      <c r="AG450" s="1">
        <v>50.0</v>
      </c>
      <c r="AH450" s="1">
        <v>25.0</v>
      </c>
      <c r="AI450" s="1">
        <v>25.0</v>
      </c>
      <c r="AJ450" s="1">
        <v>25.0</v>
      </c>
      <c r="AK450" s="1">
        <v>25.0</v>
      </c>
      <c r="AL450" s="1">
        <v>161.0</v>
      </c>
      <c r="AM450" s="1" t="s">
        <v>55</v>
      </c>
      <c r="AN450" s="1" t="s">
        <v>55</v>
      </c>
      <c r="AO450" s="1" t="s">
        <v>55</v>
      </c>
      <c r="AP450" s="1" t="s">
        <v>2408</v>
      </c>
      <c r="AQ450" s="3" t="str">
        <f>HYPERLINK("https://icf.clappia.com/app/GMB253374/submission/OQZ79037873/ICF247370-GMB253374-5d6ccjd58bd600000000/SIG-20250702_1058178fe5.jpeg", "SIG-20250702_1058178fe5.jpeg")</f>
        <v>SIG-20250702_1058178fe5.jpeg</v>
      </c>
      <c r="AR450" s="1" t="s">
        <v>2409</v>
      </c>
      <c r="AS450" s="3" t="str">
        <f>HYPERLINK("https://icf.clappia.com/app/GMB253374/submission/OQZ79037873/ICF247370-GMB253374-21dng6nm600ee0000000/SIG-20250702_105917642k.jpeg", "SIG-20250702_105917642k.jpeg")</f>
        <v>SIG-20250702_105917642k.jpeg</v>
      </c>
      <c r="AT450" s="1" t="s">
        <v>2410</v>
      </c>
      <c r="AU450" s="3" t="str">
        <f>HYPERLINK("https://icf.clappia.com/app/GMB253374/submission/OQZ79037873/ICF247370-GMB253374-3i4fkif667pa00000000/SIG-20250702_1100880ll.jpeg", "SIG-20250702_1100880ll.jpeg")</f>
        <v>SIG-20250702_1100880ll.jpeg</v>
      </c>
      <c r="AV450" s="3" t="str">
        <f>HYPERLINK("https://www.google.com/maps/place/8.8855883%2C-12.0343017", "8.8855883,-12.0343017")</f>
        <v>8.8855883,-12.0343017</v>
      </c>
    </row>
    <row r="451" ht="15.75" customHeight="1">
      <c r="A451" s="1" t="s">
        <v>2411</v>
      </c>
      <c r="B451" s="1" t="s">
        <v>81</v>
      </c>
      <c r="C451" s="1" t="s">
        <v>2412</v>
      </c>
      <c r="D451" s="1" t="s">
        <v>2412</v>
      </c>
      <c r="E451" s="1" t="s">
        <v>2413</v>
      </c>
      <c r="F451" s="1" t="s">
        <v>64</v>
      </c>
      <c r="G451" s="1">
        <v>250.0</v>
      </c>
      <c r="H451" s="1" t="s">
        <v>50</v>
      </c>
      <c r="I451" s="1">
        <v>98.0</v>
      </c>
      <c r="J451" s="1">
        <v>44.0</v>
      </c>
      <c r="K451" s="1">
        <v>40.0</v>
      </c>
      <c r="L451" s="1">
        <v>54.0</v>
      </c>
      <c r="M451" s="1">
        <v>26.0</v>
      </c>
      <c r="N451" s="1" t="s">
        <v>51</v>
      </c>
      <c r="O451" s="1">
        <v>87.0</v>
      </c>
      <c r="P451" s="1">
        <v>39.0</v>
      </c>
      <c r="Q451" s="1">
        <v>23.0</v>
      </c>
      <c r="R451" s="1">
        <v>48.0</v>
      </c>
      <c r="S451" s="1">
        <v>25.0</v>
      </c>
      <c r="T451" s="1" t="s">
        <v>52</v>
      </c>
      <c r="U451" s="1">
        <v>74.0</v>
      </c>
      <c r="V451" s="1">
        <v>36.0</v>
      </c>
      <c r="W451" s="1">
        <v>15.0</v>
      </c>
      <c r="X451" s="1">
        <v>38.0</v>
      </c>
      <c r="Y451" s="1">
        <v>23.0</v>
      </c>
      <c r="Z451" s="1" t="s">
        <v>53</v>
      </c>
      <c r="AA451" s="1">
        <v>71.0</v>
      </c>
      <c r="AB451" s="1">
        <v>34.0</v>
      </c>
      <c r="AC451" s="1">
        <v>23.0</v>
      </c>
      <c r="AD451" s="1">
        <v>37.0</v>
      </c>
      <c r="AE451" s="1">
        <v>32.0</v>
      </c>
      <c r="AF451" s="1" t="s">
        <v>54</v>
      </c>
      <c r="AG451" s="1">
        <v>72.0</v>
      </c>
      <c r="AH451" s="1">
        <v>36.0</v>
      </c>
      <c r="AI451" s="1">
        <v>21.0</v>
      </c>
      <c r="AJ451" s="1">
        <v>36.0</v>
      </c>
      <c r="AK451" s="1">
        <v>22.0</v>
      </c>
      <c r="AL451" s="1">
        <v>250.0</v>
      </c>
      <c r="AM451" s="1" t="s">
        <v>55</v>
      </c>
      <c r="AN451" s="1" t="s">
        <v>55</v>
      </c>
      <c r="AO451" s="1" t="s">
        <v>55</v>
      </c>
      <c r="AP451" s="1" t="s">
        <v>812</v>
      </c>
      <c r="AQ451" s="3" t="str">
        <f>HYPERLINK("https://icf.clappia.com/app/GMB253374/submission/GHC72727637/ICF247370-GMB253374-374okpb4db1k00000000/SIG-20250702_10563kib4.jpeg", "SIG-20250702_10563kib4.jpeg")</f>
        <v>SIG-20250702_10563kib4.jpeg</v>
      </c>
      <c r="AR451" s="1" t="s">
        <v>813</v>
      </c>
      <c r="AS451" s="3" t="str">
        <f>HYPERLINK("https://icf.clappia.com/app/GMB253374/submission/GHC72727637/ICF247370-GMB253374-4482egffc1oe00000000/SIG-20250702_10571595be.jpeg", "SIG-20250702_10571595be.jpeg")</f>
        <v>SIG-20250702_10571595be.jpeg</v>
      </c>
      <c r="AT451" s="1" t="s">
        <v>2414</v>
      </c>
      <c r="AU451" s="3" t="str">
        <f>HYPERLINK("https://icf.clappia.com/app/GMB253374/submission/GHC72727637/ICF247370-GMB253374-4d3hnidlfeec00000000/SIG-20250702_105831fob.jpeg", "SIG-20250702_105831fob.jpeg")</f>
        <v>SIG-20250702_105831fob.jpeg</v>
      </c>
      <c r="AV451" s="3" t="str">
        <f>HYPERLINK("https://www.google.com/maps/place/7.9711516%2C-11.7614634", "7.9711516,-11.7614634")</f>
        <v>7.9711516,-11.7614634</v>
      </c>
    </row>
    <row r="452" ht="15.75" customHeight="1">
      <c r="A452" s="1" t="s">
        <v>2415</v>
      </c>
      <c r="B452" s="1" t="s">
        <v>302</v>
      </c>
      <c r="C452" s="1" t="s">
        <v>2234</v>
      </c>
      <c r="D452" s="1" t="s">
        <v>2234</v>
      </c>
      <c r="E452" s="1" t="s">
        <v>2416</v>
      </c>
      <c r="F452" s="1" t="s">
        <v>49</v>
      </c>
      <c r="G452" s="1">
        <v>150.0</v>
      </c>
      <c r="H452" s="1" t="s">
        <v>50</v>
      </c>
      <c r="I452" s="1">
        <v>38.0</v>
      </c>
      <c r="J452" s="1">
        <v>19.0</v>
      </c>
      <c r="K452" s="1">
        <v>19.0</v>
      </c>
      <c r="L452" s="1">
        <v>19.0</v>
      </c>
      <c r="M452" s="1">
        <v>19.0</v>
      </c>
      <c r="N452" s="1" t="s">
        <v>51</v>
      </c>
      <c r="O452" s="1">
        <v>37.0</v>
      </c>
      <c r="P452" s="1">
        <v>17.0</v>
      </c>
      <c r="Q452" s="1">
        <v>17.0</v>
      </c>
      <c r="R452" s="1">
        <v>20.0</v>
      </c>
      <c r="S452" s="1">
        <v>20.0</v>
      </c>
      <c r="T452" s="1" t="s">
        <v>52</v>
      </c>
      <c r="U452" s="1">
        <v>35.0</v>
      </c>
      <c r="V452" s="1">
        <v>15.0</v>
      </c>
      <c r="W452" s="1">
        <v>13.0</v>
      </c>
      <c r="X452" s="1">
        <v>20.0</v>
      </c>
      <c r="Y452" s="1">
        <v>11.0</v>
      </c>
      <c r="Z452" s="1" t="s">
        <v>53</v>
      </c>
      <c r="AA452" s="1">
        <v>30.0</v>
      </c>
      <c r="AB452" s="1">
        <v>15.0</v>
      </c>
      <c r="AC452" s="1">
        <v>12.0</v>
      </c>
      <c r="AD452" s="1">
        <v>15.0</v>
      </c>
      <c r="AE452" s="1">
        <v>15.0</v>
      </c>
      <c r="AF452" s="1" t="s">
        <v>54</v>
      </c>
      <c r="AG452" s="1">
        <v>30.0</v>
      </c>
      <c r="AH452" s="1">
        <v>14.0</v>
      </c>
      <c r="AI452" s="1">
        <v>13.0</v>
      </c>
      <c r="AJ452" s="1">
        <v>16.0</v>
      </c>
      <c r="AK452" s="1">
        <v>11.0</v>
      </c>
      <c r="AL452" s="1">
        <v>150.0</v>
      </c>
      <c r="AM452" s="1" t="s">
        <v>55</v>
      </c>
      <c r="AN452" s="1" t="s">
        <v>55</v>
      </c>
      <c r="AO452" s="1" t="s">
        <v>55</v>
      </c>
      <c r="AP452" s="1" t="s">
        <v>2417</v>
      </c>
      <c r="AQ452" s="3" t="str">
        <f>HYPERLINK("https://icf.clappia.com/app/GMB253374/submission/LUV62190717/ICF247370-GMB253374-3fd5fi0ef7ig00000000/SIG-20250630_120612hdj1.jpeg", "SIG-20250630_120612hdj1.jpeg")</f>
        <v>SIG-20250630_120612hdj1.jpeg</v>
      </c>
      <c r="AR452" s="1" t="s">
        <v>2418</v>
      </c>
      <c r="AS452" s="3" t="str">
        <f>HYPERLINK("https://icf.clappia.com/app/GMB253374/submission/LUV62190717/ICF247370-GMB253374-2anlk10k085gc0000000/SIG-20250630_120711b7pa.jpeg", "SIG-20250630_120711b7pa.jpeg")</f>
        <v>SIG-20250630_120711b7pa.jpeg</v>
      </c>
      <c r="AT452" s="1" t="s">
        <v>2419</v>
      </c>
      <c r="AU452" s="3" t="str">
        <f>HYPERLINK("https://icf.clappia.com/app/GMB253374/submission/LUV62190717/ICF247370-GMB253374-5762mnf3f60200000000/SIG-20250630_120816dai9.jpeg", "SIG-20250630_120816dai9.jpeg")</f>
        <v>SIG-20250630_120816dai9.jpeg</v>
      </c>
      <c r="AV452" s="3" t="str">
        <f>HYPERLINK("https://www.google.com/maps/place/8.7251252%2C-11.9414041", "8.7251252,-11.9414041")</f>
        <v>8.7251252,-11.9414041</v>
      </c>
    </row>
    <row r="453" ht="15.75" customHeight="1">
      <c r="A453" s="1" t="s">
        <v>2420</v>
      </c>
      <c r="B453" s="1" t="s">
        <v>335</v>
      </c>
      <c r="C453" s="1" t="s">
        <v>2421</v>
      </c>
      <c r="D453" s="1" t="s">
        <v>2234</v>
      </c>
      <c r="E453" s="1" t="s">
        <v>2422</v>
      </c>
      <c r="F453" s="1" t="s">
        <v>64</v>
      </c>
      <c r="G453" s="1">
        <v>127.0</v>
      </c>
      <c r="H453" s="1" t="s">
        <v>50</v>
      </c>
      <c r="I453" s="1">
        <v>51.0</v>
      </c>
      <c r="J453" s="1">
        <v>26.0</v>
      </c>
      <c r="K453" s="1">
        <v>11.0</v>
      </c>
      <c r="L453" s="1">
        <v>25.0</v>
      </c>
      <c r="M453" s="1">
        <v>14.0</v>
      </c>
      <c r="N453" s="1" t="s">
        <v>51</v>
      </c>
      <c r="O453" s="1">
        <v>55.0</v>
      </c>
      <c r="P453" s="1">
        <v>25.0</v>
      </c>
      <c r="Q453" s="1">
        <v>7.0</v>
      </c>
      <c r="R453" s="1">
        <v>30.0</v>
      </c>
      <c r="S453" s="1">
        <v>5.0</v>
      </c>
      <c r="T453" s="1" t="s">
        <v>52</v>
      </c>
      <c r="U453" s="1">
        <v>21.0</v>
      </c>
      <c r="V453" s="1">
        <v>9.0</v>
      </c>
      <c r="W453" s="1">
        <v>3.0</v>
      </c>
      <c r="X453" s="1">
        <v>12.0</v>
      </c>
      <c r="Y453" s="1">
        <v>12.0</v>
      </c>
      <c r="Z453" s="1" t="s">
        <v>53</v>
      </c>
      <c r="AA453" s="1">
        <v>20.0</v>
      </c>
      <c r="AB453" s="1">
        <v>9.0</v>
      </c>
      <c r="AC453" s="1">
        <v>4.0</v>
      </c>
      <c r="AD453" s="1">
        <v>11.0</v>
      </c>
      <c r="AE453" s="1">
        <v>10.0</v>
      </c>
      <c r="AF453" s="1" t="s">
        <v>54</v>
      </c>
      <c r="AG453" s="1">
        <v>24.0</v>
      </c>
      <c r="AH453" s="1">
        <v>13.0</v>
      </c>
      <c r="AI453" s="1">
        <v>7.0</v>
      </c>
      <c r="AJ453" s="1">
        <v>11.0</v>
      </c>
      <c r="AK453" s="1">
        <v>7.0</v>
      </c>
      <c r="AL453" s="1">
        <v>80.0</v>
      </c>
      <c r="AM453" s="1">
        <v>10.0</v>
      </c>
      <c r="AN453" s="1">
        <v>37.0</v>
      </c>
      <c r="AO453" s="1">
        <v>37.0</v>
      </c>
      <c r="AP453" s="1" t="s">
        <v>2163</v>
      </c>
      <c r="AQ453" s="3" t="str">
        <f>HYPERLINK("https://icf.clappia.com/app/GMB253374/submission/YGH54308586/ICF247370-GMB253374-5mephgh6l5m600000000/SIG-20250702_0951lmml6.jpeg", "SIG-20250702_0951lmml6.jpeg")</f>
        <v>SIG-20250702_0951lmml6.jpeg</v>
      </c>
      <c r="AR453" s="1" t="s">
        <v>2423</v>
      </c>
      <c r="AS453" s="3" t="str">
        <f>HYPERLINK("https://icf.clappia.com/app/GMB253374/submission/YGH54308586/ICF247370-GMB253374-4k5ngf9p6keg00000000/SIG-20250702_0951hjjd4.jpeg", "SIG-20250702_0951hjjd4.jpeg")</f>
        <v>SIG-20250702_0951hjjd4.jpeg</v>
      </c>
      <c r="AT453" s="1" t="s">
        <v>2165</v>
      </c>
      <c r="AU453" s="3" t="str">
        <f>HYPERLINK("https://icf.clappia.com/app/GMB253374/submission/YGH54308586/ICF247370-GMB253374-3le6edifh5n800000000/SIG-20250702_0951b0kd8.jpeg", "SIG-20250702_0951b0kd8.jpeg")</f>
        <v>SIG-20250702_0951b0kd8.jpeg</v>
      </c>
      <c r="AV453" s="3" t="str">
        <f>HYPERLINK("https://www.google.com/maps/place/8.2162317%2C-11.5506467", "8.2162317,-11.5506467")</f>
        <v>8.2162317,-11.5506467</v>
      </c>
    </row>
    <row r="454" ht="15.75" customHeight="1">
      <c r="A454" s="1" t="s">
        <v>2424</v>
      </c>
      <c r="B454" s="1" t="s">
        <v>102</v>
      </c>
      <c r="C454" s="1" t="s">
        <v>2234</v>
      </c>
      <c r="D454" s="1" t="s">
        <v>2234</v>
      </c>
      <c r="E454" s="1" t="s">
        <v>2425</v>
      </c>
      <c r="F454" s="1" t="s">
        <v>64</v>
      </c>
      <c r="G454" s="1">
        <v>145.0</v>
      </c>
      <c r="H454" s="1" t="s">
        <v>50</v>
      </c>
      <c r="I454" s="1">
        <v>27.0</v>
      </c>
      <c r="J454" s="1">
        <v>16.0</v>
      </c>
      <c r="K454" s="1">
        <v>15.0</v>
      </c>
      <c r="L454" s="1">
        <v>11.0</v>
      </c>
      <c r="M454" s="1">
        <v>9.0</v>
      </c>
      <c r="N454" s="1" t="s">
        <v>51</v>
      </c>
      <c r="O454" s="1">
        <v>30.0</v>
      </c>
      <c r="P454" s="1">
        <v>18.0</v>
      </c>
      <c r="Q454" s="1">
        <v>15.0</v>
      </c>
      <c r="R454" s="1">
        <v>12.0</v>
      </c>
      <c r="S454" s="1">
        <v>11.0</v>
      </c>
      <c r="T454" s="1" t="s">
        <v>52</v>
      </c>
      <c r="U454" s="1">
        <v>28.0</v>
      </c>
      <c r="V454" s="1">
        <v>14.0</v>
      </c>
      <c r="W454" s="1">
        <v>10.0</v>
      </c>
      <c r="X454" s="1">
        <v>11.0</v>
      </c>
      <c r="Y454" s="1">
        <v>10.0</v>
      </c>
      <c r="Z454" s="1" t="s">
        <v>53</v>
      </c>
      <c r="AA454" s="1">
        <v>41.0</v>
      </c>
      <c r="AB454" s="1">
        <v>17.0</v>
      </c>
      <c r="AC454" s="1">
        <v>13.0</v>
      </c>
      <c r="AD454" s="1">
        <v>24.0</v>
      </c>
      <c r="AE454" s="1">
        <v>17.0</v>
      </c>
      <c r="AF454" s="1" t="s">
        <v>54</v>
      </c>
      <c r="AG454" s="1">
        <v>31.0</v>
      </c>
      <c r="AH454" s="1">
        <v>17.0</v>
      </c>
      <c r="AI454" s="1">
        <v>15.0</v>
      </c>
      <c r="AJ454" s="1">
        <v>14.0</v>
      </c>
      <c r="AK454" s="1">
        <v>14.0</v>
      </c>
      <c r="AL454" s="1">
        <v>129.0</v>
      </c>
      <c r="AM454" s="1" t="s">
        <v>55</v>
      </c>
      <c r="AN454" s="1">
        <v>16.0</v>
      </c>
      <c r="AO454" s="1">
        <v>16.0</v>
      </c>
      <c r="AP454" s="1" t="s">
        <v>903</v>
      </c>
      <c r="AQ454" s="3" t="str">
        <f>HYPERLINK("https://icf.clappia.com/app/GMB253374/submission/MDR86124251/ICF247370-GMB253374-2mb4af18b5l400000000/SIG-20250702_10159p261.jpeg", "SIG-20250702_10159p261.jpeg")</f>
        <v>SIG-20250702_10159p261.jpeg</v>
      </c>
      <c r="AR454" s="1" t="s">
        <v>904</v>
      </c>
      <c r="AS454" s="3" t="str">
        <f>HYPERLINK("https://icf.clappia.com/app/GMB253374/submission/MDR86124251/ICF247370-GMB253374-eced804cfo3a0000000/SIG-20250702_1015e0il1.jpeg", "SIG-20250702_1015e0il1.jpeg")</f>
        <v>SIG-20250702_1015e0il1.jpeg</v>
      </c>
      <c r="AT454" s="1" t="s">
        <v>905</v>
      </c>
      <c r="AU454" s="3" t="str">
        <f>HYPERLINK("https://icf.clappia.com/app/GMB253374/submission/MDR86124251/ICF247370-GMB253374-2cb1g299kbm200000000/SIG-20250702_1015194k5i.jpeg", "SIG-20250702_1015194k5i.jpeg")</f>
        <v>SIG-20250702_1015194k5i.jpeg</v>
      </c>
      <c r="AV454" s="3" t="str">
        <f>HYPERLINK("https://www.google.com/maps/place/9.1439917%2C-11.9605683", "9.1439917,-11.9605683")</f>
        <v>9.1439917,-11.9605683</v>
      </c>
    </row>
    <row r="455" ht="15.75" customHeight="1">
      <c r="A455" s="1" t="s">
        <v>2426</v>
      </c>
      <c r="B455" s="1" t="s">
        <v>189</v>
      </c>
      <c r="C455" s="1" t="s">
        <v>2427</v>
      </c>
      <c r="D455" s="1" t="s">
        <v>2427</v>
      </c>
      <c r="E455" s="1" t="s">
        <v>2428</v>
      </c>
      <c r="F455" s="1" t="s">
        <v>49</v>
      </c>
      <c r="G455" s="1">
        <v>200.0</v>
      </c>
      <c r="H455" s="1" t="s">
        <v>50</v>
      </c>
      <c r="I455" s="1">
        <v>40.0</v>
      </c>
      <c r="J455" s="1">
        <v>20.0</v>
      </c>
      <c r="K455" s="1">
        <v>20.0</v>
      </c>
      <c r="L455" s="1">
        <v>20.0</v>
      </c>
      <c r="M455" s="1">
        <v>18.0</v>
      </c>
      <c r="N455" s="1" t="s">
        <v>51</v>
      </c>
      <c r="O455" s="1">
        <v>40.0</v>
      </c>
      <c r="P455" s="1">
        <v>25.0</v>
      </c>
      <c r="Q455" s="1">
        <v>25.0</v>
      </c>
      <c r="R455" s="1">
        <v>15.0</v>
      </c>
      <c r="S455" s="1">
        <v>15.0</v>
      </c>
      <c r="T455" s="1" t="s">
        <v>52</v>
      </c>
      <c r="U455" s="1">
        <v>40.0</v>
      </c>
      <c r="V455" s="1">
        <v>20.0</v>
      </c>
      <c r="W455" s="1">
        <v>20.0</v>
      </c>
      <c r="X455" s="1">
        <v>20.0</v>
      </c>
      <c r="Y455" s="1">
        <v>20.0</v>
      </c>
      <c r="Z455" s="1" t="s">
        <v>53</v>
      </c>
      <c r="AA455" s="1">
        <v>40.0</v>
      </c>
      <c r="AB455" s="1">
        <v>19.0</v>
      </c>
      <c r="AC455" s="1">
        <v>19.0</v>
      </c>
      <c r="AD455" s="1">
        <v>21.0</v>
      </c>
      <c r="AE455" s="1">
        <v>21.0</v>
      </c>
      <c r="AF455" s="1" t="s">
        <v>54</v>
      </c>
      <c r="AG455" s="1">
        <v>40.0</v>
      </c>
      <c r="AH455" s="1">
        <v>22.0</v>
      </c>
      <c r="AI455" s="1">
        <v>22.0</v>
      </c>
      <c r="AJ455" s="1">
        <v>18.0</v>
      </c>
      <c r="AK455" s="1">
        <v>18.0</v>
      </c>
      <c r="AL455" s="1">
        <v>198.0</v>
      </c>
      <c r="AM455" s="1">
        <v>2.0</v>
      </c>
      <c r="AN455" s="1" t="s">
        <v>55</v>
      </c>
      <c r="AO455" s="1" t="s">
        <v>55</v>
      </c>
      <c r="AP455" s="1" t="s">
        <v>2429</v>
      </c>
      <c r="AQ455" s="3" t="str">
        <f>HYPERLINK("https://icf.clappia.com/app/GMB253374/submission/FZL85136508/ICF247370-GMB253374-2b04nm8gkkmmi0000000/SIG-20250702_105611p5k2.jpeg", "SIG-20250702_105611p5k2.jpeg")</f>
        <v>SIG-20250702_105611p5k2.jpeg</v>
      </c>
      <c r="AR455" s="1" t="s">
        <v>2430</v>
      </c>
      <c r="AS455" s="3" t="str">
        <f>HYPERLINK("https://icf.clappia.com/app/GMB253374/submission/FZL85136508/ICF247370-GMB253374-16a799o3fca560000000/SIG-20250702_1057nj64g.jpeg", "SIG-20250702_1057nj64g.jpeg")</f>
        <v>SIG-20250702_1057nj64g.jpeg</v>
      </c>
      <c r="AT455" s="1" t="s">
        <v>361</v>
      </c>
      <c r="AU455" s="3" t="str">
        <f>HYPERLINK("https://icf.clappia.com/app/GMB253374/submission/FZL85136508/ICF247370-GMB253374-3k5b3c1d6mf600000000/SIG-20250702_1057fjn9f.jpeg", "SIG-20250702_1057fjn9f.jpeg")</f>
        <v>SIG-20250702_1057fjn9f.jpeg</v>
      </c>
      <c r="AV455" s="3" t="str">
        <f>HYPERLINK("https://www.google.com/maps/place/8.899045%2C-12.0451983", "8.899045,-12.0451983")</f>
        <v>8.899045,-12.0451983</v>
      </c>
    </row>
    <row r="456" ht="15.75" customHeight="1">
      <c r="A456" s="1" t="s">
        <v>2431</v>
      </c>
      <c r="B456" s="1" t="s">
        <v>189</v>
      </c>
      <c r="C456" s="1" t="s">
        <v>2432</v>
      </c>
      <c r="D456" s="1" t="s">
        <v>2432</v>
      </c>
      <c r="E456" s="1" t="s">
        <v>2433</v>
      </c>
      <c r="F456" s="1" t="s">
        <v>64</v>
      </c>
      <c r="G456" s="1">
        <v>81.0</v>
      </c>
      <c r="H456" s="1" t="s">
        <v>50</v>
      </c>
      <c r="I456" s="1">
        <v>20.0</v>
      </c>
      <c r="J456" s="1">
        <v>12.0</v>
      </c>
      <c r="K456" s="1">
        <v>12.0</v>
      </c>
      <c r="L456" s="1">
        <v>8.0</v>
      </c>
      <c r="M456" s="1">
        <v>8.0</v>
      </c>
      <c r="N456" s="1" t="s">
        <v>51</v>
      </c>
      <c r="O456" s="1">
        <v>18.0</v>
      </c>
      <c r="P456" s="1">
        <v>10.0</v>
      </c>
      <c r="Q456" s="1">
        <v>10.0</v>
      </c>
      <c r="R456" s="1">
        <v>8.0</v>
      </c>
      <c r="S456" s="1">
        <v>8.0</v>
      </c>
      <c r="T456" s="1" t="s">
        <v>52</v>
      </c>
      <c r="U456" s="1">
        <v>12.0</v>
      </c>
      <c r="V456" s="1">
        <v>6.0</v>
      </c>
      <c r="W456" s="1">
        <v>6.0</v>
      </c>
      <c r="X456" s="1">
        <v>6.0</v>
      </c>
      <c r="Y456" s="1">
        <v>6.0</v>
      </c>
      <c r="Z456" s="1" t="s">
        <v>53</v>
      </c>
      <c r="AA456" s="1">
        <v>13.0</v>
      </c>
      <c r="AB456" s="1">
        <v>7.0</v>
      </c>
      <c r="AC456" s="1">
        <v>7.0</v>
      </c>
      <c r="AD456" s="1">
        <v>6.0</v>
      </c>
      <c r="AE456" s="1">
        <v>6.0</v>
      </c>
      <c r="AF456" s="1" t="s">
        <v>54</v>
      </c>
      <c r="AG456" s="1">
        <v>18.0</v>
      </c>
      <c r="AH456" s="1">
        <v>8.0</v>
      </c>
      <c r="AI456" s="1">
        <v>8.0</v>
      </c>
      <c r="AJ456" s="1">
        <v>10.0</v>
      </c>
      <c r="AK456" s="1">
        <v>10.0</v>
      </c>
      <c r="AL456" s="1">
        <v>81.0</v>
      </c>
      <c r="AM456" s="1" t="s">
        <v>55</v>
      </c>
      <c r="AN456" s="1" t="s">
        <v>55</v>
      </c>
      <c r="AO456" s="1" t="s">
        <v>55</v>
      </c>
      <c r="AP456" s="1" t="s">
        <v>2434</v>
      </c>
      <c r="AQ456" s="3" t="str">
        <f>HYPERLINK("https://icf.clappia.com/app/GMB253374/submission/YZD07605456/ICF247370-GMB253374-3fh3cnn5cme400000000/SIG-20250702_1049c6bfm.jpeg", "SIG-20250702_1049c6bfm.jpeg")</f>
        <v>SIG-20250702_1049c6bfm.jpeg</v>
      </c>
      <c r="AR456" s="1" t="s">
        <v>2435</v>
      </c>
      <c r="AS456" s="3" t="str">
        <f>HYPERLINK("https://icf.clappia.com/app/GMB253374/submission/YZD07605456/ICF247370-GMB253374-173edn02amp2o0000000/SIG-20250702_105018inom.jpeg", "SIG-20250702_105018inom.jpeg")</f>
        <v>SIG-20250702_105018inom.jpeg</v>
      </c>
      <c r="AT456" s="1" t="s">
        <v>2436</v>
      </c>
      <c r="AU456" s="3" t="str">
        <f>HYPERLINK("https://icf.clappia.com/app/GMB253374/submission/YZD07605456/ICF247370-GMB253374-36pf30gf46m400000000/SIG-20250702_105119oapb.jpeg", "SIG-20250702_105119oapb.jpeg")</f>
        <v>SIG-20250702_105119oapb.jpeg</v>
      </c>
      <c r="AV456" s="3" t="str">
        <f>HYPERLINK("https://www.google.com/maps/place/8.8881423%2C-12.0444649", "8.8881423,-12.0444649")</f>
        <v>8.8881423,-12.0444649</v>
      </c>
    </row>
    <row r="457" ht="15.75" customHeight="1">
      <c r="A457" s="1" t="s">
        <v>2437</v>
      </c>
      <c r="B457" s="1" t="s">
        <v>46</v>
      </c>
      <c r="C457" s="1" t="s">
        <v>2438</v>
      </c>
      <c r="D457" s="1" t="s">
        <v>2438</v>
      </c>
      <c r="E457" s="1" t="s">
        <v>2439</v>
      </c>
      <c r="F457" s="1" t="s">
        <v>64</v>
      </c>
      <c r="G457" s="1">
        <v>700.0</v>
      </c>
      <c r="H457" s="1" t="s">
        <v>50</v>
      </c>
      <c r="I457" s="1">
        <v>142.0</v>
      </c>
      <c r="J457" s="1">
        <v>67.0</v>
      </c>
      <c r="K457" s="1">
        <v>67.0</v>
      </c>
      <c r="L457" s="1">
        <v>75.0</v>
      </c>
      <c r="M457" s="1">
        <v>75.0</v>
      </c>
      <c r="N457" s="1" t="s">
        <v>51</v>
      </c>
      <c r="O457" s="1">
        <v>105.0</v>
      </c>
      <c r="P457" s="1">
        <v>53.0</v>
      </c>
      <c r="Q457" s="1">
        <v>53.0</v>
      </c>
      <c r="R457" s="1">
        <v>52.0</v>
      </c>
      <c r="S457" s="1">
        <v>52.0</v>
      </c>
      <c r="T457" s="1" t="s">
        <v>52</v>
      </c>
      <c r="U457" s="1">
        <v>120.0</v>
      </c>
      <c r="V457" s="1">
        <v>55.0</v>
      </c>
      <c r="W457" s="1">
        <v>55.0</v>
      </c>
      <c r="X457" s="1">
        <v>65.0</v>
      </c>
      <c r="Y457" s="1">
        <v>65.0</v>
      </c>
      <c r="Z457" s="1" t="s">
        <v>53</v>
      </c>
      <c r="AA457" s="1">
        <v>130.0</v>
      </c>
      <c r="AB457" s="1">
        <v>60.0</v>
      </c>
      <c r="AC457" s="1">
        <v>60.0</v>
      </c>
      <c r="AD457" s="1">
        <v>70.0</v>
      </c>
      <c r="AE457" s="1">
        <v>70.0</v>
      </c>
      <c r="AF457" s="1" t="s">
        <v>54</v>
      </c>
      <c r="AG457" s="1">
        <v>130.0</v>
      </c>
      <c r="AH457" s="1">
        <v>64.0</v>
      </c>
      <c r="AI457" s="1">
        <v>64.0</v>
      </c>
      <c r="AJ457" s="1">
        <v>66.0</v>
      </c>
      <c r="AK457" s="1">
        <v>66.0</v>
      </c>
      <c r="AL457" s="1">
        <v>627.0</v>
      </c>
      <c r="AM457" s="1" t="s">
        <v>55</v>
      </c>
      <c r="AN457" s="1">
        <v>73.0</v>
      </c>
      <c r="AO457" s="1">
        <v>73.0</v>
      </c>
      <c r="AP457" s="1" t="s">
        <v>2440</v>
      </c>
      <c r="AQ457" s="3" t="str">
        <f>HYPERLINK("https://icf.clappia.com/app/GMB253374/submission/IGV95798413/ICF247370-GMB253374-5bab70i0h44400000000/SIG-20250702_104713bchm.jpeg", "SIG-20250702_104713bchm.jpeg")</f>
        <v>SIG-20250702_104713bchm.jpeg</v>
      </c>
      <c r="AR457" s="1" t="s">
        <v>2441</v>
      </c>
      <c r="AS457" s="3" t="str">
        <f>HYPERLINK("https://icf.clappia.com/app/GMB253374/submission/IGV95798413/ICF247370-GMB253374-3eca0bl13nli00000000/SIG-20250702_10499amd3.jpeg", "SIG-20250702_10499amd3.jpeg")</f>
        <v>SIG-20250702_10499amd3.jpeg</v>
      </c>
      <c r="AT457" s="1" t="s">
        <v>2442</v>
      </c>
      <c r="AU457" s="3" t="str">
        <f>HYPERLINK("https://icf.clappia.com/app/GMB253374/submission/IGV95798413/ICF247370-GMB253374-46e2ij96o7cg00000000/SIG-20250702_10498k53m.jpeg", "SIG-20250702_10498k53m.jpeg")</f>
        <v>SIG-20250702_10498k53m.jpeg</v>
      </c>
      <c r="AV457" s="3" t="str">
        <f>HYPERLINK("https://www.google.com/maps/place/8.9035733%2C-12.0362117", "8.9035733,-12.0362117")</f>
        <v>8.9035733,-12.0362117</v>
      </c>
    </row>
    <row r="458" ht="15.75" customHeight="1">
      <c r="A458" s="1" t="s">
        <v>2443</v>
      </c>
      <c r="B458" s="1" t="s">
        <v>335</v>
      </c>
      <c r="C458" s="1" t="s">
        <v>2444</v>
      </c>
      <c r="D458" s="1" t="s">
        <v>2444</v>
      </c>
      <c r="E458" s="1" t="s">
        <v>2445</v>
      </c>
      <c r="F458" s="1" t="s">
        <v>64</v>
      </c>
      <c r="G458" s="1">
        <v>211.0</v>
      </c>
      <c r="H458" s="1" t="s">
        <v>50</v>
      </c>
      <c r="I458" s="1">
        <v>55.0</v>
      </c>
      <c r="J458" s="1">
        <v>25.0</v>
      </c>
      <c r="K458" s="1">
        <v>24.0</v>
      </c>
      <c r="L458" s="1">
        <v>29.0</v>
      </c>
      <c r="M458" s="1">
        <v>25.0</v>
      </c>
      <c r="N458" s="1" t="s">
        <v>51</v>
      </c>
      <c r="O458" s="1">
        <v>40.0</v>
      </c>
      <c r="P458" s="1">
        <v>25.0</v>
      </c>
      <c r="Q458" s="1">
        <v>23.0</v>
      </c>
      <c r="R458" s="1">
        <v>15.0</v>
      </c>
      <c r="S458" s="1">
        <v>15.0</v>
      </c>
      <c r="T458" s="1" t="s">
        <v>52</v>
      </c>
      <c r="U458" s="1">
        <v>35.0</v>
      </c>
      <c r="V458" s="1">
        <v>15.0</v>
      </c>
      <c r="W458" s="1">
        <v>15.0</v>
      </c>
      <c r="X458" s="1">
        <v>15.0</v>
      </c>
      <c r="Y458" s="1">
        <v>13.0</v>
      </c>
      <c r="Z458" s="1" t="s">
        <v>53</v>
      </c>
      <c r="AA458" s="1">
        <v>37.0</v>
      </c>
      <c r="AB458" s="1">
        <v>26.0</v>
      </c>
      <c r="AC458" s="1">
        <v>26.0</v>
      </c>
      <c r="AD458" s="1">
        <v>11.0</v>
      </c>
      <c r="AE458" s="1">
        <v>11.0</v>
      </c>
      <c r="AF458" s="1" t="s">
        <v>54</v>
      </c>
      <c r="AG458" s="1">
        <v>50.0</v>
      </c>
      <c r="AH458" s="1">
        <v>33.0</v>
      </c>
      <c r="AI458" s="1">
        <v>33.0</v>
      </c>
      <c r="AJ458" s="1">
        <v>17.0</v>
      </c>
      <c r="AK458" s="1">
        <v>15.0</v>
      </c>
      <c r="AL458" s="1">
        <v>200.0</v>
      </c>
      <c r="AM458" s="1" t="s">
        <v>55</v>
      </c>
      <c r="AN458" s="1">
        <v>11.0</v>
      </c>
      <c r="AO458" s="1">
        <v>11.0</v>
      </c>
      <c r="AP458" s="1" t="s">
        <v>2446</v>
      </c>
      <c r="AQ458" s="3" t="str">
        <f>HYPERLINK("https://icf.clappia.com/app/GMB253374/submission/SGF30890013/ICF247370-GMB253374-1fd9ed65j0aoo0000000/SIG-20250702_1048ifmm0.jpeg", "SIG-20250702_1048ifmm0.jpeg")</f>
        <v>SIG-20250702_1048ifmm0.jpeg</v>
      </c>
      <c r="AR458" s="1" t="s">
        <v>2447</v>
      </c>
      <c r="AS458" s="3" t="str">
        <f>HYPERLINK("https://icf.clappia.com/app/GMB253374/submission/SGF30890013/ICF247370-GMB253374-4dlbo37agj8g00000000/SIG-20250702_104960938.jpeg", "SIG-20250702_104960938.jpeg")</f>
        <v>SIG-20250702_104960938.jpeg</v>
      </c>
      <c r="AT458" s="1" t="s">
        <v>1219</v>
      </c>
      <c r="AU458" s="3" t="str">
        <f>HYPERLINK("https://icf.clappia.com/app/GMB253374/submission/SGF30890013/ICF247370-GMB253374-65h8njpk53a000000000/SIG-20250702_1050jaihn.jpeg", "SIG-20250702_1050jaihn.jpeg")</f>
        <v>SIG-20250702_1050jaihn.jpeg</v>
      </c>
      <c r="AV458" s="3" t="str">
        <f>HYPERLINK("https://www.google.com/maps/place/8.1277533%2C-11.6557333", "8.1277533,-11.6557333")</f>
        <v>8.1277533,-11.6557333</v>
      </c>
    </row>
    <row r="459" ht="15.75" customHeight="1">
      <c r="A459" s="1" t="s">
        <v>2448</v>
      </c>
      <c r="B459" s="1" t="s">
        <v>81</v>
      </c>
      <c r="C459" s="1" t="s">
        <v>2449</v>
      </c>
      <c r="D459" s="1" t="s">
        <v>2449</v>
      </c>
      <c r="E459" s="1" t="s">
        <v>2450</v>
      </c>
      <c r="F459" s="1" t="s">
        <v>49</v>
      </c>
      <c r="G459" s="1">
        <v>65.0</v>
      </c>
      <c r="H459" s="1" t="s">
        <v>50</v>
      </c>
      <c r="I459" s="1">
        <v>45.0</v>
      </c>
      <c r="J459" s="1">
        <v>28.0</v>
      </c>
      <c r="K459" s="1">
        <v>21.0</v>
      </c>
      <c r="L459" s="1">
        <v>17.0</v>
      </c>
      <c r="M459" s="1">
        <v>14.0</v>
      </c>
      <c r="N459" s="1" t="s">
        <v>51</v>
      </c>
      <c r="O459" s="1">
        <v>46.0</v>
      </c>
      <c r="P459" s="1">
        <v>20.0</v>
      </c>
      <c r="Q459" s="1">
        <v>15.0</v>
      </c>
      <c r="R459" s="1">
        <v>26.0</v>
      </c>
      <c r="S459" s="1">
        <v>15.0</v>
      </c>
      <c r="T459" s="1" t="s">
        <v>52</v>
      </c>
      <c r="U459" s="1">
        <v>43.0</v>
      </c>
      <c r="V459" s="1">
        <v>23.0</v>
      </c>
      <c r="W459" s="1" t="s">
        <v>55</v>
      </c>
      <c r="X459" s="1">
        <v>20.0</v>
      </c>
      <c r="Y459" s="1" t="s">
        <v>55</v>
      </c>
      <c r="Z459" s="1" t="s">
        <v>53</v>
      </c>
      <c r="AA459" s="1">
        <v>32.0</v>
      </c>
      <c r="AB459" s="1">
        <v>15.0</v>
      </c>
      <c r="AC459" s="1" t="s">
        <v>55</v>
      </c>
      <c r="AD459" s="1">
        <v>17.0</v>
      </c>
      <c r="AE459" s="1" t="s">
        <v>55</v>
      </c>
      <c r="AF459" s="1" t="s">
        <v>54</v>
      </c>
      <c r="AG459" s="1">
        <v>20.0</v>
      </c>
      <c r="AH459" s="1">
        <v>10.0</v>
      </c>
      <c r="AI459" s="1" t="s">
        <v>55</v>
      </c>
      <c r="AJ459" s="1">
        <v>10.0</v>
      </c>
      <c r="AK459" s="1" t="s">
        <v>55</v>
      </c>
      <c r="AL459" s="1">
        <v>65.0</v>
      </c>
      <c r="AM459" s="1" t="s">
        <v>55</v>
      </c>
      <c r="AN459" s="1" t="s">
        <v>55</v>
      </c>
      <c r="AO459" s="1" t="s">
        <v>55</v>
      </c>
      <c r="AP459" s="1" t="s">
        <v>1193</v>
      </c>
      <c r="AQ459" s="3" t="str">
        <f>HYPERLINK("https://icf.clappia.com/app/GMB253374/submission/ARO11683919/ICF247370-GMB253374-28a5e281j55e80000000/SIG-20250702_1041jcok3.jpeg", "SIG-20250702_1041jcok3.jpeg")</f>
        <v>SIG-20250702_1041jcok3.jpeg</v>
      </c>
      <c r="AR459" s="1" t="s">
        <v>1194</v>
      </c>
      <c r="AS459" s="3" t="str">
        <f>HYPERLINK("https://icf.clappia.com/app/GMB253374/submission/ARO11683919/ICF247370-GMB253374-1cho5ka9bb9pa0000000/SIG-20250702_104716fdk7.jpeg", "SIG-20250702_104716fdk7.jpeg")</f>
        <v>SIG-20250702_104716fdk7.jpeg</v>
      </c>
      <c r="AT459" s="1" t="s">
        <v>1195</v>
      </c>
      <c r="AU459" s="3" t="str">
        <f>HYPERLINK("https://icf.clappia.com/app/GMB253374/submission/ARO11683919/ICF247370-GMB253374-4pjgchll53ea00000000/SIG-20250702_1046ilghe.jpeg", "SIG-20250702_1046ilghe.jpeg")</f>
        <v>SIG-20250702_1046ilghe.jpeg</v>
      </c>
      <c r="AV459" s="3" t="str">
        <f>HYPERLINK("https://www.google.com/maps/place/7.9459458%2C-11.7187503", "7.9459458,-11.7187503")</f>
        <v>7.9459458,-11.7187503</v>
      </c>
    </row>
    <row r="460" ht="15.75" customHeight="1">
      <c r="A460" s="1" t="s">
        <v>2451</v>
      </c>
      <c r="B460" s="1" t="s">
        <v>167</v>
      </c>
      <c r="C460" s="1" t="s">
        <v>2452</v>
      </c>
      <c r="D460" s="1" t="s">
        <v>2452</v>
      </c>
      <c r="E460" s="1" t="s">
        <v>2453</v>
      </c>
      <c r="F460" s="1" t="s">
        <v>49</v>
      </c>
      <c r="G460" s="1">
        <v>150.0</v>
      </c>
      <c r="H460" s="1" t="s">
        <v>50</v>
      </c>
      <c r="I460" s="1">
        <v>19.0</v>
      </c>
      <c r="J460" s="1">
        <v>6.0</v>
      </c>
      <c r="K460" s="1">
        <v>6.0</v>
      </c>
      <c r="L460" s="1">
        <v>13.0</v>
      </c>
      <c r="M460" s="1">
        <v>12.0</v>
      </c>
      <c r="N460" s="1" t="s">
        <v>51</v>
      </c>
      <c r="O460" s="1">
        <v>13.0</v>
      </c>
      <c r="P460" s="1">
        <v>9.0</v>
      </c>
      <c r="Q460" s="1">
        <v>9.0</v>
      </c>
      <c r="R460" s="1">
        <v>4.0</v>
      </c>
      <c r="S460" s="1">
        <v>4.0</v>
      </c>
      <c r="T460" s="1" t="s">
        <v>52</v>
      </c>
      <c r="U460" s="1">
        <v>6.0</v>
      </c>
      <c r="V460" s="1">
        <v>1.0</v>
      </c>
      <c r="W460" s="1">
        <v>1.0</v>
      </c>
      <c r="X460" s="1">
        <v>5.0</v>
      </c>
      <c r="Y460" s="1">
        <v>5.0</v>
      </c>
      <c r="Z460" s="1" t="s">
        <v>53</v>
      </c>
      <c r="AA460" s="1">
        <v>21.0</v>
      </c>
      <c r="AB460" s="1">
        <v>12.0</v>
      </c>
      <c r="AC460" s="1">
        <v>11.0</v>
      </c>
      <c r="AD460" s="1">
        <v>9.0</v>
      </c>
      <c r="AE460" s="1">
        <v>8.0</v>
      </c>
      <c r="AF460" s="1" t="s">
        <v>54</v>
      </c>
      <c r="AG460" s="1">
        <v>71.0</v>
      </c>
      <c r="AH460" s="1">
        <v>40.0</v>
      </c>
      <c r="AI460" s="1">
        <v>34.0</v>
      </c>
      <c r="AJ460" s="1">
        <v>31.0</v>
      </c>
      <c r="AK460" s="1">
        <v>22.0</v>
      </c>
      <c r="AL460" s="1">
        <v>112.0</v>
      </c>
      <c r="AM460" s="1">
        <v>6.0</v>
      </c>
      <c r="AN460" s="1">
        <v>32.0</v>
      </c>
      <c r="AO460" s="1">
        <v>32.0</v>
      </c>
      <c r="AP460" s="1" t="s">
        <v>2096</v>
      </c>
      <c r="AQ460" s="3" t="str">
        <f>HYPERLINK("https://icf.clappia.com/app/GMB253374/submission/UAW54021602/ICF247370-GMB253374-4p05l18cgn0800000000/SIG-20250702_1037fhne8.jpeg", "SIG-20250702_1037fhne8.jpeg")</f>
        <v>SIG-20250702_1037fhne8.jpeg</v>
      </c>
      <c r="AR460" s="1" t="s">
        <v>2097</v>
      </c>
      <c r="AS460" s="3" t="str">
        <f>HYPERLINK("https://icf.clappia.com/app/GMB253374/submission/UAW54021602/ICF247370-GMB253374-1lje1ke1acf680000000/SIG-20250702_103957h32.jpeg", "SIG-20250702_103957h32.jpeg")</f>
        <v>SIG-20250702_103957h32.jpeg</v>
      </c>
      <c r="AT460" s="1" t="s">
        <v>2098</v>
      </c>
      <c r="AU460" s="3" t="str">
        <f>HYPERLINK("https://icf.clappia.com/app/GMB253374/submission/UAW54021602/ICF247370-GMB253374-54gl2m4834c200000000/SIG-20250702_10405o1nd.jpeg", "SIG-20250702_10405o1nd.jpeg")</f>
        <v>SIG-20250702_10405o1nd.jpeg</v>
      </c>
      <c r="AV460" s="3" t="str">
        <f>HYPERLINK("https://www.google.com/maps/place/7.94019%2C-11.7406484", "7.94019,-11.7406484")</f>
        <v>7.94019,-11.7406484</v>
      </c>
    </row>
    <row r="461" ht="15.75" customHeight="1">
      <c r="A461" s="1" t="s">
        <v>2454</v>
      </c>
      <c r="B461" s="1" t="s">
        <v>81</v>
      </c>
      <c r="C461" s="1" t="s">
        <v>2452</v>
      </c>
      <c r="D461" s="1" t="s">
        <v>2452</v>
      </c>
      <c r="E461" s="1" t="s">
        <v>2455</v>
      </c>
      <c r="F461" s="1" t="s">
        <v>64</v>
      </c>
      <c r="G461" s="1">
        <v>61.0</v>
      </c>
      <c r="H461" s="1" t="s">
        <v>50</v>
      </c>
      <c r="I461" s="1">
        <v>22.0</v>
      </c>
      <c r="J461" s="1">
        <v>15.0</v>
      </c>
      <c r="K461" s="1">
        <v>15.0</v>
      </c>
      <c r="L461" s="1">
        <v>7.0</v>
      </c>
      <c r="M461" s="1">
        <v>7.0</v>
      </c>
      <c r="N461" s="1" t="s">
        <v>51</v>
      </c>
      <c r="O461" s="1">
        <v>15.0</v>
      </c>
      <c r="P461" s="1">
        <v>7.0</v>
      </c>
      <c r="Q461" s="1">
        <v>7.0</v>
      </c>
      <c r="R461" s="1">
        <v>8.0</v>
      </c>
      <c r="S461" s="1">
        <v>8.0</v>
      </c>
      <c r="T461" s="1" t="s">
        <v>52</v>
      </c>
      <c r="U461" s="1">
        <v>10.0</v>
      </c>
      <c r="V461" s="1">
        <v>4.0</v>
      </c>
      <c r="W461" s="1">
        <v>4.0</v>
      </c>
      <c r="X461" s="1">
        <v>6.0</v>
      </c>
      <c r="Y461" s="1">
        <v>6.0</v>
      </c>
      <c r="Z461" s="1" t="s">
        <v>53</v>
      </c>
      <c r="AA461" s="1">
        <v>4.0</v>
      </c>
      <c r="AB461" s="1">
        <v>1.0</v>
      </c>
      <c r="AC461" s="1">
        <v>1.0</v>
      </c>
      <c r="AD461" s="1">
        <v>3.0</v>
      </c>
      <c r="AE461" s="1">
        <v>3.0</v>
      </c>
      <c r="AF461" s="1" t="s">
        <v>54</v>
      </c>
      <c r="AG461" s="1">
        <v>10.0</v>
      </c>
      <c r="AH461" s="1">
        <v>8.0</v>
      </c>
      <c r="AI461" s="1">
        <v>8.0</v>
      </c>
      <c r="AJ461" s="1">
        <v>2.0</v>
      </c>
      <c r="AK461" s="1">
        <v>2.0</v>
      </c>
      <c r="AL461" s="1">
        <v>61.0</v>
      </c>
      <c r="AM461" s="1" t="s">
        <v>55</v>
      </c>
      <c r="AN461" s="1" t="s">
        <v>55</v>
      </c>
      <c r="AO461" s="1" t="s">
        <v>55</v>
      </c>
      <c r="AP461" s="1" t="s">
        <v>871</v>
      </c>
      <c r="AQ461" s="3" t="str">
        <f>HYPERLINK("https://icf.clappia.com/app/GMB253374/submission/HIE38427721/ICF247370-GMB253374-j5i5ld4libnm0000000/SIG-20250702_1040ilk1a.jpeg", "SIG-20250702_1040ilk1a.jpeg")</f>
        <v>SIG-20250702_1040ilk1a.jpeg</v>
      </c>
      <c r="AR461" s="1" t="s">
        <v>872</v>
      </c>
      <c r="AS461" s="3" t="str">
        <f>HYPERLINK("https://icf.clappia.com/app/GMB253374/submission/HIE38427721/ICF247370-GMB253374-2nhi3pk1cncg00000000/SIG-20250702_10419c5ke.jpeg", "SIG-20250702_10419c5ke.jpeg")</f>
        <v>SIG-20250702_10419c5ke.jpeg</v>
      </c>
      <c r="AT461" s="1" t="s">
        <v>2357</v>
      </c>
      <c r="AU461" s="3" t="str">
        <f>HYPERLINK("https://icf.clappia.com/app/GMB253374/submission/HIE38427721/ICF247370-GMB253374-44dfeg4bhph200000000/SIG-20250702_104214j9kf.jpeg", "SIG-20250702_104214j9kf.jpeg")</f>
        <v>SIG-20250702_104214j9kf.jpeg</v>
      </c>
      <c r="AV461" s="3" t="str">
        <f>HYPERLINK("https://www.google.com/maps/place/7.9484494%2C-11.7248003", "7.9484494,-11.7248003")</f>
        <v>7.9484494,-11.7248003</v>
      </c>
    </row>
    <row r="462" ht="15.75" customHeight="1">
      <c r="A462" s="1" t="s">
        <v>2456</v>
      </c>
      <c r="B462" s="1" t="s">
        <v>438</v>
      </c>
      <c r="C462" s="1" t="s">
        <v>2452</v>
      </c>
      <c r="D462" s="1" t="s">
        <v>2452</v>
      </c>
      <c r="E462" s="1" t="s">
        <v>2457</v>
      </c>
      <c r="F462" s="1" t="s">
        <v>64</v>
      </c>
      <c r="G462" s="1">
        <v>200.0</v>
      </c>
      <c r="H462" s="1" t="s">
        <v>50</v>
      </c>
      <c r="I462" s="1">
        <v>63.0</v>
      </c>
      <c r="J462" s="1">
        <v>30.0</v>
      </c>
      <c r="K462" s="1">
        <v>30.0</v>
      </c>
      <c r="L462" s="1">
        <v>33.0</v>
      </c>
      <c r="M462" s="1">
        <v>29.0</v>
      </c>
      <c r="N462" s="1" t="s">
        <v>51</v>
      </c>
      <c r="O462" s="1">
        <v>41.0</v>
      </c>
      <c r="P462" s="1">
        <v>25.0</v>
      </c>
      <c r="Q462" s="1">
        <v>25.0</v>
      </c>
      <c r="R462" s="1">
        <v>16.0</v>
      </c>
      <c r="S462" s="1">
        <v>16.0</v>
      </c>
      <c r="T462" s="1" t="s">
        <v>52</v>
      </c>
      <c r="U462" s="1">
        <v>38.0</v>
      </c>
      <c r="V462" s="1">
        <v>15.0</v>
      </c>
      <c r="W462" s="1">
        <v>15.0</v>
      </c>
      <c r="X462" s="1">
        <v>23.0</v>
      </c>
      <c r="Y462" s="1">
        <v>23.0</v>
      </c>
      <c r="Z462" s="1" t="s">
        <v>53</v>
      </c>
      <c r="AA462" s="1">
        <v>29.0</v>
      </c>
      <c r="AB462" s="1">
        <v>18.0</v>
      </c>
      <c r="AC462" s="1">
        <v>18.0</v>
      </c>
      <c r="AD462" s="1">
        <v>11.0</v>
      </c>
      <c r="AE462" s="1">
        <v>10.0</v>
      </c>
      <c r="AF462" s="1" t="s">
        <v>54</v>
      </c>
      <c r="AG462" s="1">
        <v>23.0</v>
      </c>
      <c r="AH462" s="1">
        <v>13.0</v>
      </c>
      <c r="AI462" s="1">
        <v>13.0</v>
      </c>
      <c r="AJ462" s="1">
        <v>10.0</v>
      </c>
      <c r="AK462" s="1">
        <v>9.0</v>
      </c>
      <c r="AL462" s="1">
        <v>188.0</v>
      </c>
      <c r="AM462" s="1">
        <v>6.0</v>
      </c>
      <c r="AN462" s="1">
        <v>6.0</v>
      </c>
      <c r="AO462" s="1">
        <v>6.0</v>
      </c>
      <c r="AP462" s="1" t="s">
        <v>2458</v>
      </c>
      <c r="AQ462" s="3" t="str">
        <f>HYPERLINK("https://icf.clappia.com/app/GMB253374/submission/BXG01399921/ICF247370-GMB253374-1n01pmac889600000000/SIG-20250701_1450k90eh.jpeg", "SIG-20250701_1450k90eh.jpeg")</f>
        <v>SIG-20250701_1450k90eh.jpeg</v>
      </c>
      <c r="AR462" s="1" t="s">
        <v>2459</v>
      </c>
      <c r="AS462" s="3" t="str">
        <f>HYPERLINK("https://icf.clappia.com/app/GMB253374/submission/BXG01399921/ICF247370-GMB253374-5dj2ilikefio00000000/SIG-20250701_1451c9km7.jpeg", "SIG-20250701_1451c9km7.jpeg")</f>
        <v>SIG-20250701_1451c9km7.jpeg</v>
      </c>
      <c r="AT462" s="1" t="s">
        <v>2460</v>
      </c>
      <c r="AU462" s="3" t="str">
        <f>HYPERLINK("https://icf.clappia.com/app/GMB253374/submission/BXG01399921/ICF247370-GMB253374-1c0h0jak5he640000000/SIG-20250701_1451f1aok.jpeg", "SIG-20250701_1451f1aok.jpeg")</f>
        <v>SIG-20250701_1451f1aok.jpeg</v>
      </c>
      <c r="AV462" s="3" t="str">
        <f>HYPERLINK("https://www.google.com/maps/place/7.5541522%2C-11.9239312", "7.5541522,-11.9239312")</f>
        <v>7.5541522,-11.9239312</v>
      </c>
    </row>
    <row r="463" ht="15.75" customHeight="1">
      <c r="A463" s="1" t="s">
        <v>2461</v>
      </c>
      <c r="B463" s="1" t="s">
        <v>102</v>
      </c>
      <c r="C463" s="1" t="s">
        <v>2462</v>
      </c>
      <c r="D463" s="1" t="s">
        <v>2462</v>
      </c>
      <c r="E463" s="1" t="s">
        <v>2463</v>
      </c>
      <c r="F463" s="1" t="s">
        <v>64</v>
      </c>
      <c r="G463" s="1">
        <v>89.0</v>
      </c>
      <c r="H463" s="1" t="s">
        <v>50</v>
      </c>
      <c r="I463" s="1">
        <v>52.0</v>
      </c>
      <c r="J463" s="1">
        <v>25.0</v>
      </c>
      <c r="K463" s="1">
        <v>13.0</v>
      </c>
      <c r="L463" s="1">
        <v>27.0</v>
      </c>
      <c r="M463" s="1">
        <v>10.0</v>
      </c>
      <c r="N463" s="1" t="s">
        <v>51</v>
      </c>
      <c r="O463" s="1">
        <v>58.0</v>
      </c>
      <c r="P463" s="1">
        <v>28.0</v>
      </c>
      <c r="Q463" s="1">
        <v>6.0</v>
      </c>
      <c r="R463" s="1">
        <v>30.0</v>
      </c>
      <c r="S463" s="1">
        <v>8.0</v>
      </c>
      <c r="T463" s="1" t="s">
        <v>52</v>
      </c>
      <c r="U463" s="1">
        <v>47.0</v>
      </c>
      <c r="V463" s="1">
        <v>20.0</v>
      </c>
      <c r="W463" s="1">
        <v>6.0</v>
      </c>
      <c r="X463" s="1">
        <v>27.0</v>
      </c>
      <c r="Y463" s="1">
        <v>11.0</v>
      </c>
      <c r="Z463" s="1" t="s">
        <v>53</v>
      </c>
      <c r="AA463" s="1">
        <v>51.0</v>
      </c>
      <c r="AB463" s="1">
        <v>26.0</v>
      </c>
      <c r="AC463" s="1">
        <v>5.0</v>
      </c>
      <c r="AD463" s="1">
        <v>25.0</v>
      </c>
      <c r="AE463" s="1">
        <v>6.0</v>
      </c>
      <c r="AF463" s="1" t="s">
        <v>54</v>
      </c>
      <c r="AG463" s="1">
        <v>48.0</v>
      </c>
      <c r="AH463" s="1">
        <v>23.0</v>
      </c>
      <c r="AI463" s="1">
        <v>5.0</v>
      </c>
      <c r="AJ463" s="1">
        <v>25.0</v>
      </c>
      <c r="AK463" s="1">
        <v>9.0</v>
      </c>
      <c r="AL463" s="1">
        <v>79.0</v>
      </c>
      <c r="AM463" s="1">
        <v>10.0</v>
      </c>
      <c r="AN463" s="1" t="s">
        <v>55</v>
      </c>
      <c r="AO463" s="1" t="s">
        <v>55</v>
      </c>
      <c r="AP463" s="1" t="s">
        <v>2464</v>
      </c>
      <c r="AQ463" s="3" t="str">
        <f>HYPERLINK("https://icf.clappia.com/app/GMB253374/submission/KCY45682043/ICF247370-GMB253374-1e8km03b3l70c0000000/SIG-20250702_103889035.jpeg", "SIG-20250702_103889035.jpeg")</f>
        <v>SIG-20250702_103889035.jpeg</v>
      </c>
      <c r="AR463" s="1" t="s">
        <v>2465</v>
      </c>
      <c r="AS463" s="3" t="str">
        <f>HYPERLINK("https://icf.clappia.com/app/GMB253374/submission/KCY45682043/ICF247370-GMB253374-949jlf47h1200000000/SIG-20250702_1038197c05.jpeg", "SIG-20250702_1038197c05.jpeg")</f>
        <v>SIG-20250702_1038197c05.jpeg</v>
      </c>
      <c r="AT463" s="1" t="s">
        <v>1361</v>
      </c>
      <c r="AU463" s="3" t="str">
        <f>HYPERLINK("https://icf.clappia.com/app/GMB253374/submission/KCY45682043/ICF247370-GMB253374-2ff74k3f79na00000000/SIG-20250702_1039fljn9.jpeg", "SIG-20250702_1039fljn9.jpeg")</f>
        <v>SIG-20250702_1039fljn9.jpeg</v>
      </c>
      <c r="AV463" s="3" t="str">
        <f>HYPERLINK("https://www.google.com/maps/place/9.20745%2C-11.9369683", "9.20745,-11.9369683")</f>
        <v>9.20745,-11.9369683</v>
      </c>
    </row>
    <row r="464" ht="15.75" customHeight="1">
      <c r="A464" s="1" t="s">
        <v>2466</v>
      </c>
      <c r="B464" s="1" t="s">
        <v>161</v>
      </c>
      <c r="C464" s="1" t="s">
        <v>2462</v>
      </c>
      <c r="D464" s="1" t="s">
        <v>2462</v>
      </c>
      <c r="E464" s="1" t="s">
        <v>2467</v>
      </c>
      <c r="F464" s="1" t="s">
        <v>64</v>
      </c>
      <c r="G464" s="1">
        <v>150.0</v>
      </c>
      <c r="H464" s="1" t="s">
        <v>50</v>
      </c>
      <c r="I464" s="1">
        <v>45.0</v>
      </c>
      <c r="J464" s="1">
        <v>21.0</v>
      </c>
      <c r="K464" s="1">
        <v>15.0</v>
      </c>
      <c r="L464" s="1">
        <v>24.0</v>
      </c>
      <c r="M464" s="1">
        <v>16.0</v>
      </c>
      <c r="N464" s="1" t="s">
        <v>51</v>
      </c>
      <c r="O464" s="1">
        <v>32.0</v>
      </c>
      <c r="P464" s="1">
        <v>14.0</v>
      </c>
      <c r="Q464" s="1">
        <v>9.0</v>
      </c>
      <c r="R464" s="1">
        <v>18.0</v>
      </c>
      <c r="S464" s="1">
        <v>12.0</v>
      </c>
      <c r="T464" s="1" t="s">
        <v>52</v>
      </c>
      <c r="U464" s="1">
        <v>30.0</v>
      </c>
      <c r="V464" s="1">
        <v>13.0</v>
      </c>
      <c r="W464" s="1">
        <v>11.0</v>
      </c>
      <c r="X464" s="1">
        <v>17.0</v>
      </c>
      <c r="Y464" s="1">
        <v>10.0</v>
      </c>
      <c r="Z464" s="1" t="s">
        <v>53</v>
      </c>
      <c r="AA464" s="1">
        <v>37.0</v>
      </c>
      <c r="AB464" s="1">
        <v>21.0</v>
      </c>
      <c r="AC464" s="1">
        <v>12.0</v>
      </c>
      <c r="AD464" s="1">
        <v>16.0</v>
      </c>
      <c r="AE464" s="1">
        <v>13.0</v>
      </c>
      <c r="AF464" s="1" t="s">
        <v>54</v>
      </c>
      <c r="AG464" s="1">
        <v>56.0</v>
      </c>
      <c r="AH464" s="1">
        <v>26.0</v>
      </c>
      <c r="AI464" s="1">
        <v>21.0</v>
      </c>
      <c r="AJ464" s="1">
        <v>30.0</v>
      </c>
      <c r="AK464" s="1">
        <v>25.0</v>
      </c>
      <c r="AL464" s="1">
        <v>144.0</v>
      </c>
      <c r="AM464" s="1" t="s">
        <v>55</v>
      </c>
      <c r="AN464" s="1">
        <v>6.0</v>
      </c>
      <c r="AO464" s="1">
        <v>1.0</v>
      </c>
      <c r="AP464" s="1" t="s">
        <v>1181</v>
      </c>
      <c r="AQ464" s="3" t="str">
        <f>HYPERLINK("https://icf.clappia.com/app/GMB253374/submission/MFS43230919/ICF247370-GMB253374-5hii907i4eao00000000/SIG-20250702_1037m8dof.jpeg", "SIG-20250702_1037m8dof.jpeg")</f>
        <v>SIG-20250702_1037m8dof.jpeg</v>
      </c>
      <c r="AR464" s="1" t="s">
        <v>1182</v>
      </c>
      <c r="AS464" s="3" t="str">
        <f>HYPERLINK("https://icf.clappia.com/app/GMB253374/submission/MFS43230919/ICF247370-GMB253374-48pm92nie8ne00000000/SIG-20250702_10381l12c.jpeg", "SIG-20250702_10381l12c.jpeg")</f>
        <v>SIG-20250702_10381l12c.jpeg</v>
      </c>
      <c r="AT464" s="1" t="s">
        <v>1183</v>
      </c>
      <c r="AU464" s="3" t="str">
        <f>HYPERLINK("https://icf.clappia.com/app/GMB253374/submission/MFS43230919/ICF247370-GMB253374-4f7pbdnn18ac00000000/SIG-20250702_10378706a.jpeg", "SIG-20250702_10378706a.jpeg")</f>
        <v>SIG-20250702_10378706a.jpeg</v>
      </c>
      <c r="AV464" s="3" t="str">
        <f>HYPERLINK("https://www.google.com/maps/place/7.931185%2C-11.7184567", "7.931185,-11.7184567")</f>
        <v>7.931185,-11.7184567</v>
      </c>
    </row>
    <row r="465" ht="15.75" customHeight="1">
      <c r="A465" s="1" t="s">
        <v>2468</v>
      </c>
      <c r="B465" s="1" t="s">
        <v>69</v>
      </c>
      <c r="C465" s="1" t="s">
        <v>2469</v>
      </c>
      <c r="D465" s="1" t="s">
        <v>2469</v>
      </c>
      <c r="E465" s="1" t="s">
        <v>2470</v>
      </c>
      <c r="F465" s="1" t="s">
        <v>64</v>
      </c>
      <c r="G465" s="1">
        <v>286.0</v>
      </c>
      <c r="H465" s="1" t="s">
        <v>50</v>
      </c>
      <c r="I465" s="1">
        <v>75.0</v>
      </c>
      <c r="J465" s="1">
        <v>35.0</v>
      </c>
      <c r="K465" s="1">
        <v>35.0</v>
      </c>
      <c r="L465" s="1">
        <v>40.0</v>
      </c>
      <c r="M465" s="1">
        <v>40.0</v>
      </c>
      <c r="N465" s="1" t="s">
        <v>51</v>
      </c>
      <c r="O465" s="1">
        <v>68.0</v>
      </c>
      <c r="P465" s="1">
        <v>32.0</v>
      </c>
      <c r="Q465" s="1">
        <v>32.0</v>
      </c>
      <c r="R465" s="1">
        <v>36.0</v>
      </c>
      <c r="S465" s="1">
        <v>36.0</v>
      </c>
      <c r="T465" s="1" t="s">
        <v>52</v>
      </c>
      <c r="U465" s="1">
        <v>61.0</v>
      </c>
      <c r="V465" s="1">
        <v>29.0</v>
      </c>
      <c r="W465" s="1">
        <v>29.0</v>
      </c>
      <c r="X465" s="1">
        <v>32.0</v>
      </c>
      <c r="Y465" s="1">
        <v>32.0</v>
      </c>
      <c r="Z465" s="1" t="s">
        <v>53</v>
      </c>
      <c r="AA465" s="1">
        <v>52.0</v>
      </c>
      <c r="AB465" s="1">
        <v>27.0</v>
      </c>
      <c r="AC465" s="1">
        <v>27.0</v>
      </c>
      <c r="AD465" s="1">
        <v>25.0</v>
      </c>
      <c r="AE465" s="1">
        <v>25.0</v>
      </c>
      <c r="AF465" s="1" t="s">
        <v>54</v>
      </c>
      <c r="AG465" s="1">
        <v>30.0</v>
      </c>
      <c r="AH465" s="1">
        <v>16.0</v>
      </c>
      <c r="AI465" s="1">
        <v>16.0</v>
      </c>
      <c r="AJ465" s="1">
        <v>14.0</v>
      </c>
      <c r="AK465" s="1">
        <v>14.0</v>
      </c>
      <c r="AL465" s="1">
        <v>286.0</v>
      </c>
      <c r="AM465" s="1" t="s">
        <v>55</v>
      </c>
      <c r="AN465" s="1" t="s">
        <v>55</v>
      </c>
      <c r="AO465" s="1" t="s">
        <v>55</v>
      </c>
      <c r="AP465" s="1" t="s">
        <v>2471</v>
      </c>
      <c r="AQ465" s="3" t="str">
        <f>HYPERLINK("https://icf.clappia.com/app/GMB253374/submission/EXG73296263/ICF247370-GMB253374-1i6c0827ohgd60000000/SIG-20250702_10341409g1.jpeg", "SIG-20250702_10341409g1.jpeg")</f>
        <v>SIG-20250702_10341409g1.jpeg</v>
      </c>
      <c r="AR465" s="1" t="s">
        <v>2472</v>
      </c>
      <c r="AS465" s="3" t="str">
        <f>HYPERLINK("https://icf.clappia.com/app/GMB253374/submission/EXG73296263/ICF247370-GMB253374-hg53jaaf9nh20000000/SIG-20250702_0954a21l0.jpeg", "SIG-20250702_0954a21l0.jpeg")</f>
        <v>SIG-20250702_0954a21l0.jpeg</v>
      </c>
      <c r="AT465" s="1" t="s">
        <v>2473</v>
      </c>
      <c r="AU465" s="3" t="str">
        <f>HYPERLINK("https://icf.clappia.com/app/GMB253374/submission/EXG73296263/ICF247370-GMB253374-576imom36di800000000/SIG-20250702_103424m62.jpeg", "SIG-20250702_103424m62.jpeg")</f>
        <v>SIG-20250702_103424m62.jpeg</v>
      </c>
      <c r="AV465" s="3" t="str">
        <f>HYPERLINK("https://www.google.com/maps/place/8.8749383%2C-12.2655", "8.8749383,-12.2655")</f>
        <v>8.8749383,-12.2655</v>
      </c>
    </row>
    <row r="466" ht="15.75" customHeight="1">
      <c r="A466" s="1" t="s">
        <v>2474</v>
      </c>
      <c r="B466" s="1" t="s">
        <v>81</v>
      </c>
      <c r="C466" s="1" t="s">
        <v>2475</v>
      </c>
      <c r="D466" s="1" t="s">
        <v>2475</v>
      </c>
      <c r="E466" s="1" t="s">
        <v>2476</v>
      </c>
      <c r="F466" s="1" t="s">
        <v>49</v>
      </c>
      <c r="G466" s="1">
        <v>100.0</v>
      </c>
      <c r="H466" s="1" t="s">
        <v>50</v>
      </c>
      <c r="I466" s="1">
        <v>17.0</v>
      </c>
      <c r="J466" s="1">
        <v>9.0</v>
      </c>
      <c r="K466" s="1">
        <v>9.0</v>
      </c>
      <c r="L466" s="1">
        <v>8.0</v>
      </c>
      <c r="M466" s="1">
        <v>8.0</v>
      </c>
      <c r="N466" s="1" t="s">
        <v>51</v>
      </c>
      <c r="O466" s="1">
        <v>11.0</v>
      </c>
      <c r="P466" s="1">
        <v>6.0</v>
      </c>
      <c r="Q466" s="1">
        <v>6.0</v>
      </c>
      <c r="R466" s="1">
        <v>5.0</v>
      </c>
      <c r="S466" s="1">
        <v>5.0</v>
      </c>
      <c r="T466" s="1" t="s">
        <v>52</v>
      </c>
      <c r="U466" s="1">
        <v>11.0</v>
      </c>
      <c r="V466" s="1">
        <v>4.0</v>
      </c>
      <c r="W466" s="1">
        <v>4.0</v>
      </c>
      <c r="X466" s="1">
        <v>7.0</v>
      </c>
      <c r="Y466" s="1">
        <v>7.0</v>
      </c>
      <c r="Z466" s="1" t="s">
        <v>53</v>
      </c>
      <c r="AA466" s="1">
        <v>9.0</v>
      </c>
      <c r="AB466" s="1">
        <v>5.0</v>
      </c>
      <c r="AC466" s="1">
        <v>5.0</v>
      </c>
      <c r="AD466" s="1">
        <v>4.0</v>
      </c>
      <c r="AE466" s="1">
        <v>4.0</v>
      </c>
      <c r="AF466" s="1" t="s">
        <v>54</v>
      </c>
      <c r="AG466" s="1">
        <v>20.0</v>
      </c>
      <c r="AH466" s="1">
        <v>9.0</v>
      </c>
      <c r="AI466" s="1">
        <v>9.0</v>
      </c>
      <c r="AJ466" s="1">
        <v>11.0</v>
      </c>
      <c r="AK466" s="1">
        <v>11.0</v>
      </c>
      <c r="AL466" s="1">
        <v>68.0</v>
      </c>
      <c r="AM466" s="1" t="s">
        <v>55</v>
      </c>
      <c r="AN466" s="1">
        <v>32.0</v>
      </c>
      <c r="AO466" s="1">
        <v>32.0</v>
      </c>
      <c r="AP466" s="1" t="s">
        <v>2477</v>
      </c>
      <c r="AQ466" s="3" t="str">
        <f>HYPERLINK("https://icf.clappia.com/app/GMB253374/submission/KFS35496504/ICF247370-GMB253374-5k67b8kpb6c600000000/SIG-20250702_103216m5h2.jpeg", "SIG-20250702_103216m5h2.jpeg")</f>
        <v>SIG-20250702_103216m5h2.jpeg</v>
      </c>
      <c r="AR466" s="1" t="s">
        <v>2478</v>
      </c>
      <c r="AS466" s="3" t="str">
        <f>HYPERLINK("https://icf.clappia.com/app/GMB253374/submission/KFS35496504/ICF247370-GMB253374-2lf1bg0h3llg00000000/SIG-20250702_1033o96a5.jpeg", "SIG-20250702_1033o96a5.jpeg")</f>
        <v>SIG-20250702_1033o96a5.jpeg</v>
      </c>
      <c r="AT466" s="1" t="s">
        <v>2479</v>
      </c>
      <c r="AU466" s="3" t="str">
        <f>HYPERLINK("https://icf.clappia.com/app/GMB253374/submission/KFS35496504/ICF247370-GMB253374-56pkfd8jbb9i00000000/SIG-20250702_1033838m.jpeg", "SIG-20250702_1033838m.jpeg")</f>
        <v>SIG-20250702_1033838m.jpeg</v>
      </c>
      <c r="AV466" s="3" t="str">
        <f>HYPERLINK("https://www.google.com/maps/place/7.96942%2C-11.7117317", "7.96942,-11.7117317")</f>
        <v>7.96942,-11.7117317</v>
      </c>
    </row>
    <row r="467" ht="15.75" customHeight="1">
      <c r="A467" s="1" t="s">
        <v>2480</v>
      </c>
      <c r="B467" s="1" t="s">
        <v>81</v>
      </c>
      <c r="C467" s="1" t="s">
        <v>2481</v>
      </c>
      <c r="D467" s="1" t="s">
        <v>2481</v>
      </c>
      <c r="E467" s="1" t="s">
        <v>2482</v>
      </c>
      <c r="F467" s="1" t="s">
        <v>49</v>
      </c>
      <c r="G467" s="1">
        <v>100.0</v>
      </c>
      <c r="H467" s="1" t="s">
        <v>50</v>
      </c>
      <c r="I467" s="1">
        <v>33.0</v>
      </c>
      <c r="J467" s="1">
        <v>16.0</v>
      </c>
      <c r="K467" s="1">
        <v>16.0</v>
      </c>
      <c r="L467" s="1">
        <v>17.0</v>
      </c>
      <c r="M467" s="1">
        <v>17.0</v>
      </c>
      <c r="N467" s="1" t="s">
        <v>51</v>
      </c>
      <c r="O467" s="1">
        <v>27.0</v>
      </c>
      <c r="P467" s="1">
        <v>17.0</v>
      </c>
      <c r="Q467" s="1">
        <v>17.0</v>
      </c>
      <c r="R467" s="1">
        <v>10.0</v>
      </c>
      <c r="S467" s="1">
        <v>10.0</v>
      </c>
      <c r="T467" s="1" t="s">
        <v>52</v>
      </c>
      <c r="U467" s="1">
        <v>26.0</v>
      </c>
      <c r="V467" s="1">
        <v>9.0</v>
      </c>
      <c r="W467" s="1">
        <v>9.0</v>
      </c>
      <c r="X467" s="1">
        <v>13.0</v>
      </c>
      <c r="Y467" s="1">
        <v>13.0</v>
      </c>
      <c r="Z467" s="1" t="s">
        <v>53</v>
      </c>
      <c r="AA467" s="1">
        <v>24.0</v>
      </c>
      <c r="AB467" s="1">
        <v>8.0</v>
      </c>
      <c r="AC467" s="1">
        <v>8.0</v>
      </c>
      <c r="AD467" s="1">
        <v>10.0</v>
      </c>
      <c r="AE467" s="1">
        <v>10.0</v>
      </c>
      <c r="AF467" s="1" t="s">
        <v>54</v>
      </c>
      <c r="AG467" s="1" t="s">
        <v>55</v>
      </c>
      <c r="AH467" s="1" t="s">
        <v>55</v>
      </c>
      <c r="AI467" s="1" t="s">
        <v>55</v>
      </c>
      <c r="AJ467" s="1" t="s">
        <v>55</v>
      </c>
      <c r="AK467" s="1" t="s">
        <v>55</v>
      </c>
      <c r="AL467" s="1">
        <v>100.0</v>
      </c>
      <c r="AM467" s="1" t="s">
        <v>55</v>
      </c>
      <c r="AN467" s="1" t="s">
        <v>55</v>
      </c>
      <c r="AO467" s="1" t="s">
        <v>55</v>
      </c>
      <c r="AP467" s="1" t="s">
        <v>1113</v>
      </c>
      <c r="AQ467" s="3" t="str">
        <f>HYPERLINK("https://icf.clappia.com/app/GMB253374/submission/HHT46214941/ICF247370-GMB253374-39ifm9m1ed0400000000/SIG-20250702_10265gf0p.jpeg", "SIG-20250702_10265gf0p.jpeg")</f>
        <v>SIG-20250702_10265gf0p.jpeg</v>
      </c>
      <c r="AR467" s="1" t="s">
        <v>2483</v>
      </c>
      <c r="AS467" s="3" t="str">
        <f>HYPERLINK("https://icf.clappia.com/app/GMB253374/submission/HHT46214941/ICF247370-GMB253374-13mga14mio45e0000000/SIG-20250702_1027dcl6a.jpeg", "SIG-20250702_1027dcl6a.jpeg")</f>
        <v>SIG-20250702_1027dcl6a.jpeg</v>
      </c>
      <c r="AT467" s="1" t="s">
        <v>1115</v>
      </c>
      <c r="AU467" s="3" t="str">
        <f>HYPERLINK("https://icf.clappia.com/app/GMB253374/submission/HHT46214941/ICF247370-GMB253374-2ao5iman9glkk0000000/SIG-20250702_10276mk6b.jpeg", "SIG-20250702_10276mk6b.jpeg")</f>
        <v>SIG-20250702_10276mk6b.jpeg</v>
      </c>
      <c r="AV467" s="3" t="str">
        <f>HYPERLINK("https://www.google.com/maps/place/7.9493637%2C-11.7342801", "7.9493637,-11.7342801")</f>
        <v>7.9493637,-11.7342801</v>
      </c>
    </row>
    <row r="468" ht="15.75" customHeight="1">
      <c r="A468" s="1" t="s">
        <v>2484</v>
      </c>
      <c r="B468" s="1" t="s">
        <v>302</v>
      </c>
      <c r="C468" s="1" t="s">
        <v>2485</v>
      </c>
      <c r="D468" s="1" t="s">
        <v>2485</v>
      </c>
      <c r="E468" s="1" t="s">
        <v>2486</v>
      </c>
      <c r="F468" s="1" t="s">
        <v>64</v>
      </c>
      <c r="G468" s="1">
        <v>550.0</v>
      </c>
      <c r="H468" s="1" t="s">
        <v>50</v>
      </c>
      <c r="I468" s="1">
        <v>111.0</v>
      </c>
      <c r="J468" s="1">
        <v>55.0</v>
      </c>
      <c r="K468" s="1">
        <v>55.0</v>
      </c>
      <c r="L468" s="1">
        <v>56.0</v>
      </c>
      <c r="M468" s="1">
        <v>56.0</v>
      </c>
      <c r="N468" s="1" t="s">
        <v>51</v>
      </c>
      <c r="O468" s="1">
        <v>108.0</v>
      </c>
      <c r="P468" s="1">
        <v>53.0</v>
      </c>
      <c r="Q468" s="1">
        <v>53.0</v>
      </c>
      <c r="R468" s="1">
        <v>55.0</v>
      </c>
      <c r="S468" s="1">
        <v>55.0</v>
      </c>
      <c r="T468" s="1" t="s">
        <v>52</v>
      </c>
      <c r="U468" s="1">
        <v>106.0</v>
      </c>
      <c r="V468" s="1">
        <v>53.0</v>
      </c>
      <c r="W468" s="1">
        <v>53.0</v>
      </c>
      <c r="X468" s="1">
        <v>53.0</v>
      </c>
      <c r="Y468" s="1">
        <v>53.0</v>
      </c>
      <c r="Z468" s="1" t="s">
        <v>53</v>
      </c>
      <c r="AA468" s="1">
        <v>106.0</v>
      </c>
      <c r="AB468" s="1">
        <v>53.0</v>
      </c>
      <c r="AC468" s="1">
        <v>47.0</v>
      </c>
      <c r="AD468" s="1">
        <v>53.0</v>
      </c>
      <c r="AE468" s="1">
        <v>48.0</v>
      </c>
      <c r="AF468" s="1" t="s">
        <v>54</v>
      </c>
      <c r="AG468" s="1">
        <v>106.0</v>
      </c>
      <c r="AH468" s="1">
        <v>58.0</v>
      </c>
      <c r="AI468" s="1">
        <v>40.0</v>
      </c>
      <c r="AJ468" s="1">
        <v>48.0</v>
      </c>
      <c r="AK468" s="1">
        <v>43.0</v>
      </c>
      <c r="AL468" s="1">
        <v>503.0</v>
      </c>
      <c r="AM468" s="1" t="s">
        <v>55</v>
      </c>
      <c r="AN468" s="1">
        <v>47.0</v>
      </c>
      <c r="AO468" s="1">
        <v>47.0</v>
      </c>
      <c r="AP468" s="1" t="s">
        <v>2253</v>
      </c>
      <c r="AQ468" s="3" t="str">
        <f>HYPERLINK("https://icf.clappia.com/app/GMB253374/submission/DDR30235202/ICF247370-GMB253374-24d0g6a9ne2jg0000000/SIG-20250702_102510di27.jpeg", "SIG-20250702_102510di27.jpeg")</f>
        <v>SIG-20250702_102510di27.jpeg</v>
      </c>
      <c r="AR468" s="1" t="s">
        <v>2254</v>
      </c>
      <c r="AS468" s="3" t="str">
        <f>HYPERLINK("https://icf.clappia.com/app/GMB253374/submission/DDR30235202/ICF247370-GMB253374-1ckmf6f0ka3di0000000/SIG-20250702_1025kpjc3.jpeg", "SIG-20250702_1025kpjc3.jpeg")</f>
        <v>SIG-20250702_1025kpjc3.jpeg</v>
      </c>
      <c r="AT468" s="1" t="s">
        <v>2487</v>
      </c>
      <c r="AU468" s="3" t="str">
        <f>HYPERLINK("https://icf.clappia.com/app/GMB253374/submission/DDR30235202/ICF247370-GMB253374-1333pd3d175ag0000000/SIG-20250702_1027c2c4n.jpeg", "SIG-20250702_1027c2c4n.jpeg")</f>
        <v>SIG-20250702_1027c2c4n.jpeg</v>
      </c>
      <c r="AV468" s="3" t="str">
        <f>HYPERLINK("https://www.google.com/maps/place/8.770135%2C-11.997115", "8.770135,-11.997115")</f>
        <v>8.770135,-11.997115</v>
      </c>
    </row>
    <row r="469" ht="15.75" customHeight="1">
      <c r="A469" s="1" t="s">
        <v>2488</v>
      </c>
      <c r="B469" s="1" t="s">
        <v>81</v>
      </c>
      <c r="C469" s="1" t="s">
        <v>2489</v>
      </c>
      <c r="D469" s="1" t="s">
        <v>2489</v>
      </c>
      <c r="E469" s="1" t="s">
        <v>2490</v>
      </c>
      <c r="F469" s="1" t="s">
        <v>64</v>
      </c>
      <c r="G469" s="1">
        <v>100.0</v>
      </c>
      <c r="H469" s="1" t="s">
        <v>50</v>
      </c>
      <c r="I469" s="1">
        <v>49.0</v>
      </c>
      <c r="J469" s="1">
        <v>24.0</v>
      </c>
      <c r="K469" s="1">
        <v>10.0</v>
      </c>
      <c r="L469" s="1">
        <v>25.0</v>
      </c>
      <c r="M469" s="1">
        <v>10.0</v>
      </c>
      <c r="N469" s="1" t="s">
        <v>51</v>
      </c>
      <c r="O469" s="1">
        <v>44.0</v>
      </c>
      <c r="P469" s="1">
        <v>24.0</v>
      </c>
      <c r="Q469" s="1">
        <v>15.0</v>
      </c>
      <c r="R469" s="1">
        <v>20.0</v>
      </c>
      <c r="S469" s="1">
        <v>13.0</v>
      </c>
      <c r="T469" s="1" t="s">
        <v>52</v>
      </c>
      <c r="U469" s="1">
        <v>59.0</v>
      </c>
      <c r="V469" s="1">
        <v>29.0</v>
      </c>
      <c r="W469" s="1">
        <v>9.0</v>
      </c>
      <c r="X469" s="1">
        <v>30.0</v>
      </c>
      <c r="Y469" s="1">
        <v>15.0</v>
      </c>
      <c r="Z469" s="1" t="s">
        <v>53</v>
      </c>
      <c r="AA469" s="1">
        <v>61.0</v>
      </c>
      <c r="AB469" s="1">
        <v>34.0</v>
      </c>
      <c r="AC469" s="1">
        <v>12.0</v>
      </c>
      <c r="AD469" s="1">
        <v>27.0</v>
      </c>
      <c r="AE469" s="1">
        <v>4.0</v>
      </c>
      <c r="AF469" s="1" t="s">
        <v>54</v>
      </c>
      <c r="AG469" s="1">
        <v>60.0</v>
      </c>
      <c r="AH469" s="1">
        <v>31.0</v>
      </c>
      <c r="AI469" s="1">
        <v>7.0</v>
      </c>
      <c r="AJ469" s="1">
        <v>29.0</v>
      </c>
      <c r="AK469" s="1">
        <v>5.0</v>
      </c>
      <c r="AL469" s="1">
        <v>100.0</v>
      </c>
      <c r="AM469" s="1" t="s">
        <v>55</v>
      </c>
      <c r="AN469" s="1" t="s">
        <v>55</v>
      </c>
      <c r="AO469" s="1" t="s">
        <v>55</v>
      </c>
      <c r="AP469" s="1" t="s">
        <v>1006</v>
      </c>
      <c r="AQ469" s="3" t="str">
        <f>HYPERLINK("https://icf.clappia.com/app/GMB253374/submission/QUM01110686/ICF247370-GMB253374-28h3e66modc560000000/SIG-20250702_1022bf2a7.jpeg", "SIG-20250702_1022bf2a7.jpeg")</f>
        <v>SIG-20250702_1022bf2a7.jpeg</v>
      </c>
      <c r="AR469" s="1" t="s">
        <v>1007</v>
      </c>
      <c r="AS469" s="3" t="str">
        <f>HYPERLINK("https://icf.clappia.com/app/GMB253374/submission/QUM01110686/ICF247370-GMB253374-144296okpb3f60000000/SIG-20250702_1026bb7l5.jpeg", "SIG-20250702_1026bb7l5.jpeg")</f>
        <v>SIG-20250702_1026bb7l5.jpeg</v>
      </c>
      <c r="AT469" s="1" t="s">
        <v>1008</v>
      </c>
      <c r="AU469" s="3" t="str">
        <f>HYPERLINK("https://icf.clappia.com/app/GMB253374/submission/QUM01110686/ICF247370-GMB253374-3ah2hk7fho6800000000/SIG-20250702_1026cdmbg.jpeg", "SIG-20250702_1026cdmbg.jpeg")</f>
        <v>SIG-20250702_1026cdmbg.jpeg</v>
      </c>
      <c r="AV469" s="3" t="str">
        <f>HYPERLINK("https://www.google.com/maps/place/7.945985%2C-11.7341967", "7.945985,-11.7341967")</f>
        <v>7.945985,-11.7341967</v>
      </c>
    </row>
    <row r="470" ht="15.75" customHeight="1">
      <c r="A470" s="1" t="s">
        <v>2491</v>
      </c>
      <c r="B470" s="1" t="s">
        <v>69</v>
      </c>
      <c r="C470" s="1" t="s">
        <v>2492</v>
      </c>
      <c r="D470" s="1" t="s">
        <v>2492</v>
      </c>
      <c r="E470" s="1" t="s">
        <v>2493</v>
      </c>
      <c r="F470" s="1" t="s">
        <v>64</v>
      </c>
      <c r="G470" s="1">
        <v>290.0</v>
      </c>
      <c r="H470" s="1" t="s">
        <v>50</v>
      </c>
      <c r="I470" s="1">
        <v>79.0</v>
      </c>
      <c r="J470" s="1">
        <v>38.0</v>
      </c>
      <c r="K470" s="1">
        <v>34.0</v>
      </c>
      <c r="L470" s="1">
        <v>41.0</v>
      </c>
      <c r="M470" s="1">
        <v>41.0</v>
      </c>
      <c r="N470" s="1" t="s">
        <v>51</v>
      </c>
      <c r="O470" s="1">
        <v>74.0</v>
      </c>
      <c r="P470" s="1">
        <v>35.0</v>
      </c>
      <c r="Q470" s="1">
        <v>34.0</v>
      </c>
      <c r="R470" s="1">
        <v>39.0</v>
      </c>
      <c r="S470" s="1">
        <v>39.0</v>
      </c>
      <c r="T470" s="1" t="s">
        <v>52</v>
      </c>
      <c r="U470" s="1">
        <v>61.0</v>
      </c>
      <c r="V470" s="1">
        <v>32.0</v>
      </c>
      <c r="W470" s="1">
        <v>32.0</v>
      </c>
      <c r="X470" s="1">
        <v>29.0</v>
      </c>
      <c r="Y470" s="1">
        <v>29.0</v>
      </c>
      <c r="Z470" s="1" t="s">
        <v>53</v>
      </c>
      <c r="AA470" s="1">
        <v>52.0</v>
      </c>
      <c r="AB470" s="1">
        <v>25.0</v>
      </c>
      <c r="AC470" s="1">
        <v>25.0</v>
      </c>
      <c r="AD470" s="1">
        <v>27.0</v>
      </c>
      <c r="AE470" s="1">
        <v>27.0</v>
      </c>
      <c r="AF470" s="1" t="s">
        <v>54</v>
      </c>
      <c r="AG470" s="1">
        <v>24.0</v>
      </c>
      <c r="AH470" s="1">
        <v>13.0</v>
      </c>
      <c r="AI470" s="1">
        <v>13.0</v>
      </c>
      <c r="AJ470" s="1">
        <v>11.0</v>
      </c>
      <c r="AK470" s="1">
        <v>11.0</v>
      </c>
      <c r="AL470" s="1">
        <v>285.0</v>
      </c>
      <c r="AM470" s="1">
        <v>5.0</v>
      </c>
      <c r="AN470" s="1" t="s">
        <v>55</v>
      </c>
      <c r="AO470" s="1" t="s">
        <v>55</v>
      </c>
      <c r="AP470" s="1" t="s">
        <v>720</v>
      </c>
      <c r="AQ470" s="3" t="str">
        <f>HYPERLINK("https://icf.clappia.com/app/GMB253374/submission/OTF54972959/ICF247370-GMB253374-25pk8jemi5djm0000000/SIG-20250702_1024mhgjl.jpeg", "SIG-20250702_1024mhgjl.jpeg")</f>
        <v>SIG-20250702_1024mhgjl.jpeg</v>
      </c>
      <c r="AR470" s="1" t="s">
        <v>1711</v>
      </c>
      <c r="AS470" s="3" t="str">
        <f>HYPERLINK("https://icf.clappia.com/app/GMB253374/submission/OTF54972959/ICF247370-GMB253374-34jd758dk49o00000000/SIG-20250702_102519o5bn.jpeg", "SIG-20250702_102519o5bn.jpeg")</f>
        <v>SIG-20250702_102519o5bn.jpeg</v>
      </c>
      <c r="AT470" s="1" t="s">
        <v>258</v>
      </c>
      <c r="AU470" s="3" t="str">
        <f>HYPERLINK("https://icf.clappia.com/app/GMB253374/submission/OTF54972959/ICF247370-GMB253374-389i7o0l10fa00000000/SIG-20250702_10261529m3.jpeg", "SIG-20250702_10261529m3.jpeg")</f>
        <v>SIG-20250702_10261529m3.jpeg</v>
      </c>
      <c r="AV470" s="3" t="str">
        <f>HYPERLINK("https://www.google.com/maps/place/8.878525%2C-12.2948283", "8.878525,-12.2948283")</f>
        <v>8.878525,-12.2948283</v>
      </c>
    </row>
    <row r="471" ht="15.75" customHeight="1">
      <c r="A471" s="1" t="s">
        <v>2494</v>
      </c>
      <c r="B471" s="1" t="s">
        <v>248</v>
      </c>
      <c r="C471" s="1" t="s">
        <v>2495</v>
      </c>
      <c r="D471" s="1" t="s">
        <v>2496</v>
      </c>
      <c r="E471" s="1" t="s">
        <v>2497</v>
      </c>
      <c r="F471" s="1" t="s">
        <v>64</v>
      </c>
      <c r="G471" s="1">
        <v>176.0</v>
      </c>
      <c r="H471" s="1" t="s">
        <v>50</v>
      </c>
      <c r="I471" s="1">
        <v>50.0</v>
      </c>
      <c r="J471" s="1">
        <v>26.0</v>
      </c>
      <c r="K471" s="1">
        <v>26.0</v>
      </c>
      <c r="L471" s="1">
        <v>24.0</v>
      </c>
      <c r="M471" s="1">
        <v>24.0</v>
      </c>
      <c r="N471" s="1" t="s">
        <v>51</v>
      </c>
      <c r="O471" s="1">
        <v>44.0</v>
      </c>
      <c r="P471" s="1">
        <v>23.0</v>
      </c>
      <c r="Q471" s="1">
        <v>23.0</v>
      </c>
      <c r="R471" s="1">
        <v>21.0</v>
      </c>
      <c r="S471" s="1">
        <v>21.0</v>
      </c>
      <c r="T471" s="1" t="s">
        <v>52</v>
      </c>
      <c r="U471" s="1">
        <v>42.0</v>
      </c>
      <c r="V471" s="1">
        <v>20.0</v>
      </c>
      <c r="W471" s="1">
        <v>20.0</v>
      </c>
      <c r="X471" s="1">
        <v>22.0</v>
      </c>
      <c r="Y471" s="1">
        <v>22.0</v>
      </c>
      <c r="Z471" s="1" t="s">
        <v>53</v>
      </c>
      <c r="AA471" s="1">
        <v>26.0</v>
      </c>
      <c r="AB471" s="1">
        <v>12.0</v>
      </c>
      <c r="AC471" s="1">
        <v>12.0</v>
      </c>
      <c r="AD471" s="1">
        <v>14.0</v>
      </c>
      <c r="AE471" s="1">
        <v>14.0</v>
      </c>
      <c r="AF471" s="1" t="s">
        <v>54</v>
      </c>
      <c r="AG471" s="1">
        <v>14.0</v>
      </c>
      <c r="AH471" s="1">
        <v>6.0</v>
      </c>
      <c r="AI471" s="1">
        <v>6.0</v>
      </c>
      <c r="AJ471" s="1">
        <v>8.0</v>
      </c>
      <c r="AK471" s="1">
        <v>8.0</v>
      </c>
      <c r="AL471" s="1">
        <v>176.0</v>
      </c>
      <c r="AM471" s="1" t="s">
        <v>55</v>
      </c>
      <c r="AN471" s="1" t="s">
        <v>55</v>
      </c>
      <c r="AO471" s="1" t="s">
        <v>55</v>
      </c>
      <c r="AP471" s="1" t="s">
        <v>251</v>
      </c>
      <c r="AQ471" s="3" t="str">
        <f>HYPERLINK("https://icf.clappia.com/app/GMB253374/submission/IUN06780523/ICF247370-GMB253374-369j79n0o37a00000000/SIG-20250702_0855n6oio.jpeg", "SIG-20250702_0855n6oio.jpeg")</f>
        <v>SIG-20250702_0855n6oio.jpeg</v>
      </c>
      <c r="AR471" s="1" t="s">
        <v>252</v>
      </c>
      <c r="AS471" s="3" t="str">
        <f>HYPERLINK("https://icf.clappia.com/app/GMB253374/submission/IUN06780523/ICF247370-GMB253374-kdd3m4ibj5jm0000000/SIG-20250702_0854omip0.jpeg", "SIG-20250702_0854omip0.jpeg")</f>
        <v>SIG-20250702_0854omip0.jpeg</v>
      </c>
      <c r="AT471" s="1" t="s">
        <v>2498</v>
      </c>
      <c r="AU471" s="3" t="str">
        <f>HYPERLINK("https://icf.clappia.com/app/GMB253374/submission/IUN06780523/ICF247370-GMB253374-2bmg17g0l52000000000/SIG-20250702_085873782.jpeg", "SIG-20250702_085873782.jpeg")</f>
        <v>SIG-20250702_085873782.jpeg</v>
      </c>
      <c r="AV471" s="3" t="str">
        <f>HYPERLINK("https://www.google.com/maps/place/7.893435%2C-11.59986", "7.893435,-11.59986")</f>
        <v>7.893435,-11.59986</v>
      </c>
    </row>
    <row r="472" ht="15.75" customHeight="1">
      <c r="A472" s="1" t="s">
        <v>2499</v>
      </c>
      <c r="B472" s="1" t="s">
        <v>189</v>
      </c>
      <c r="C472" s="1" t="s">
        <v>2496</v>
      </c>
      <c r="D472" s="1" t="s">
        <v>2496</v>
      </c>
      <c r="E472" s="1" t="s">
        <v>2500</v>
      </c>
      <c r="F472" s="1" t="s">
        <v>49</v>
      </c>
      <c r="G472" s="1">
        <v>50.0</v>
      </c>
      <c r="H472" s="1" t="s">
        <v>50</v>
      </c>
      <c r="I472" s="1">
        <v>18.0</v>
      </c>
      <c r="J472" s="1">
        <v>12.0</v>
      </c>
      <c r="K472" s="1">
        <v>12.0</v>
      </c>
      <c r="L472" s="1">
        <v>6.0</v>
      </c>
      <c r="M472" s="1">
        <v>6.0</v>
      </c>
      <c r="N472" s="1" t="s">
        <v>51</v>
      </c>
      <c r="O472" s="1">
        <v>10.0</v>
      </c>
      <c r="P472" s="1">
        <v>4.0</v>
      </c>
      <c r="Q472" s="1">
        <v>4.0</v>
      </c>
      <c r="R472" s="1">
        <v>6.0</v>
      </c>
      <c r="S472" s="1">
        <v>6.0</v>
      </c>
      <c r="T472" s="1" t="s">
        <v>52</v>
      </c>
      <c r="U472" s="1">
        <v>10.0</v>
      </c>
      <c r="V472" s="1">
        <v>5.0</v>
      </c>
      <c r="W472" s="1">
        <v>4.0</v>
      </c>
      <c r="X472" s="1">
        <v>5.0</v>
      </c>
      <c r="Y472" s="1">
        <v>5.0</v>
      </c>
      <c r="Z472" s="1" t="s">
        <v>53</v>
      </c>
      <c r="AA472" s="1">
        <v>7.0</v>
      </c>
      <c r="AB472" s="1">
        <v>3.0</v>
      </c>
      <c r="AC472" s="1">
        <v>2.0</v>
      </c>
      <c r="AD472" s="1">
        <v>4.0</v>
      </c>
      <c r="AE472" s="1">
        <v>4.0</v>
      </c>
      <c r="AF472" s="1" t="s">
        <v>54</v>
      </c>
      <c r="AG472" s="1">
        <v>7.0</v>
      </c>
      <c r="AH472" s="1">
        <v>2.0</v>
      </c>
      <c r="AI472" s="1">
        <v>2.0</v>
      </c>
      <c r="AJ472" s="1">
        <v>5.0</v>
      </c>
      <c r="AK472" s="1">
        <v>5.0</v>
      </c>
      <c r="AL472" s="1">
        <v>50.0</v>
      </c>
      <c r="AM472" s="1" t="s">
        <v>55</v>
      </c>
      <c r="AN472" s="1" t="s">
        <v>55</v>
      </c>
      <c r="AO472" s="1" t="s">
        <v>55</v>
      </c>
      <c r="AP472" s="1" t="s">
        <v>2501</v>
      </c>
      <c r="AQ472" s="3" t="str">
        <f>HYPERLINK("https://icf.clappia.com/app/GMB253374/submission/AAG18323961/ICF247370-GMB253374-65p06n7f059m00000000/SIG-20250702_101717fcpi.jpeg", "SIG-20250702_101717fcpi.jpeg")</f>
        <v>SIG-20250702_101717fcpi.jpeg</v>
      </c>
      <c r="AR472" s="1" t="s">
        <v>2502</v>
      </c>
      <c r="AS472" s="3" t="str">
        <f>HYPERLINK("https://icf.clappia.com/app/GMB253374/submission/AAG18323961/ICF247370-GMB253374-3jefj0ogiema00000000/SIG-20250702_1017do4p2.jpeg", "SIG-20250702_1017do4p2.jpeg")</f>
        <v>SIG-20250702_1017do4p2.jpeg</v>
      </c>
      <c r="AT472" s="1" t="s">
        <v>2503</v>
      </c>
      <c r="AU472" s="3" t="str">
        <f>HYPERLINK("https://icf.clappia.com/app/GMB253374/submission/AAG18323961/ICF247370-GMB253374-ep1o9j76d9eo0000000/SIG-20250702_10178en9j.jpeg", "SIG-20250702_10178en9j.jpeg")</f>
        <v>SIG-20250702_10178en9j.jpeg</v>
      </c>
      <c r="AV472" s="3" t="str">
        <f>HYPERLINK("https://www.google.com/maps/place/8.8808983%2C-12.0379617", "8.8808983,-12.0379617")</f>
        <v>8.8808983,-12.0379617</v>
      </c>
    </row>
    <row r="473" ht="15.75" customHeight="1">
      <c r="A473" s="1" t="s">
        <v>2504</v>
      </c>
      <c r="B473" s="1" t="s">
        <v>75</v>
      </c>
      <c r="C473" s="1" t="s">
        <v>2505</v>
      </c>
      <c r="D473" s="1" t="s">
        <v>2505</v>
      </c>
      <c r="E473" s="1" t="s">
        <v>2506</v>
      </c>
      <c r="F473" s="1" t="s">
        <v>64</v>
      </c>
      <c r="G473" s="1">
        <v>107.0</v>
      </c>
      <c r="H473" s="1" t="s">
        <v>50</v>
      </c>
      <c r="I473" s="1">
        <v>31.0</v>
      </c>
      <c r="J473" s="1">
        <v>13.0</v>
      </c>
      <c r="K473" s="1">
        <v>13.0</v>
      </c>
      <c r="L473" s="1">
        <v>18.0</v>
      </c>
      <c r="M473" s="1">
        <v>18.0</v>
      </c>
      <c r="N473" s="1" t="s">
        <v>51</v>
      </c>
      <c r="O473" s="1">
        <v>26.0</v>
      </c>
      <c r="P473" s="1">
        <v>14.0</v>
      </c>
      <c r="Q473" s="1">
        <v>14.0</v>
      </c>
      <c r="R473" s="1">
        <v>12.0</v>
      </c>
      <c r="S473" s="1">
        <v>12.0</v>
      </c>
      <c r="T473" s="1" t="s">
        <v>52</v>
      </c>
      <c r="U473" s="1">
        <v>13.0</v>
      </c>
      <c r="V473" s="1">
        <v>6.0</v>
      </c>
      <c r="W473" s="1">
        <v>6.0</v>
      </c>
      <c r="X473" s="1">
        <v>7.0</v>
      </c>
      <c r="Y473" s="1">
        <v>7.0</v>
      </c>
      <c r="Z473" s="1" t="s">
        <v>53</v>
      </c>
      <c r="AA473" s="1">
        <v>16.0</v>
      </c>
      <c r="AB473" s="1">
        <v>10.0</v>
      </c>
      <c r="AC473" s="1">
        <v>9.0</v>
      </c>
      <c r="AD473" s="1">
        <v>6.0</v>
      </c>
      <c r="AE473" s="1">
        <v>5.0</v>
      </c>
      <c r="AF473" s="1" t="s">
        <v>54</v>
      </c>
      <c r="AG473" s="1">
        <v>11.0</v>
      </c>
      <c r="AH473" s="1">
        <v>7.0</v>
      </c>
      <c r="AI473" s="1">
        <v>5.0</v>
      </c>
      <c r="AJ473" s="1">
        <v>4.0</v>
      </c>
      <c r="AK473" s="1">
        <v>4.0</v>
      </c>
      <c r="AL473" s="1">
        <v>93.0</v>
      </c>
      <c r="AM473" s="1">
        <v>4.0</v>
      </c>
      <c r="AN473" s="1">
        <v>10.0</v>
      </c>
      <c r="AO473" s="1">
        <v>10.0</v>
      </c>
      <c r="AP473" s="1" t="s">
        <v>2507</v>
      </c>
      <c r="AQ473" s="3" t="str">
        <f>HYPERLINK("https://icf.clappia.com/app/GMB253374/submission/PPW65542002/ICF247370-GMB253374-216fbgjcnob8k0000000/SIG-20250702_0929nakf7.jpeg", "SIG-20250702_0929nakf7.jpeg")</f>
        <v>SIG-20250702_0929nakf7.jpeg</v>
      </c>
      <c r="AR473" s="1" t="s">
        <v>2508</v>
      </c>
      <c r="AS473" s="3" t="str">
        <f>HYPERLINK("https://icf.clappia.com/app/GMB253374/submission/PPW65542002/ICF247370-GMB253374-5kahbljl751i00000000/SIG-20250702_09307emc3.jpeg", "SIG-20250702_09307emc3.jpeg")</f>
        <v>SIG-20250702_09307emc3.jpeg</v>
      </c>
      <c r="AT473" s="1" t="s">
        <v>2509</v>
      </c>
      <c r="AU473" s="3" t="str">
        <f>HYPERLINK("https://icf.clappia.com/app/GMB253374/submission/PPW65542002/ICF247370-GMB253374-4d7134caoal000000000/SIG-20250702_09311556jc.jpeg", "SIG-20250702_09311556jc.jpeg")</f>
        <v>SIG-20250702_09311556jc.jpeg</v>
      </c>
      <c r="AV473" s="3" t="str">
        <f>HYPERLINK("https://www.google.com/maps/place/9.0298667%2C-12.1578217", "9.0298667,-12.1578217")</f>
        <v>9.0298667,-12.1578217</v>
      </c>
    </row>
    <row r="474" ht="15.75" customHeight="1">
      <c r="A474" s="1" t="s">
        <v>2510</v>
      </c>
      <c r="B474" s="1" t="s">
        <v>167</v>
      </c>
      <c r="C474" s="1" t="s">
        <v>2511</v>
      </c>
      <c r="D474" s="1" t="s">
        <v>2511</v>
      </c>
      <c r="E474" s="1" t="s">
        <v>2512</v>
      </c>
      <c r="F474" s="1" t="s">
        <v>49</v>
      </c>
      <c r="G474" s="1">
        <v>156.0</v>
      </c>
      <c r="H474" s="1" t="s">
        <v>50</v>
      </c>
      <c r="I474" s="1">
        <v>43.0</v>
      </c>
      <c r="J474" s="1">
        <v>20.0</v>
      </c>
      <c r="K474" s="1">
        <v>20.0</v>
      </c>
      <c r="L474" s="1">
        <v>23.0</v>
      </c>
      <c r="M474" s="1">
        <v>23.0</v>
      </c>
      <c r="N474" s="1" t="s">
        <v>51</v>
      </c>
      <c r="O474" s="1">
        <v>36.0</v>
      </c>
      <c r="P474" s="1">
        <v>15.0</v>
      </c>
      <c r="Q474" s="1">
        <v>15.0</v>
      </c>
      <c r="R474" s="1">
        <v>21.0</v>
      </c>
      <c r="S474" s="1">
        <v>21.0</v>
      </c>
      <c r="T474" s="1" t="s">
        <v>52</v>
      </c>
      <c r="U474" s="1">
        <v>42.0</v>
      </c>
      <c r="V474" s="1">
        <v>18.0</v>
      </c>
      <c r="W474" s="1">
        <v>18.0</v>
      </c>
      <c r="X474" s="1">
        <v>24.0</v>
      </c>
      <c r="Y474" s="1">
        <v>24.0</v>
      </c>
      <c r="Z474" s="1" t="s">
        <v>53</v>
      </c>
      <c r="AA474" s="1">
        <v>25.0</v>
      </c>
      <c r="AB474" s="1">
        <v>10.0</v>
      </c>
      <c r="AC474" s="1">
        <v>10.0</v>
      </c>
      <c r="AD474" s="1">
        <v>15.0</v>
      </c>
      <c r="AE474" s="1">
        <v>15.0</v>
      </c>
      <c r="AF474" s="1" t="s">
        <v>54</v>
      </c>
      <c r="AG474" s="1">
        <v>10.0</v>
      </c>
      <c r="AH474" s="1">
        <v>6.0</v>
      </c>
      <c r="AI474" s="1">
        <v>6.0</v>
      </c>
      <c r="AJ474" s="1">
        <v>4.0</v>
      </c>
      <c r="AK474" s="1">
        <v>4.0</v>
      </c>
      <c r="AL474" s="1">
        <v>156.0</v>
      </c>
      <c r="AM474" s="1" t="s">
        <v>55</v>
      </c>
      <c r="AN474" s="1" t="s">
        <v>55</v>
      </c>
      <c r="AO474" s="1" t="s">
        <v>55</v>
      </c>
      <c r="AP474" s="1" t="s">
        <v>1288</v>
      </c>
      <c r="AQ474" s="3" t="str">
        <f>HYPERLINK("https://icf.clappia.com/app/GMB253374/submission/YDJ47750656/ICF247370-GMB253374-1ahpo8925267i0000000/SIG-20250702_10104bnl0.jpeg", "SIG-20250702_10104bnl0.jpeg")</f>
        <v>SIG-20250702_10104bnl0.jpeg</v>
      </c>
      <c r="AR474" s="1" t="s">
        <v>1290</v>
      </c>
      <c r="AS474" s="3" t="str">
        <f>HYPERLINK("https://icf.clappia.com/app/GMB253374/submission/YDJ47750656/ICF247370-GMB253374-3biek6ep6j3g00000000/SIG-20250702_1010lnek6.jpeg", "SIG-20250702_1010lnek6.jpeg")</f>
        <v>SIG-20250702_1010lnek6.jpeg</v>
      </c>
      <c r="AT474" s="1" t="s">
        <v>2513</v>
      </c>
      <c r="AU474" s="3" t="str">
        <f>HYPERLINK("https://icf.clappia.com/app/GMB253374/submission/YDJ47750656/ICF247370-GMB253374-3pea9lcf9jk600000000/SIG-20250702_1011ejlf5.jpeg", "SIG-20250702_1011ejlf5.jpeg")</f>
        <v>SIG-20250702_1011ejlf5.jpeg</v>
      </c>
      <c r="AV474" s="3" t="str">
        <f>HYPERLINK("https://www.google.com/maps/place/7.956395%2C-11.77597", "7.956395,-11.77597")</f>
        <v>7.956395,-11.77597</v>
      </c>
    </row>
    <row r="475" ht="15.75" customHeight="1">
      <c r="A475" s="1" t="s">
        <v>2514</v>
      </c>
      <c r="B475" s="1" t="s">
        <v>248</v>
      </c>
      <c r="C475" s="1" t="s">
        <v>2515</v>
      </c>
      <c r="D475" s="1" t="s">
        <v>2515</v>
      </c>
      <c r="E475" s="1" t="s">
        <v>2516</v>
      </c>
      <c r="F475" s="1" t="s">
        <v>64</v>
      </c>
      <c r="G475" s="1">
        <v>200.0</v>
      </c>
      <c r="H475" s="1" t="s">
        <v>50</v>
      </c>
      <c r="I475" s="1">
        <v>80.0</v>
      </c>
      <c r="J475" s="1">
        <v>38.0</v>
      </c>
      <c r="K475" s="1">
        <v>38.0</v>
      </c>
      <c r="L475" s="1">
        <v>42.0</v>
      </c>
      <c r="M475" s="1">
        <v>42.0</v>
      </c>
      <c r="N475" s="1" t="s">
        <v>51</v>
      </c>
      <c r="O475" s="1">
        <v>45.0</v>
      </c>
      <c r="P475" s="1">
        <v>20.0</v>
      </c>
      <c r="Q475" s="1">
        <v>20.0</v>
      </c>
      <c r="R475" s="1">
        <v>25.0</v>
      </c>
      <c r="S475" s="1">
        <v>25.0</v>
      </c>
      <c r="T475" s="1" t="s">
        <v>52</v>
      </c>
      <c r="U475" s="1">
        <v>45.0</v>
      </c>
      <c r="V475" s="1">
        <v>25.0</v>
      </c>
      <c r="W475" s="1">
        <v>25.0</v>
      </c>
      <c r="X475" s="1">
        <v>20.0</v>
      </c>
      <c r="Y475" s="1">
        <v>20.0</v>
      </c>
      <c r="Z475" s="1" t="s">
        <v>53</v>
      </c>
      <c r="AA475" s="1" t="s">
        <v>55</v>
      </c>
      <c r="AB475" s="1" t="s">
        <v>55</v>
      </c>
      <c r="AC475" s="1" t="s">
        <v>55</v>
      </c>
      <c r="AD475" s="1" t="s">
        <v>55</v>
      </c>
      <c r="AE475" s="1" t="s">
        <v>55</v>
      </c>
      <c r="AF475" s="1" t="s">
        <v>54</v>
      </c>
      <c r="AG475" s="1" t="s">
        <v>55</v>
      </c>
      <c r="AH475" s="1" t="s">
        <v>55</v>
      </c>
      <c r="AI475" s="1" t="s">
        <v>55</v>
      </c>
      <c r="AJ475" s="1" t="s">
        <v>55</v>
      </c>
      <c r="AK475" s="1" t="s">
        <v>55</v>
      </c>
      <c r="AL475" s="1">
        <v>170.0</v>
      </c>
      <c r="AM475" s="1" t="s">
        <v>55</v>
      </c>
      <c r="AN475" s="1">
        <v>30.0</v>
      </c>
      <c r="AO475" s="1">
        <v>30.0</v>
      </c>
      <c r="AP475" s="1" t="s">
        <v>2517</v>
      </c>
      <c r="AQ475" s="3" t="str">
        <f>HYPERLINK("https://icf.clappia.com/app/GMB253374/submission/KOV96571481/ICF247370-GMB253374-1o23179j779gk0000000/SIG-20250702_1005akjkj.jpeg", "SIG-20250702_1005akjkj.jpeg")</f>
        <v>SIG-20250702_1005akjkj.jpeg</v>
      </c>
      <c r="AR475" s="1" t="s">
        <v>2518</v>
      </c>
      <c r="AS475" s="3" t="str">
        <f>HYPERLINK("https://icf.clappia.com/app/GMB253374/submission/KOV96571481/ICF247370-GMB253374-62hbheaabcf600000000/SIG-20250702_1006dkpao.jpeg", "SIG-20250702_1006dkpao.jpeg")</f>
        <v>SIG-20250702_1006dkpao.jpeg</v>
      </c>
      <c r="AT475" s="1" t="s">
        <v>2519</v>
      </c>
      <c r="AU475" s="3" t="str">
        <f>HYPERLINK("https://icf.clappia.com/app/GMB253374/submission/KOV96571481/ICF247370-GMB253374-89060mlddnmk0000000/SIG-20250702_10066a5el.jpeg", "SIG-20250702_10066a5el.jpeg")</f>
        <v>SIG-20250702_10066a5el.jpeg</v>
      </c>
      <c r="AV475" s="3" t="str">
        <f>HYPERLINK("https://www.google.com/maps/place/7.8955917%2C-11.5083933", "7.8955917,-11.5083933")</f>
        <v>7.8955917,-11.5083933</v>
      </c>
    </row>
    <row r="476" ht="15.75" customHeight="1">
      <c r="A476" s="1" t="s">
        <v>2520</v>
      </c>
      <c r="B476" s="1" t="s">
        <v>690</v>
      </c>
      <c r="C476" s="1" t="s">
        <v>2521</v>
      </c>
      <c r="D476" s="1" t="s">
        <v>2521</v>
      </c>
      <c r="E476" s="1" t="s">
        <v>2522</v>
      </c>
      <c r="F476" s="1" t="s">
        <v>64</v>
      </c>
      <c r="G476" s="1">
        <v>300.0</v>
      </c>
      <c r="H476" s="1" t="s">
        <v>50</v>
      </c>
      <c r="I476" s="1">
        <v>84.0</v>
      </c>
      <c r="J476" s="1">
        <v>38.0</v>
      </c>
      <c r="K476" s="1">
        <v>36.0</v>
      </c>
      <c r="L476" s="1">
        <v>46.0</v>
      </c>
      <c r="M476" s="1">
        <v>44.0</v>
      </c>
      <c r="N476" s="1" t="s">
        <v>51</v>
      </c>
      <c r="O476" s="1">
        <v>73.0</v>
      </c>
      <c r="P476" s="1">
        <v>33.0</v>
      </c>
      <c r="Q476" s="1">
        <v>33.0</v>
      </c>
      <c r="R476" s="1">
        <v>40.0</v>
      </c>
      <c r="S476" s="1">
        <v>38.0</v>
      </c>
      <c r="T476" s="1" t="s">
        <v>52</v>
      </c>
      <c r="U476" s="1">
        <v>55.0</v>
      </c>
      <c r="V476" s="1">
        <v>36.0</v>
      </c>
      <c r="W476" s="1">
        <v>34.0</v>
      </c>
      <c r="X476" s="1">
        <v>19.0</v>
      </c>
      <c r="Y476" s="1">
        <v>18.0</v>
      </c>
      <c r="Z476" s="1" t="s">
        <v>53</v>
      </c>
      <c r="AA476" s="1">
        <v>43.0</v>
      </c>
      <c r="AB476" s="1">
        <v>21.0</v>
      </c>
      <c r="AC476" s="1">
        <v>21.0</v>
      </c>
      <c r="AD476" s="1">
        <v>22.0</v>
      </c>
      <c r="AE476" s="1">
        <v>22.0</v>
      </c>
      <c r="AF476" s="1" t="s">
        <v>54</v>
      </c>
      <c r="AG476" s="1">
        <v>44.0</v>
      </c>
      <c r="AH476" s="1">
        <v>24.0</v>
      </c>
      <c r="AI476" s="1">
        <v>24.0</v>
      </c>
      <c r="AJ476" s="1">
        <v>20.0</v>
      </c>
      <c r="AK476" s="1">
        <v>20.0</v>
      </c>
      <c r="AL476" s="1">
        <v>290.0</v>
      </c>
      <c r="AM476" s="1">
        <v>10.0</v>
      </c>
      <c r="AN476" s="1" t="s">
        <v>55</v>
      </c>
      <c r="AO476" s="1" t="s">
        <v>55</v>
      </c>
      <c r="AP476" s="1" t="s">
        <v>2523</v>
      </c>
      <c r="AQ476" s="3" t="str">
        <f>HYPERLINK("https://icf.clappia.com/app/GMB253374/submission/EKJ63794499/ICF247370-GMB253374-17kf2h8cnokp60000000/SIG-20250702_1005oma8d.jpeg", "SIG-20250702_1005oma8d.jpeg")</f>
        <v>SIG-20250702_1005oma8d.jpeg</v>
      </c>
      <c r="AR476" s="1" t="s">
        <v>2524</v>
      </c>
      <c r="AS476" s="3" t="str">
        <f>HYPERLINK("https://icf.clappia.com/app/GMB253374/submission/EKJ63794499/ICF247370-GMB253374-1ce3718m49f8c0000000/SIG-20250702_1006i2eb1.jpeg", "SIG-20250702_1006i2eb1.jpeg")</f>
        <v>SIG-20250702_1006i2eb1.jpeg</v>
      </c>
      <c r="AT476" s="1" t="s">
        <v>1318</v>
      </c>
      <c r="AU476" s="3" t="str">
        <f>HYPERLINK("https://icf.clappia.com/app/GMB253374/submission/EKJ63794499/ICF247370-GMB253374-2ibbej333h3800000000/SIG-20250702_1008jihij.jpeg", "SIG-20250702_1008jihij.jpeg")</f>
        <v>SIG-20250702_1008jihij.jpeg</v>
      </c>
      <c r="AV476" s="3" t="str">
        <f>HYPERLINK("https://www.google.com/maps/place/8.79549%2C-12.0259517", "8.79549,-12.0259517")</f>
        <v>8.79549,-12.0259517</v>
      </c>
    </row>
    <row r="477" ht="15.75" customHeight="1">
      <c r="A477" s="1" t="s">
        <v>2525</v>
      </c>
      <c r="B477" s="1" t="s">
        <v>189</v>
      </c>
      <c r="C477" s="1" t="s">
        <v>2526</v>
      </c>
      <c r="D477" s="1" t="s">
        <v>2526</v>
      </c>
      <c r="E477" s="1" t="s">
        <v>2527</v>
      </c>
      <c r="F477" s="1" t="s">
        <v>49</v>
      </c>
      <c r="G477" s="1">
        <v>50.0</v>
      </c>
      <c r="H477" s="1" t="s">
        <v>50</v>
      </c>
      <c r="I477" s="1">
        <v>10.0</v>
      </c>
      <c r="J477" s="1">
        <v>4.0</v>
      </c>
      <c r="K477" s="1">
        <v>4.0</v>
      </c>
      <c r="L477" s="1">
        <v>6.0</v>
      </c>
      <c r="M477" s="1">
        <v>6.0</v>
      </c>
      <c r="N477" s="1" t="s">
        <v>51</v>
      </c>
      <c r="O477" s="1">
        <v>9.0</v>
      </c>
      <c r="P477" s="1">
        <v>5.0</v>
      </c>
      <c r="Q477" s="1">
        <v>5.0</v>
      </c>
      <c r="R477" s="1">
        <v>4.0</v>
      </c>
      <c r="S477" s="1">
        <v>4.0</v>
      </c>
      <c r="T477" s="1" t="s">
        <v>52</v>
      </c>
      <c r="U477" s="1">
        <v>12.0</v>
      </c>
      <c r="V477" s="1">
        <v>6.0</v>
      </c>
      <c r="W477" s="1">
        <v>6.0</v>
      </c>
      <c r="X477" s="1">
        <v>6.0</v>
      </c>
      <c r="Y477" s="1">
        <v>6.0</v>
      </c>
      <c r="Z477" s="1" t="s">
        <v>53</v>
      </c>
      <c r="AA477" s="1">
        <v>8.0</v>
      </c>
      <c r="AB477" s="1">
        <v>3.0</v>
      </c>
      <c r="AC477" s="1">
        <v>3.0</v>
      </c>
      <c r="AD477" s="1">
        <v>5.0</v>
      </c>
      <c r="AE477" s="1">
        <v>5.0</v>
      </c>
      <c r="AF477" s="1" t="s">
        <v>54</v>
      </c>
      <c r="AG477" s="1">
        <v>8.0</v>
      </c>
      <c r="AH477" s="1">
        <v>3.0</v>
      </c>
      <c r="AI477" s="1">
        <v>3.0</v>
      </c>
      <c r="AJ477" s="1">
        <v>5.0</v>
      </c>
      <c r="AK477" s="1">
        <v>5.0</v>
      </c>
      <c r="AL477" s="1">
        <v>47.0</v>
      </c>
      <c r="AM477" s="1" t="s">
        <v>55</v>
      </c>
      <c r="AN477" s="1">
        <v>3.0</v>
      </c>
      <c r="AO477" s="1">
        <v>3.0</v>
      </c>
      <c r="AP477" s="1" t="s">
        <v>2528</v>
      </c>
      <c r="AQ477" s="3" t="str">
        <f>HYPERLINK("https://icf.clappia.com/app/GMB253374/submission/ERV44677257/ICF247370-GMB253374-nb6kn10cki3a0000000/SIG-20250702_1003162h5l.jpeg", "SIG-20250702_1003162h5l.jpeg")</f>
        <v>SIG-20250702_1003162h5l.jpeg</v>
      </c>
      <c r="AR477" s="1" t="s">
        <v>2529</v>
      </c>
      <c r="AS477" s="3" t="str">
        <f>HYPERLINK("https://icf.clappia.com/app/GMB253374/submission/ERV44677257/ICF247370-GMB253374-61eclpae1mga00000000/SIG-20250702_100315bc5d.jpeg", "SIG-20250702_100315bc5d.jpeg")</f>
        <v>SIG-20250702_100315bc5d.jpeg</v>
      </c>
      <c r="AT477" s="1" t="s">
        <v>2530</v>
      </c>
      <c r="AU477" s="3" t="str">
        <f>HYPERLINK("https://icf.clappia.com/app/GMB253374/submission/ERV44677257/ICF247370-GMB253374-4pnd5p6h2io600000000/SIG-20250702_100414nonn.jpeg", "SIG-20250702_100414nonn.jpeg")</f>
        <v>SIG-20250702_100414nonn.jpeg</v>
      </c>
      <c r="AV477" s="3" t="str">
        <f>HYPERLINK("https://www.google.com/maps/place/8.8736067%2C-12.0345767", "8.8736067,-12.0345767")</f>
        <v>8.8736067,-12.0345767</v>
      </c>
    </row>
    <row r="478" ht="15.75" customHeight="1">
      <c r="A478" s="1" t="s">
        <v>2531</v>
      </c>
      <c r="B478" s="1" t="s">
        <v>94</v>
      </c>
      <c r="C478" s="1" t="s">
        <v>2532</v>
      </c>
      <c r="D478" s="1" t="s">
        <v>2533</v>
      </c>
      <c r="E478" s="1" t="s">
        <v>2534</v>
      </c>
      <c r="F478" s="1" t="s">
        <v>64</v>
      </c>
      <c r="G478" s="1">
        <v>239.0</v>
      </c>
      <c r="H478" s="1" t="s">
        <v>50</v>
      </c>
      <c r="I478" s="1">
        <v>73.0</v>
      </c>
      <c r="J478" s="1">
        <v>34.0</v>
      </c>
      <c r="K478" s="1">
        <v>34.0</v>
      </c>
      <c r="L478" s="1">
        <v>39.0</v>
      </c>
      <c r="M478" s="1">
        <v>39.0</v>
      </c>
      <c r="N478" s="1" t="s">
        <v>51</v>
      </c>
      <c r="O478" s="1">
        <v>50.0</v>
      </c>
      <c r="P478" s="1">
        <v>23.0</v>
      </c>
      <c r="Q478" s="1">
        <v>20.0</v>
      </c>
      <c r="R478" s="1">
        <v>22.0</v>
      </c>
      <c r="S478" s="1">
        <v>20.0</v>
      </c>
      <c r="T478" s="1" t="s">
        <v>52</v>
      </c>
      <c r="U478" s="1">
        <v>51.0</v>
      </c>
      <c r="V478" s="1">
        <v>28.0</v>
      </c>
      <c r="W478" s="1">
        <v>25.0</v>
      </c>
      <c r="X478" s="1">
        <v>20.0</v>
      </c>
      <c r="Y478" s="1">
        <v>20.0</v>
      </c>
      <c r="Z478" s="1" t="s">
        <v>53</v>
      </c>
      <c r="AA478" s="1">
        <v>32.0</v>
      </c>
      <c r="AB478" s="1">
        <v>12.0</v>
      </c>
      <c r="AC478" s="1">
        <v>10.0</v>
      </c>
      <c r="AD478" s="1">
        <v>15.0</v>
      </c>
      <c r="AE478" s="1">
        <v>12.0</v>
      </c>
      <c r="AF478" s="1" t="s">
        <v>54</v>
      </c>
      <c r="AG478" s="1">
        <v>33.0</v>
      </c>
      <c r="AH478" s="1">
        <v>15.0</v>
      </c>
      <c r="AI478" s="1">
        <v>15.0</v>
      </c>
      <c r="AJ478" s="1">
        <v>18.0</v>
      </c>
      <c r="AK478" s="1">
        <v>18.0</v>
      </c>
      <c r="AL478" s="1">
        <v>213.0</v>
      </c>
      <c r="AM478" s="1" t="s">
        <v>55</v>
      </c>
      <c r="AN478" s="1">
        <v>26.0</v>
      </c>
      <c r="AO478" s="1">
        <v>13.0</v>
      </c>
      <c r="AP478" s="1" t="s">
        <v>2535</v>
      </c>
      <c r="AQ478" s="3" t="str">
        <f>HYPERLINK("https://icf.clappia.com/app/GMB253374/submission/IOJ39055662/ICF247370-GMB253374-15k7o0kimbkf80000000/SIG-20250630_13111gc2m.jpeg", "SIG-20250630_13111gc2m.jpeg")</f>
        <v>SIG-20250630_13111gc2m.jpeg</v>
      </c>
      <c r="AR478" s="1" t="s">
        <v>2536</v>
      </c>
      <c r="AS478" s="3" t="str">
        <f>HYPERLINK("https://icf.clappia.com/app/GMB253374/submission/IOJ39055662/ICF247370-GMB253374-657591h6glic00000000/SIG-20250630_131112gdg.jpeg", "SIG-20250630_131112gdg.jpeg")</f>
        <v>SIG-20250630_131112gdg.jpeg</v>
      </c>
      <c r="AT478" s="1" t="s">
        <v>2537</v>
      </c>
      <c r="AU478" s="3" t="str">
        <f>HYPERLINK("https://icf.clappia.com/app/GMB253374/submission/IOJ39055662/ICF247370-GMB253374-6eh3m3bd0p6o0000000/SIG-20250630_131216ik04.jpeg", "SIG-20250630_131216ik04.jpeg")</f>
        <v>SIG-20250630_131216ik04.jpeg</v>
      </c>
      <c r="AV478" s="3" t="str">
        <f>HYPERLINK("https://www.google.com/maps/place/7.6683981%2C-11.861433", "7.6683981,-11.861433")</f>
        <v>7.6683981,-11.861433</v>
      </c>
    </row>
    <row r="479" ht="15.75" customHeight="1">
      <c r="A479" s="1" t="s">
        <v>2538</v>
      </c>
      <c r="B479" s="1" t="s">
        <v>215</v>
      </c>
      <c r="C479" s="1" t="s">
        <v>2539</v>
      </c>
      <c r="D479" s="1" t="s">
        <v>2539</v>
      </c>
      <c r="E479" s="1" t="s">
        <v>2540</v>
      </c>
      <c r="F479" s="1" t="s">
        <v>64</v>
      </c>
      <c r="G479" s="1">
        <v>280.0</v>
      </c>
      <c r="H479" s="1" t="s">
        <v>50</v>
      </c>
      <c r="I479" s="1">
        <v>63.0</v>
      </c>
      <c r="J479" s="1">
        <v>29.0</v>
      </c>
      <c r="K479" s="1">
        <v>29.0</v>
      </c>
      <c r="L479" s="1">
        <v>34.0</v>
      </c>
      <c r="M479" s="1">
        <v>34.0</v>
      </c>
      <c r="N479" s="1" t="s">
        <v>51</v>
      </c>
      <c r="O479" s="1">
        <v>58.0</v>
      </c>
      <c r="P479" s="1">
        <v>34.0</v>
      </c>
      <c r="Q479" s="1">
        <v>34.0</v>
      </c>
      <c r="R479" s="1">
        <v>24.0</v>
      </c>
      <c r="S479" s="1">
        <v>24.0</v>
      </c>
      <c r="T479" s="1" t="s">
        <v>52</v>
      </c>
      <c r="U479" s="1">
        <v>56.0</v>
      </c>
      <c r="V479" s="1">
        <v>29.0</v>
      </c>
      <c r="W479" s="1">
        <v>29.0</v>
      </c>
      <c r="X479" s="1">
        <v>27.0</v>
      </c>
      <c r="Y479" s="1">
        <v>27.0</v>
      </c>
      <c r="Z479" s="1" t="s">
        <v>53</v>
      </c>
      <c r="AA479" s="1">
        <v>57.0</v>
      </c>
      <c r="AB479" s="1">
        <v>31.0</v>
      </c>
      <c r="AC479" s="1">
        <v>31.0</v>
      </c>
      <c r="AD479" s="1">
        <v>26.0</v>
      </c>
      <c r="AE479" s="1">
        <v>26.0</v>
      </c>
      <c r="AF479" s="1" t="s">
        <v>54</v>
      </c>
      <c r="AG479" s="1">
        <v>46.0</v>
      </c>
      <c r="AH479" s="1">
        <v>20.0</v>
      </c>
      <c r="AI479" s="1">
        <v>20.0</v>
      </c>
      <c r="AJ479" s="1">
        <v>26.0</v>
      </c>
      <c r="AK479" s="1">
        <v>26.0</v>
      </c>
      <c r="AL479" s="1">
        <v>280.0</v>
      </c>
      <c r="AM479" s="1" t="s">
        <v>55</v>
      </c>
      <c r="AN479" s="1" t="s">
        <v>55</v>
      </c>
      <c r="AO479" s="1" t="s">
        <v>55</v>
      </c>
      <c r="AP479" s="1" t="s">
        <v>2541</v>
      </c>
      <c r="AQ479" s="3" t="str">
        <f>HYPERLINK("https://icf.clappia.com/app/GMB253374/submission/YNC48819992/ICF247370-GMB253374-3ccdga3b440o0000000/SIG-20250702_095613bl8a.jpeg", "SIG-20250702_095613bl8a.jpeg")</f>
        <v>SIG-20250702_095613bl8a.jpeg</v>
      </c>
      <c r="AR479" s="1" t="s">
        <v>2542</v>
      </c>
      <c r="AS479" s="3" t="str">
        <f>HYPERLINK("https://icf.clappia.com/app/GMB253374/submission/YNC48819992/ICF247370-GMB253374-d9cdpcppne640000000/SIG-20250702_0956198gg7.jpeg", "SIG-20250702_0956198gg7.jpeg")</f>
        <v>SIG-20250702_0956198gg7.jpeg</v>
      </c>
      <c r="AT479" s="1" t="s">
        <v>2543</v>
      </c>
      <c r="AU479" s="3" t="str">
        <f>HYPERLINK("https://icf.clappia.com/app/GMB253374/submission/YNC48819992/ICF247370-GMB253374-4dl8e1kb9bmo00000000/SIG-20250702_09571cj95.jpeg", "SIG-20250702_09571cj95.jpeg")</f>
        <v>SIG-20250702_09571cj95.jpeg</v>
      </c>
      <c r="AV479" s="3" t="str">
        <f>HYPERLINK("https://www.google.com/maps/place/8.70163%2C-12.233595", "8.70163,-12.233595")</f>
        <v>8.70163,-12.233595</v>
      </c>
    </row>
    <row r="480" ht="15.75" customHeight="1">
      <c r="A480" s="1" t="s">
        <v>2544</v>
      </c>
      <c r="B480" s="1" t="s">
        <v>189</v>
      </c>
      <c r="C480" s="1" t="s">
        <v>2539</v>
      </c>
      <c r="D480" s="1" t="s">
        <v>2539</v>
      </c>
      <c r="E480" s="1" t="s">
        <v>2545</v>
      </c>
      <c r="F480" s="1" t="s">
        <v>49</v>
      </c>
      <c r="G480" s="1">
        <v>158.0</v>
      </c>
      <c r="H480" s="1" t="s">
        <v>50</v>
      </c>
      <c r="I480" s="1">
        <v>32.0</v>
      </c>
      <c r="J480" s="1">
        <v>12.0</v>
      </c>
      <c r="K480" s="1">
        <v>8.0</v>
      </c>
      <c r="L480" s="1">
        <v>20.0</v>
      </c>
      <c r="M480" s="1">
        <v>10.0</v>
      </c>
      <c r="N480" s="1" t="s">
        <v>51</v>
      </c>
      <c r="O480" s="1">
        <v>30.0</v>
      </c>
      <c r="P480" s="1">
        <v>15.0</v>
      </c>
      <c r="Q480" s="1">
        <v>10.0</v>
      </c>
      <c r="R480" s="1">
        <v>15.0</v>
      </c>
      <c r="S480" s="1">
        <v>8.0</v>
      </c>
      <c r="T480" s="1" t="s">
        <v>52</v>
      </c>
      <c r="U480" s="1">
        <v>31.0</v>
      </c>
      <c r="V480" s="1">
        <v>16.0</v>
      </c>
      <c r="W480" s="1">
        <v>10.0</v>
      </c>
      <c r="X480" s="1">
        <v>15.0</v>
      </c>
      <c r="Y480" s="1">
        <v>8.0</v>
      </c>
      <c r="Z480" s="1" t="s">
        <v>53</v>
      </c>
      <c r="AA480" s="1">
        <v>35.0</v>
      </c>
      <c r="AB480" s="1">
        <v>20.0</v>
      </c>
      <c r="AC480" s="1">
        <v>8.0</v>
      </c>
      <c r="AD480" s="1">
        <v>15.0</v>
      </c>
      <c r="AE480" s="1">
        <v>10.0</v>
      </c>
      <c r="AF480" s="1" t="s">
        <v>54</v>
      </c>
      <c r="AG480" s="1">
        <v>31.0</v>
      </c>
      <c r="AH480" s="1">
        <v>17.0</v>
      </c>
      <c r="AI480" s="1">
        <v>8.0</v>
      </c>
      <c r="AJ480" s="1">
        <v>14.0</v>
      </c>
      <c r="AK480" s="1">
        <v>9.0</v>
      </c>
      <c r="AL480" s="1">
        <v>89.0</v>
      </c>
      <c r="AM480" s="1" t="s">
        <v>55</v>
      </c>
      <c r="AN480" s="1">
        <v>69.0</v>
      </c>
      <c r="AO480" s="1">
        <v>69.0</v>
      </c>
      <c r="AP480" s="1" t="s">
        <v>403</v>
      </c>
      <c r="AQ480" s="3" t="str">
        <f>HYPERLINK("https://icf.clappia.com/app/GMB253374/submission/HQX49051984/ICF247370-GMB253374-4ieanch2egnc00000000/SIG-20250702_0942jlpd7.jpeg", "SIG-20250702_0942jlpd7.jpeg")</f>
        <v>SIG-20250702_0942jlpd7.jpeg</v>
      </c>
      <c r="AR480" s="1" t="s">
        <v>2546</v>
      </c>
      <c r="AS480" s="3" t="str">
        <f>HYPERLINK("https://icf.clappia.com/app/GMB253374/submission/HQX49051984/ICF247370-GMB253374-52bilb7pkma000000000/SIG-20250702_09429bkkp.jpeg", "SIG-20250702_09429bkkp.jpeg")</f>
        <v>SIG-20250702_09429bkkp.jpeg</v>
      </c>
      <c r="AT480" s="1" t="s">
        <v>2547</v>
      </c>
      <c r="AU480" s="3" t="str">
        <f>HYPERLINK("https://icf.clappia.com/app/GMB253374/submission/HQX49051984/ICF247370-GMB253374-2eohc9o8e3d000000000/SIG-20250702_0942kchmg.jpeg", "SIG-20250702_0942kchmg.jpeg")</f>
        <v>SIG-20250702_0942kchmg.jpeg</v>
      </c>
      <c r="AV480" s="3" t="str">
        <f>HYPERLINK("https://www.google.com/maps/place/8.8788417%2C-12.03203", "8.8788417,-12.03203")</f>
        <v>8.8788417,-12.03203</v>
      </c>
    </row>
    <row r="481" ht="15.75" customHeight="1">
      <c r="A481" s="1" t="s">
        <v>2548</v>
      </c>
      <c r="B481" s="1" t="s">
        <v>81</v>
      </c>
      <c r="C481" s="1" t="s">
        <v>2549</v>
      </c>
      <c r="D481" s="1" t="s">
        <v>2549</v>
      </c>
      <c r="E481" s="1" t="s">
        <v>2550</v>
      </c>
      <c r="F481" s="1" t="s">
        <v>64</v>
      </c>
      <c r="G481" s="1">
        <v>100.0</v>
      </c>
      <c r="H481" s="1" t="s">
        <v>50</v>
      </c>
      <c r="I481" s="1">
        <v>27.0</v>
      </c>
      <c r="J481" s="1">
        <v>10.0</v>
      </c>
      <c r="K481" s="1">
        <v>10.0</v>
      </c>
      <c r="L481" s="1">
        <v>17.0</v>
      </c>
      <c r="M481" s="1">
        <v>17.0</v>
      </c>
      <c r="N481" s="1" t="s">
        <v>51</v>
      </c>
      <c r="O481" s="1">
        <v>30.0</v>
      </c>
      <c r="P481" s="1">
        <v>12.0</v>
      </c>
      <c r="Q481" s="1">
        <v>12.0</v>
      </c>
      <c r="R481" s="1">
        <v>18.0</v>
      </c>
      <c r="S481" s="1">
        <v>18.0</v>
      </c>
      <c r="T481" s="1" t="s">
        <v>52</v>
      </c>
      <c r="U481" s="1">
        <v>20.0</v>
      </c>
      <c r="V481" s="1">
        <v>9.0</v>
      </c>
      <c r="W481" s="1">
        <v>9.0</v>
      </c>
      <c r="X481" s="1">
        <v>11.0</v>
      </c>
      <c r="Y481" s="1">
        <v>11.0</v>
      </c>
      <c r="Z481" s="1" t="s">
        <v>53</v>
      </c>
      <c r="AA481" s="1">
        <v>15.0</v>
      </c>
      <c r="AB481" s="1">
        <v>5.0</v>
      </c>
      <c r="AC481" s="1">
        <v>5.0</v>
      </c>
      <c r="AD481" s="1">
        <v>10.0</v>
      </c>
      <c r="AE481" s="1">
        <v>10.0</v>
      </c>
      <c r="AF481" s="1" t="s">
        <v>54</v>
      </c>
      <c r="AG481" s="1">
        <v>8.0</v>
      </c>
      <c r="AH481" s="1">
        <v>3.0</v>
      </c>
      <c r="AI481" s="1">
        <v>3.0</v>
      </c>
      <c r="AJ481" s="1">
        <v>5.0</v>
      </c>
      <c r="AK481" s="1">
        <v>5.0</v>
      </c>
      <c r="AL481" s="1">
        <v>100.0</v>
      </c>
      <c r="AM481" s="1" t="s">
        <v>55</v>
      </c>
      <c r="AN481" s="1" t="s">
        <v>55</v>
      </c>
      <c r="AO481" s="1" t="s">
        <v>55</v>
      </c>
      <c r="AP481" s="1" t="s">
        <v>1113</v>
      </c>
      <c r="AQ481" s="3" t="str">
        <f>HYPERLINK("https://icf.clappia.com/app/GMB253374/submission/YHU97106281/ICF247370-GMB253374-17b0l7afih9b60000000/SIG-20250702_09431936i2.jpeg", "SIG-20250702_09431936i2.jpeg")</f>
        <v>SIG-20250702_09431936i2.jpeg</v>
      </c>
      <c r="AR481" s="1" t="s">
        <v>1114</v>
      </c>
      <c r="AS481" s="3" t="str">
        <f>HYPERLINK("https://icf.clappia.com/app/GMB253374/submission/YHU97106281/ICF247370-GMB253374-3f7lh6m8c12600000000/SIG-20250702_0944moi5e.jpeg", "SIG-20250702_0944moi5e.jpeg")</f>
        <v>SIG-20250702_0944moi5e.jpeg</v>
      </c>
      <c r="AT481" s="1" t="s">
        <v>1115</v>
      </c>
      <c r="AU481" s="3" t="str">
        <f>HYPERLINK("https://icf.clappia.com/app/GMB253374/submission/YHU97106281/ICF247370-GMB253374-n5fn3k64l36g0000000/SIG-20250702_094421gl0.jpeg", "SIG-20250702_094421gl0.jpeg")</f>
        <v>SIG-20250702_094421gl0.jpeg</v>
      </c>
      <c r="AV481" s="3" t="str">
        <f>HYPERLINK("https://www.google.com/maps/place/7.9472336%2C-11.7322742", "7.9472336,-11.7322742")</f>
        <v>7.9472336,-11.7322742</v>
      </c>
    </row>
    <row r="482" ht="15.75" customHeight="1">
      <c r="A482" s="1" t="s">
        <v>2551</v>
      </c>
      <c r="B482" s="1" t="s">
        <v>248</v>
      </c>
      <c r="C482" s="1" t="s">
        <v>2552</v>
      </c>
      <c r="D482" s="1" t="s">
        <v>2552</v>
      </c>
      <c r="E482" s="1" t="s">
        <v>2553</v>
      </c>
      <c r="F482" s="1" t="s">
        <v>64</v>
      </c>
      <c r="G482" s="1">
        <v>300.0</v>
      </c>
      <c r="H482" s="1" t="s">
        <v>50</v>
      </c>
      <c r="I482" s="1">
        <v>40.0</v>
      </c>
      <c r="J482" s="1">
        <v>24.0</v>
      </c>
      <c r="K482" s="1">
        <v>24.0</v>
      </c>
      <c r="L482" s="1">
        <v>16.0</v>
      </c>
      <c r="M482" s="1">
        <v>16.0</v>
      </c>
      <c r="N482" s="1" t="s">
        <v>51</v>
      </c>
      <c r="O482" s="1">
        <v>13.0</v>
      </c>
      <c r="P482" s="1">
        <v>10.0</v>
      </c>
      <c r="Q482" s="1">
        <v>10.0</v>
      </c>
      <c r="R482" s="1">
        <v>3.0</v>
      </c>
      <c r="S482" s="1">
        <v>3.0</v>
      </c>
      <c r="T482" s="1" t="s">
        <v>52</v>
      </c>
      <c r="U482" s="1">
        <v>22.0</v>
      </c>
      <c r="V482" s="1">
        <v>18.0</v>
      </c>
      <c r="W482" s="1">
        <v>18.0</v>
      </c>
      <c r="X482" s="1">
        <v>4.0</v>
      </c>
      <c r="Y482" s="1">
        <v>4.0</v>
      </c>
      <c r="Z482" s="1" t="s">
        <v>53</v>
      </c>
      <c r="AA482" s="1">
        <v>23.0</v>
      </c>
      <c r="AB482" s="1">
        <v>15.0</v>
      </c>
      <c r="AC482" s="1">
        <v>15.0</v>
      </c>
      <c r="AD482" s="1">
        <v>8.0</v>
      </c>
      <c r="AE482" s="1">
        <v>8.0</v>
      </c>
      <c r="AF482" s="1" t="s">
        <v>54</v>
      </c>
      <c r="AG482" s="1">
        <v>12.0</v>
      </c>
      <c r="AH482" s="1">
        <v>8.0</v>
      </c>
      <c r="AI482" s="1">
        <v>8.0</v>
      </c>
      <c r="AJ482" s="1">
        <v>4.0</v>
      </c>
      <c r="AK482" s="1">
        <v>4.0</v>
      </c>
      <c r="AL482" s="1">
        <v>110.0</v>
      </c>
      <c r="AM482" s="1" t="s">
        <v>55</v>
      </c>
      <c r="AN482" s="1">
        <v>190.0</v>
      </c>
      <c r="AO482" s="1">
        <v>190.0</v>
      </c>
      <c r="AP482" s="1" t="s">
        <v>1298</v>
      </c>
      <c r="AQ482" s="3" t="str">
        <f>HYPERLINK("https://icf.clappia.com/app/GMB253374/submission/HDQ17101089/ICF247370-GMB253374-k32h4k6j0oko0000000/SIG-20250702_09445dmni.jpeg", "SIG-20250702_09445dmni.jpeg")</f>
        <v>SIG-20250702_09445dmni.jpeg</v>
      </c>
      <c r="AR482" s="1" t="s">
        <v>1299</v>
      </c>
      <c r="AS482" s="3" t="str">
        <f>HYPERLINK("https://icf.clappia.com/app/GMB253374/submission/HDQ17101089/ICF247370-GMB253374-5de3hha6o07600000000/SIG-20250702_0944ojp9p.jpeg", "SIG-20250702_0944ojp9p.jpeg")</f>
        <v>SIG-20250702_0944ojp9p.jpeg</v>
      </c>
      <c r="AT482" s="1" t="s">
        <v>1300</v>
      </c>
      <c r="AU482" s="3" t="str">
        <f>HYPERLINK("https://icf.clappia.com/app/GMB253374/submission/HDQ17101089/ICF247370-GMB253374-5o7dk57p7l4o00000000/SIG-20250702_0945mm2ln.jpeg", "SIG-20250702_0945mm2ln.jpeg")</f>
        <v>SIG-20250702_0945mm2ln.jpeg</v>
      </c>
      <c r="AV482" s="3" t="str">
        <f>HYPERLINK("https://www.google.com/maps/place/7.8252617%2C-11.5681867", "7.8252617,-11.5681867")</f>
        <v>7.8252617,-11.5681867</v>
      </c>
    </row>
    <row r="483" ht="15.75" customHeight="1">
      <c r="A483" s="1" t="s">
        <v>2554</v>
      </c>
      <c r="B483" s="1" t="s">
        <v>302</v>
      </c>
      <c r="C483" s="1" t="s">
        <v>2555</v>
      </c>
      <c r="D483" s="1" t="s">
        <v>2555</v>
      </c>
      <c r="E483" s="1" t="s">
        <v>2556</v>
      </c>
      <c r="F483" s="1" t="s">
        <v>64</v>
      </c>
      <c r="G483" s="1">
        <v>263.0</v>
      </c>
      <c r="H483" s="1" t="s">
        <v>50</v>
      </c>
      <c r="I483" s="1">
        <v>68.0</v>
      </c>
      <c r="J483" s="1">
        <v>30.0</v>
      </c>
      <c r="K483" s="1">
        <v>29.0</v>
      </c>
      <c r="L483" s="1">
        <v>38.0</v>
      </c>
      <c r="M483" s="1">
        <v>34.0</v>
      </c>
      <c r="N483" s="1" t="s">
        <v>51</v>
      </c>
      <c r="O483" s="1">
        <v>46.0</v>
      </c>
      <c r="P483" s="1">
        <v>20.0</v>
      </c>
      <c r="Q483" s="1">
        <v>15.0</v>
      </c>
      <c r="R483" s="1">
        <v>26.0</v>
      </c>
      <c r="S483" s="1">
        <v>8.0</v>
      </c>
      <c r="T483" s="1" t="s">
        <v>52</v>
      </c>
      <c r="U483" s="1">
        <v>31.0</v>
      </c>
      <c r="V483" s="1">
        <v>15.0</v>
      </c>
      <c r="W483" s="1">
        <v>13.0</v>
      </c>
      <c r="X483" s="1">
        <v>16.0</v>
      </c>
      <c r="Y483" s="1">
        <v>15.0</v>
      </c>
      <c r="Z483" s="1" t="s">
        <v>53</v>
      </c>
      <c r="AA483" s="1">
        <v>19.0</v>
      </c>
      <c r="AB483" s="1">
        <v>12.0</v>
      </c>
      <c r="AC483" s="1">
        <v>10.0</v>
      </c>
      <c r="AD483" s="1">
        <v>7.0</v>
      </c>
      <c r="AE483" s="1">
        <v>6.0</v>
      </c>
      <c r="AF483" s="1" t="s">
        <v>54</v>
      </c>
      <c r="AG483" s="1">
        <v>25.0</v>
      </c>
      <c r="AH483" s="1">
        <v>12.0</v>
      </c>
      <c r="AI483" s="1">
        <v>9.0</v>
      </c>
      <c r="AJ483" s="1">
        <v>13.0</v>
      </c>
      <c r="AK483" s="1">
        <v>13.0</v>
      </c>
      <c r="AL483" s="1">
        <v>152.0</v>
      </c>
      <c r="AM483" s="1" t="s">
        <v>55</v>
      </c>
      <c r="AN483" s="1">
        <v>111.0</v>
      </c>
      <c r="AO483" s="1">
        <v>111.0</v>
      </c>
      <c r="AP483" s="1" t="s">
        <v>1726</v>
      </c>
      <c r="AQ483" s="3" t="str">
        <f>HYPERLINK("https://icf.clappia.com/app/GMB253374/submission/UNK92285142/ICF247370-GMB253374-2af2fcjd6eag80000000/SIG-20250702_0938hj64b.jpeg", "SIG-20250702_0938hj64b.jpeg")</f>
        <v>SIG-20250702_0938hj64b.jpeg</v>
      </c>
      <c r="AR483" s="1" t="s">
        <v>2557</v>
      </c>
      <c r="AS483" s="3" t="str">
        <f>HYPERLINK("https://icf.clappia.com/app/GMB253374/submission/UNK92285142/ICF247370-GMB253374-3ggag3l73lc800000000/SIG-20250702_0939138f3i.jpeg", "SIG-20250702_0939138f3i.jpeg")</f>
        <v>SIG-20250702_0939138f3i.jpeg</v>
      </c>
      <c r="AT483" s="1" t="s">
        <v>2558</v>
      </c>
      <c r="AU483" s="3" t="str">
        <f>HYPERLINK("https://icf.clappia.com/app/GMB253374/submission/UNK92285142/ICF247370-GMB253374-61deheg6f12400000000/SIG-20250702_0941101jon.jpeg", "SIG-20250702_0941101jon.jpeg")</f>
        <v>SIG-20250702_0941101jon.jpeg</v>
      </c>
      <c r="AV483" s="3" t="str">
        <f>HYPERLINK("https://www.google.com/maps/place/8.7486864%2C-12.0077561", "8.7486864,-12.0077561")</f>
        <v>8.7486864,-12.0077561</v>
      </c>
    </row>
    <row r="484" ht="15.75" customHeight="1">
      <c r="A484" s="1" t="s">
        <v>2559</v>
      </c>
      <c r="B484" s="1" t="s">
        <v>69</v>
      </c>
      <c r="C484" s="1" t="s">
        <v>2560</v>
      </c>
      <c r="D484" s="1" t="s">
        <v>2560</v>
      </c>
      <c r="E484" s="1" t="s">
        <v>2561</v>
      </c>
      <c r="F484" s="1" t="s">
        <v>64</v>
      </c>
      <c r="G484" s="1">
        <v>509.0</v>
      </c>
      <c r="H484" s="1" t="s">
        <v>50</v>
      </c>
      <c r="I484" s="1">
        <v>80.0</v>
      </c>
      <c r="J484" s="1">
        <v>40.0</v>
      </c>
      <c r="K484" s="1">
        <v>40.0</v>
      </c>
      <c r="L484" s="1">
        <v>40.0</v>
      </c>
      <c r="M484" s="1">
        <v>40.0</v>
      </c>
      <c r="N484" s="1" t="s">
        <v>51</v>
      </c>
      <c r="O484" s="1">
        <v>40.0</v>
      </c>
      <c r="P484" s="1">
        <v>25.0</v>
      </c>
      <c r="Q484" s="1">
        <v>25.0</v>
      </c>
      <c r="R484" s="1">
        <v>15.0</v>
      </c>
      <c r="S484" s="1">
        <v>15.0</v>
      </c>
      <c r="T484" s="1" t="s">
        <v>52</v>
      </c>
      <c r="U484" s="1">
        <v>59.0</v>
      </c>
      <c r="V484" s="1">
        <v>40.0</v>
      </c>
      <c r="W484" s="1">
        <v>40.0</v>
      </c>
      <c r="X484" s="1">
        <v>19.0</v>
      </c>
      <c r="Y484" s="1">
        <v>19.0</v>
      </c>
      <c r="Z484" s="1" t="s">
        <v>53</v>
      </c>
      <c r="AA484" s="1">
        <v>57.0</v>
      </c>
      <c r="AB484" s="1">
        <v>39.0</v>
      </c>
      <c r="AC484" s="1">
        <v>39.0</v>
      </c>
      <c r="AD484" s="1">
        <v>18.0</v>
      </c>
      <c r="AE484" s="1">
        <v>18.0</v>
      </c>
      <c r="AF484" s="1" t="s">
        <v>54</v>
      </c>
      <c r="AG484" s="1">
        <v>75.0</v>
      </c>
      <c r="AH484" s="1">
        <v>40.0</v>
      </c>
      <c r="AI484" s="1">
        <v>40.0</v>
      </c>
      <c r="AJ484" s="1">
        <v>35.0</v>
      </c>
      <c r="AK484" s="1">
        <v>35.0</v>
      </c>
      <c r="AL484" s="1">
        <v>311.0</v>
      </c>
      <c r="AM484" s="1" t="s">
        <v>55</v>
      </c>
      <c r="AN484" s="1">
        <v>198.0</v>
      </c>
      <c r="AO484" s="1">
        <v>30.0</v>
      </c>
      <c r="AP484" s="1" t="s">
        <v>2562</v>
      </c>
      <c r="AQ484" s="3" t="str">
        <f>HYPERLINK("https://icf.clappia.com/app/GMB253374/submission/NVD87118256/ICF247370-GMB253374-12m633ja75mb80000000/SIG-20250630_1219dd4l1.jpeg", "SIG-20250630_1219dd4l1.jpeg")</f>
        <v>SIG-20250630_1219dd4l1.jpeg</v>
      </c>
      <c r="AR484" s="1" t="s">
        <v>2563</v>
      </c>
      <c r="AS484" s="3" t="str">
        <f>HYPERLINK("https://icf.clappia.com/app/GMB253374/submission/NVD87118256/ICF247370-GMB253374-5ngpmdm59b9600000000/SIG-20250630_1220p6hli.jpeg", "SIG-20250630_1220p6hli.jpeg")</f>
        <v>SIG-20250630_1220p6hli.jpeg</v>
      </c>
      <c r="AT484" s="1" t="s">
        <v>2564</v>
      </c>
      <c r="AU484" s="3" t="str">
        <f>HYPERLINK("https://icf.clappia.com/app/GMB253374/submission/NVD87118256/ICF247370-GMB253374-1dkbh5onelp0e0000000/SIG-20250630_1221klfk9.jpeg", "SIG-20250630_1221klfk9.jpeg")</f>
        <v>SIG-20250630_1221klfk9.jpeg</v>
      </c>
      <c r="AV484" s="3" t="str">
        <f>HYPERLINK("https://www.google.com/maps/place/8.8793182%2C-12.0873609", "8.8793182,-12.0873609")</f>
        <v>8.8793182,-12.0873609</v>
      </c>
    </row>
    <row r="485" ht="15.75" customHeight="1">
      <c r="A485" s="1" t="s">
        <v>2565</v>
      </c>
      <c r="B485" s="1" t="s">
        <v>60</v>
      </c>
      <c r="C485" s="1" t="s">
        <v>2566</v>
      </c>
      <c r="D485" s="1" t="s">
        <v>2567</v>
      </c>
      <c r="E485" s="1" t="s">
        <v>2568</v>
      </c>
      <c r="F485" s="1" t="s">
        <v>49</v>
      </c>
      <c r="G485" s="1">
        <v>250.0</v>
      </c>
      <c r="H485" s="1" t="s">
        <v>50</v>
      </c>
      <c r="I485" s="1">
        <v>38.0</v>
      </c>
      <c r="J485" s="1">
        <v>23.0</v>
      </c>
      <c r="K485" s="1">
        <v>23.0</v>
      </c>
      <c r="L485" s="1">
        <v>15.0</v>
      </c>
      <c r="M485" s="1">
        <v>15.0</v>
      </c>
      <c r="N485" s="1" t="s">
        <v>51</v>
      </c>
      <c r="O485" s="1">
        <v>43.0</v>
      </c>
      <c r="P485" s="1">
        <v>20.0</v>
      </c>
      <c r="Q485" s="1">
        <v>20.0</v>
      </c>
      <c r="R485" s="1">
        <v>23.0</v>
      </c>
      <c r="S485" s="1">
        <v>23.0</v>
      </c>
      <c r="T485" s="1" t="s">
        <v>52</v>
      </c>
      <c r="U485" s="1">
        <v>57.0</v>
      </c>
      <c r="V485" s="1">
        <v>30.0</v>
      </c>
      <c r="W485" s="1">
        <v>30.0</v>
      </c>
      <c r="X485" s="1">
        <v>27.0</v>
      </c>
      <c r="Y485" s="1">
        <v>27.0</v>
      </c>
      <c r="Z485" s="1" t="s">
        <v>53</v>
      </c>
      <c r="AA485" s="1">
        <v>48.0</v>
      </c>
      <c r="AB485" s="1">
        <v>22.0</v>
      </c>
      <c r="AC485" s="1">
        <v>22.0</v>
      </c>
      <c r="AD485" s="1">
        <v>26.0</v>
      </c>
      <c r="AE485" s="1">
        <v>26.0</v>
      </c>
      <c r="AF485" s="1" t="s">
        <v>54</v>
      </c>
      <c r="AG485" s="1">
        <v>48.0</v>
      </c>
      <c r="AH485" s="1">
        <v>20.0</v>
      </c>
      <c r="AI485" s="1">
        <v>20.0</v>
      </c>
      <c r="AJ485" s="1">
        <v>28.0</v>
      </c>
      <c r="AK485" s="1">
        <v>28.0</v>
      </c>
      <c r="AL485" s="1">
        <v>234.0</v>
      </c>
      <c r="AM485" s="1">
        <v>8.0</v>
      </c>
      <c r="AN485" s="1">
        <v>8.0</v>
      </c>
      <c r="AO485" s="1">
        <v>8.0</v>
      </c>
      <c r="AP485" s="1" t="s">
        <v>2569</v>
      </c>
      <c r="AQ485" s="3" t="str">
        <f>HYPERLINK("https://icf.clappia.com/app/GMB253374/submission/QBN22242262/ICF247370-GMB253374-247d4mf3e1o0o0000000/SIG-20250701_1224k2dg7.jpeg", "SIG-20250701_1224k2dg7.jpeg")</f>
        <v>SIG-20250701_1224k2dg7.jpeg</v>
      </c>
      <c r="AR485" s="1" t="s">
        <v>2570</v>
      </c>
      <c r="AS485" s="3" t="str">
        <f>HYPERLINK("https://icf.clappia.com/app/GMB253374/submission/QBN22242262/ICF247370-GMB253374-5gbbgh76oi0000000000/SIG-20250701_1225b9149.jpeg", "SIG-20250701_1225b9149.jpeg")</f>
        <v>SIG-20250701_1225b9149.jpeg</v>
      </c>
      <c r="AT485" s="1" t="s">
        <v>67</v>
      </c>
      <c r="AU485" s="3" t="str">
        <f>HYPERLINK("https://icf.clappia.com/app/GMB253374/submission/QBN22242262/ICF247370-GMB253374-kdag6mk89ddi0000000/SIG-20250701_1229ap8e5.jpeg", "SIG-20250701_1229ap8e5.jpeg")</f>
        <v>SIG-20250701_1229ap8e5.jpeg</v>
      </c>
      <c r="AV485" s="3" t="str">
        <f>HYPERLINK("https://www.google.com/maps/place/8.99713%2C-12.1264967", "8.99713,-12.1264967")</f>
        <v>8.99713,-12.1264967</v>
      </c>
    </row>
    <row r="486" ht="15.75" customHeight="1">
      <c r="A486" s="1" t="s">
        <v>2571</v>
      </c>
      <c r="B486" s="1" t="s">
        <v>60</v>
      </c>
      <c r="C486" s="1" t="s">
        <v>2572</v>
      </c>
      <c r="D486" s="1" t="s">
        <v>2567</v>
      </c>
      <c r="E486" s="1" t="s">
        <v>2573</v>
      </c>
      <c r="F486" s="1" t="s">
        <v>64</v>
      </c>
      <c r="G486" s="1">
        <v>200.0</v>
      </c>
      <c r="H486" s="1" t="s">
        <v>50</v>
      </c>
      <c r="I486" s="1">
        <v>50.0</v>
      </c>
      <c r="J486" s="1">
        <v>28.0</v>
      </c>
      <c r="K486" s="1">
        <v>25.0</v>
      </c>
      <c r="L486" s="1">
        <v>22.0</v>
      </c>
      <c r="M486" s="1">
        <v>22.0</v>
      </c>
      <c r="N486" s="1" t="s">
        <v>51</v>
      </c>
      <c r="O486" s="1">
        <v>39.0</v>
      </c>
      <c r="P486" s="1">
        <v>18.0</v>
      </c>
      <c r="Q486" s="1">
        <v>17.0</v>
      </c>
      <c r="R486" s="1">
        <v>21.0</v>
      </c>
      <c r="S486" s="1">
        <v>20.0</v>
      </c>
      <c r="T486" s="1" t="s">
        <v>52</v>
      </c>
      <c r="U486" s="1">
        <v>31.0</v>
      </c>
      <c r="V486" s="1">
        <v>19.0</v>
      </c>
      <c r="W486" s="1">
        <v>18.0</v>
      </c>
      <c r="X486" s="1">
        <v>12.0</v>
      </c>
      <c r="Y486" s="1">
        <v>10.0</v>
      </c>
      <c r="Z486" s="1" t="s">
        <v>53</v>
      </c>
      <c r="AA486" s="1">
        <v>31.0</v>
      </c>
      <c r="AB486" s="1">
        <v>15.0</v>
      </c>
      <c r="AC486" s="1">
        <v>13.0</v>
      </c>
      <c r="AD486" s="1">
        <v>16.0</v>
      </c>
      <c r="AE486" s="1">
        <v>16.0</v>
      </c>
      <c r="AF486" s="1" t="s">
        <v>54</v>
      </c>
      <c r="AG486" s="1">
        <v>33.0</v>
      </c>
      <c r="AH486" s="1">
        <v>16.0</v>
      </c>
      <c r="AI486" s="1">
        <v>14.0</v>
      </c>
      <c r="AJ486" s="1">
        <v>17.0</v>
      </c>
      <c r="AK486" s="1">
        <v>16.0</v>
      </c>
      <c r="AL486" s="1">
        <v>171.0</v>
      </c>
      <c r="AM486" s="1">
        <v>10.0</v>
      </c>
      <c r="AN486" s="1">
        <v>19.0</v>
      </c>
      <c r="AO486" s="1">
        <v>19.0</v>
      </c>
      <c r="AP486" s="1" t="s">
        <v>1238</v>
      </c>
      <c r="AQ486" s="3" t="str">
        <f>HYPERLINK("https://icf.clappia.com/app/GMB253374/submission/HYA27624368/ICF247370-GMB253374-3a9geln3m8ao00000000/SIG-20250630_1434o4ep1.jpeg", "SIG-20250630_1434o4ep1.jpeg")</f>
        <v>SIG-20250630_1434o4ep1.jpeg</v>
      </c>
      <c r="AR486" s="1" t="s">
        <v>2574</v>
      </c>
      <c r="AS486" s="3" t="str">
        <f>HYPERLINK("https://icf.clappia.com/app/GMB253374/submission/HYA27624368/ICF247370-GMB253374-48f0jofdoi3o00000000/SIG-20250630_143315a4dk.jpeg", "SIG-20250630_143315a4dk.jpeg")</f>
        <v>SIG-20250630_143315a4dk.jpeg</v>
      </c>
      <c r="AT486" s="1" t="s">
        <v>2575</v>
      </c>
      <c r="AU486" s="3" t="str">
        <f>HYPERLINK("https://icf.clappia.com/app/GMB253374/submission/HYA27624368/ICF247370-GMB253374-1jp2g1886a5fm0000000/SIG-20250630_14333eo4n.jpeg", "SIG-20250630_14333eo4n.jpeg")</f>
        <v>SIG-20250630_14333eo4n.jpeg</v>
      </c>
      <c r="AV486" s="3" t="str">
        <f>HYPERLINK("https://www.google.com/maps/place/8.9946667%2C-12.1102783", "8.9946667,-12.1102783")</f>
        <v>8.9946667,-12.1102783</v>
      </c>
    </row>
    <row r="487" ht="15.75" customHeight="1">
      <c r="A487" s="1" t="s">
        <v>2576</v>
      </c>
      <c r="B487" s="1" t="s">
        <v>215</v>
      </c>
      <c r="C487" s="1" t="s">
        <v>2577</v>
      </c>
      <c r="D487" s="1" t="s">
        <v>2578</v>
      </c>
      <c r="E487" s="1" t="s">
        <v>2579</v>
      </c>
      <c r="F487" s="1" t="s">
        <v>64</v>
      </c>
      <c r="G487" s="1">
        <v>200.0</v>
      </c>
      <c r="H487" s="1" t="s">
        <v>50</v>
      </c>
      <c r="I487" s="1">
        <v>59.0</v>
      </c>
      <c r="J487" s="1">
        <v>29.0</v>
      </c>
      <c r="K487" s="1">
        <v>29.0</v>
      </c>
      <c r="L487" s="1">
        <v>30.0</v>
      </c>
      <c r="M487" s="1">
        <v>30.0</v>
      </c>
      <c r="N487" s="1" t="s">
        <v>51</v>
      </c>
      <c r="O487" s="1">
        <v>39.0</v>
      </c>
      <c r="P487" s="1">
        <v>13.0</v>
      </c>
      <c r="Q487" s="1">
        <v>13.0</v>
      </c>
      <c r="R487" s="1">
        <v>26.0</v>
      </c>
      <c r="S487" s="1">
        <v>26.0</v>
      </c>
      <c r="T487" s="1" t="s">
        <v>52</v>
      </c>
      <c r="U487" s="1">
        <v>40.0</v>
      </c>
      <c r="V487" s="1">
        <v>20.0</v>
      </c>
      <c r="W487" s="1">
        <v>20.0</v>
      </c>
      <c r="X487" s="1">
        <v>20.0</v>
      </c>
      <c r="Y487" s="1">
        <v>20.0</v>
      </c>
      <c r="Z487" s="1" t="s">
        <v>53</v>
      </c>
      <c r="AA487" s="1">
        <v>17.0</v>
      </c>
      <c r="AB487" s="1">
        <v>11.0</v>
      </c>
      <c r="AC487" s="1">
        <v>11.0</v>
      </c>
      <c r="AD487" s="1">
        <v>6.0</v>
      </c>
      <c r="AE487" s="1">
        <v>6.0</v>
      </c>
      <c r="AF487" s="1" t="s">
        <v>54</v>
      </c>
      <c r="AG487" s="1">
        <v>19.0</v>
      </c>
      <c r="AH487" s="1">
        <v>11.0</v>
      </c>
      <c r="AI487" s="1">
        <v>11.0</v>
      </c>
      <c r="AJ487" s="1">
        <v>8.0</v>
      </c>
      <c r="AK487" s="1">
        <v>8.0</v>
      </c>
      <c r="AL487" s="1">
        <v>174.0</v>
      </c>
      <c r="AM487" s="1" t="s">
        <v>55</v>
      </c>
      <c r="AN487" s="1">
        <v>26.0</v>
      </c>
      <c r="AO487" s="1">
        <v>26.0</v>
      </c>
      <c r="AP487" s="1" t="s">
        <v>2580</v>
      </c>
      <c r="AQ487" s="3" t="str">
        <f>HYPERLINK("https://icf.clappia.com/app/GMB253374/submission/LRK34797068/ICF247370-GMB253374-5i7985mgc58000000000/SIG-20250702_0927li2j1.jpeg", "SIG-20250702_0927li2j1.jpeg")</f>
        <v>SIG-20250702_0927li2j1.jpeg</v>
      </c>
      <c r="AR487" s="1" t="s">
        <v>2581</v>
      </c>
      <c r="AS487" s="3" t="str">
        <f>HYPERLINK("https://icf.clappia.com/app/GMB253374/submission/LRK34797068/ICF247370-GMB253374-1fdep0jigabb60000000/SIG-20250702_09286ik4e.jpeg", "SIG-20250702_09286ik4e.jpeg")</f>
        <v>SIG-20250702_09286ik4e.jpeg</v>
      </c>
      <c r="AT487" s="1" t="s">
        <v>2582</v>
      </c>
      <c r="AU487" s="3" t="str">
        <f>HYPERLINK("https://icf.clappia.com/app/GMB253374/submission/LRK34797068/ICF247370-GMB253374-68648ol45imo00000000/SIG-20250702_09288ldic.jpeg", "SIG-20250702_09288ldic.jpeg")</f>
        <v>SIG-20250702_09288ldic.jpeg</v>
      </c>
      <c r="AV487" s="3" t="str">
        <f>HYPERLINK("https://www.google.com/maps/place/8.6444918%2C-12.2283243", "8.6444918,-12.2283243")</f>
        <v>8.6444918,-12.2283243</v>
      </c>
    </row>
    <row r="488" ht="15.75" customHeight="1">
      <c r="A488" s="1" t="s">
        <v>2583</v>
      </c>
      <c r="B488" s="1" t="s">
        <v>142</v>
      </c>
      <c r="C488" s="1" t="s">
        <v>2584</v>
      </c>
      <c r="D488" s="1" t="s">
        <v>2584</v>
      </c>
      <c r="E488" s="1" t="s">
        <v>2585</v>
      </c>
      <c r="F488" s="1" t="s">
        <v>64</v>
      </c>
      <c r="G488" s="1">
        <v>157.0</v>
      </c>
      <c r="H488" s="1" t="s">
        <v>50</v>
      </c>
      <c r="I488" s="1">
        <v>40.0</v>
      </c>
      <c r="J488" s="1">
        <v>21.0</v>
      </c>
      <c r="K488" s="1">
        <v>21.0</v>
      </c>
      <c r="L488" s="1">
        <v>19.0</v>
      </c>
      <c r="M488" s="1">
        <v>19.0</v>
      </c>
      <c r="N488" s="1" t="s">
        <v>51</v>
      </c>
      <c r="O488" s="1">
        <v>32.0</v>
      </c>
      <c r="P488" s="1">
        <v>14.0</v>
      </c>
      <c r="Q488" s="1">
        <v>14.0</v>
      </c>
      <c r="R488" s="1">
        <v>18.0</v>
      </c>
      <c r="S488" s="1">
        <v>18.0</v>
      </c>
      <c r="T488" s="1" t="s">
        <v>52</v>
      </c>
      <c r="U488" s="1">
        <v>30.0</v>
      </c>
      <c r="V488" s="1">
        <v>15.0</v>
      </c>
      <c r="W488" s="1">
        <v>15.0</v>
      </c>
      <c r="X488" s="1">
        <v>15.0</v>
      </c>
      <c r="Y488" s="1">
        <v>15.0</v>
      </c>
      <c r="Z488" s="1" t="s">
        <v>53</v>
      </c>
      <c r="AA488" s="1">
        <v>29.0</v>
      </c>
      <c r="AB488" s="1">
        <v>16.0</v>
      </c>
      <c r="AC488" s="1">
        <v>16.0</v>
      </c>
      <c r="AD488" s="1">
        <v>13.0</v>
      </c>
      <c r="AE488" s="1">
        <v>13.0</v>
      </c>
      <c r="AF488" s="1" t="s">
        <v>54</v>
      </c>
      <c r="AG488" s="1">
        <v>26.0</v>
      </c>
      <c r="AH488" s="1">
        <v>12.0</v>
      </c>
      <c r="AI488" s="1">
        <v>12.0</v>
      </c>
      <c r="AJ488" s="1">
        <v>14.0</v>
      </c>
      <c r="AK488" s="1">
        <v>14.0</v>
      </c>
      <c r="AL488" s="1">
        <v>157.0</v>
      </c>
      <c r="AM488" s="1" t="s">
        <v>55</v>
      </c>
      <c r="AN488" s="1" t="s">
        <v>55</v>
      </c>
      <c r="AO488" s="1" t="s">
        <v>55</v>
      </c>
      <c r="AP488" s="1" t="s">
        <v>1796</v>
      </c>
      <c r="AQ488" s="3" t="str">
        <f>HYPERLINK("https://icf.clappia.com/app/GMB253374/submission/EVZ18497633/ICF247370-GMB253374-29jl43di311ha0000000/SIG-20250702_0925199o7l.jpeg", "SIG-20250702_0925199o7l.jpeg")</f>
        <v>SIG-20250702_0925199o7l.jpeg</v>
      </c>
      <c r="AR488" s="1" t="s">
        <v>2586</v>
      </c>
      <c r="AS488" s="3" t="str">
        <f>HYPERLINK("https://icf.clappia.com/app/GMB253374/submission/EVZ18497633/ICF247370-GMB253374-3okph41a8ph400000000/SIG-20250702_0926b9c2n.jpeg", "SIG-20250702_0926b9c2n.jpeg")</f>
        <v>SIG-20250702_0926b9c2n.jpeg</v>
      </c>
      <c r="AT488" s="1" t="s">
        <v>2587</v>
      </c>
      <c r="AU488" s="3" t="str">
        <f>HYPERLINK("https://icf.clappia.com/app/GMB253374/submission/EVZ18497633/ICF247370-GMB253374-4nf1h2g49dem00000000/SIG-20250702_0926106e35.jpeg", "SIG-20250702_0926106e35.jpeg")</f>
        <v>SIG-20250702_0926106e35.jpeg</v>
      </c>
      <c r="AV488" s="3" t="str">
        <f>HYPERLINK("https://www.google.com/maps/place/7.8923233%2C-11.8996877", "7.8923233,-11.8996877")</f>
        <v>7.8923233,-11.8996877</v>
      </c>
    </row>
    <row r="489" ht="15.75" customHeight="1">
      <c r="A489" s="1" t="s">
        <v>2588</v>
      </c>
      <c r="B489" s="1" t="s">
        <v>46</v>
      </c>
      <c r="C489" s="1" t="s">
        <v>2589</v>
      </c>
      <c r="D489" s="1" t="s">
        <v>2589</v>
      </c>
      <c r="E489" s="1" t="s">
        <v>2590</v>
      </c>
      <c r="F489" s="1" t="s">
        <v>64</v>
      </c>
      <c r="G489" s="1">
        <v>75.0</v>
      </c>
      <c r="H489" s="1" t="s">
        <v>50</v>
      </c>
      <c r="I489" s="1">
        <v>21.0</v>
      </c>
      <c r="J489" s="1">
        <v>11.0</v>
      </c>
      <c r="K489" s="1">
        <v>11.0</v>
      </c>
      <c r="L489" s="1">
        <v>10.0</v>
      </c>
      <c r="M489" s="1">
        <v>10.0</v>
      </c>
      <c r="N489" s="1" t="s">
        <v>51</v>
      </c>
      <c r="O489" s="1">
        <v>15.0</v>
      </c>
      <c r="P489" s="1">
        <v>8.0</v>
      </c>
      <c r="Q489" s="1">
        <v>8.0</v>
      </c>
      <c r="R489" s="1">
        <v>7.0</v>
      </c>
      <c r="S489" s="1">
        <v>7.0</v>
      </c>
      <c r="T489" s="1" t="s">
        <v>52</v>
      </c>
      <c r="U489" s="1">
        <v>12.0</v>
      </c>
      <c r="V489" s="1">
        <v>6.0</v>
      </c>
      <c r="W489" s="1">
        <v>6.0</v>
      </c>
      <c r="X489" s="1">
        <v>6.0</v>
      </c>
      <c r="Y489" s="1">
        <v>6.0</v>
      </c>
      <c r="Z489" s="1" t="s">
        <v>53</v>
      </c>
      <c r="AA489" s="1">
        <v>14.0</v>
      </c>
      <c r="AB489" s="1">
        <v>6.0</v>
      </c>
      <c r="AC489" s="1">
        <v>6.0</v>
      </c>
      <c r="AD489" s="1">
        <v>8.0</v>
      </c>
      <c r="AE489" s="1">
        <v>8.0</v>
      </c>
      <c r="AF489" s="1" t="s">
        <v>54</v>
      </c>
      <c r="AG489" s="1">
        <v>13.0</v>
      </c>
      <c r="AH489" s="1">
        <v>8.0</v>
      </c>
      <c r="AI489" s="1">
        <v>8.0</v>
      </c>
      <c r="AJ489" s="1">
        <v>5.0</v>
      </c>
      <c r="AK489" s="1">
        <v>5.0</v>
      </c>
      <c r="AL489" s="1">
        <v>75.0</v>
      </c>
      <c r="AM489" s="1" t="s">
        <v>55</v>
      </c>
      <c r="AN489" s="1" t="s">
        <v>55</v>
      </c>
      <c r="AO489" s="1" t="s">
        <v>55</v>
      </c>
      <c r="AP489" s="1" t="s">
        <v>2591</v>
      </c>
      <c r="AQ489" s="3" t="str">
        <f>HYPERLINK("https://icf.clappia.com/app/GMB253374/submission/KZT11159606/ICF247370-GMB253374-2d5oi8ei7h6k00000000/SIG-20250701_12012fjk2.jpeg", "SIG-20250701_12012fjk2.jpeg")</f>
        <v>SIG-20250701_12012fjk2.jpeg</v>
      </c>
      <c r="AR489" s="1" t="s">
        <v>2592</v>
      </c>
      <c r="AS489" s="3" t="str">
        <f>HYPERLINK("https://icf.clappia.com/app/GMB253374/submission/KZT11159606/ICF247370-GMB253374-5hk51615d1ok00000000/SIG-20250701_12025pmee.jpeg", "SIG-20250701_12025pmee.jpeg")</f>
        <v>SIG-20250701_12025pmee.jpeg</v>
      </c>
      <c r="AT489" s="1" t="s">
        <v>2593</v>
      </c>
      <c r="AU489" s="3" t="str">
        <f>HYPERLINK("https://icf.clappia.com/app/GMB253374/submission/KZT11159606/ICF247370-GMB253374-4877i66j129i00000000/SIG-20250701_1109eih3p.jpeg", "SIG-20250701_1109eih3p.jpeg")</f>
        <v>SIG-20250701_1109eih3p.jpeg</v>
      </c>
      <c r="AV489" s="3" t="str">
        <f>HYPERLINK("https://www.google.com/maps/place/8.919513%2C-12.0310886", "8.919513,-12.0310886")</f>
        <v>8.919513,-12.0310886</v>
      </c>
    </row>
    <row r="490" ht="15.75" customHeight="1">
      <c r="A490" s="1" t="s">
        <v>2594</v>
      </c>
      <c r="B490" s="1" t="s">
        <v>46</v>
      </c>
      <c r="C490" s="1" t="s">
        <v>2595</v>
      </c>
      <c r="D490" s="1" t="s">
        <v>2595</v>
      </c>
      <c r="E490" s="1" t="s">
        <v>2596</v>
      </c>
      <c r="F490" s="1" t="s">
        <v>64</v>
      </c>
      <c r="G490" s="1">
        <v>200.0</v>
      </c>
      <c r="H490" s="1" t="s">
        <v>50</v>
      </c>
      <c r="I490" s="1">
        <v>39.0</v>
      </c>
      <c r="J490" s="1">
        <v>26.0</v>
      </c>
      <c r="K490" s="1">
        <v>21.0</v>
      </c>
      <c r="L490" s="1">
        <v>13.0</v>
      </c>
      <c r="M490" s="1">
        <v>12.0</v>
      </c>
      <c r="N490" s="1" t="s">
        <v>51</v>
      </c>
      <c r="O490" s="1">
        <v>41.0</v>
      </c>
      <c r="P490" s="1">
        <v>25.0</v>
      </c>
      <c r="Q490" s="1">
        <v>24.0</v>
      </c>
      <c r="R490" s="1">
        <v>16.0</v>
      </c>
      <c r="S490" s="1">
        <v>16.0</v>
      </c>
      <c r="T490" s="1" t="s">
        <v>52</v>
      </c>
      <c r="U490" s="1">
        <v>50.0</v>
      </c>
      <c r="V490" s="1">
        <v>27.0</v>
      </c>
      <c r="W490" s="1">
        <v>25.0</v>
      </c>
      <c r="X490" s="1">
        <v>23.0</v>
      </c>
      <c r="Y490" s="1">
        <v>23.0</v>
      </c>
      <c r="Z490" s="1" t="s">
        <v>53</v>
      </c>
      <c r="AA490" s="1">
        <v>33.0</v>
      </c>
      <c r="AB490" s="1">
        <v>18.0</v>
      </c>
      <c r="AC490" s="1">
        <v>18.0</v>
      </c>
      <c r="AD490" s="1">
        <v>15.0</v>
      </c>
      <c r="AE490" s="1">
        <v>15.0</v>
      </c>
      <c r="AF490" s="1" t="s">
        <v>54</v>
      </c>
      <c r="AG490" s="1">
        <v>35.0</v>
      </c>
      <c r="AH490" s="1">
        <v>23.0</v>
      </c>
      <c r="AI490" s="1">
        <v>19.0</v>
      </c>
      <c r="AJ490" s="1">
        <v>12.0</v>
      </c>
      <c r="AK490" s="1">
        <v>12.0</v>
      </c>
      <c r="AL490" s="1">
        <v>185.0</v>
      </c>
      <c r="AM490" s="1" t="s">
        <v>55</v>
      </c>
      <c r="AN490" s="1">
        <v>15.0</v>
      </c>
      <c r="AO490" s="1">
        <v>15.0</v>
      </c>
      <c r="AP490" s="1" t="s">
        <v>1666</v>
      </c>
      <c r="AQ490" s="3" t="str">
        <f>HYPERLINK("https://icf.clappia.com/app/GMB253374/submission/QQV02506551/ICF247370-GMB253374-576imkle0ob600000000/SIG-20250701_1352ene72.jpeg", "SIG-20250701_1352ene72.jpeg")</f>
        <v>SIG-20250701_1352ene72.jpeg</v>
      </c>
      <c r="AR490" s="1" t="s">
        <v>1469</v>
      </c>
      <c r="AS490" s="3" t="str">
        <f>HYPERLINK("https://icf.clappia.com/app/GMB253374/submission/QQV02506551/ICF247370-GMB253374-288g3cnkecpc40000000/SIG-20250701_1352p47jg.jpeg", "SIG-20250701_1352p47jg.jpeg")</f>
        <v>SIG-20250701_1352p47jg.jpeg</v>
      </c>
      <c r="AT490" s="1" t="s">
        <v>1667</v>
      </c>
      <c r="AU490" s="3" t="str">
        <f>HYPERLINK("https://icf.clappia.com/app/GMB253374/submission/QQV02506551/ICF247370-GMB253374-2fhf9nc6678200000000/SIG-20250701_13538kjjf.jpeg", "SIG-20250701_13538kjjf.jpeg")</f>
        <v>SIG-20250701_13538kjjf.jpeg</v>
      </c>
      <c r="AV490" s="3" t="str">
        <f>HYPERLINK("https://www.google.com/maps/place/8.917065%2C-12.0313767", "8.917065,-12.0313767")</f>
        <v>8.917065,-12.0313767</v>
      </c>
    </row>
    <row r="491" ht="15.75" customHeight="1">
      <c r="A491" s="1" t="s">
        <v>2597</v>
      </c>
      <c r="B491" s="1" t="s">
        <v>142</v>
      </c>
      <c r="C491" s="1" t="s">
        <v>2598</v>
      </c>
      <c r="D491" s="1" t="s">
        <v>2598</v>
      </c>
      <c r="E491" s="1" t="s">
        <v>2599</v>
      </c>
      <c r="F491" s="1" t="s">
        <v>64</v>
      </c>
      <c r="G491" s="1">
        <v>190.0</v>
      </c>
      <c r="H491" s="1" t="s">
        <v>50</v>
      </c>
      <c r="I491" s="1">
        <v>32.0</v>
      </c>
      <c r="J491" s="1">
        <v>12.0</v>
      </c>
      <c r="K491" s="1">
        <v>12.0</v>
      </c>
      <c r="L491" s="1">
        <v>20.0</v>
      </c>
      <c r="M491" s="1">
        <v>20.0</v>
      </c>
      <c r="N491" s="1" t="s">
        <v>51</v>
      </c>
      <c r="O491" s="1">
        <v>18.0</v>
      </c>
      <c r="P491" s="1">
        <v>8.0</v>
      </c>
      <c r="Q491" s="1">
        <v>8.0</v>
      </c>
      <c r="R491" s="1">
        <v>10.0</v>
      </c>
      <c r="S491" s="1">
        <v>10.0</v>
      </c>
      <c r="T491" s="1" t="s">
        <v>52</v>
      </c>
      <c r="U491" s="1">
        <v>31.0</v>
      </c>
      <c r="V491" s="1">
        <v>15.0</v>
      </c>
      <c r="W491" s="1">
        <v>15.0</v>
      </c>
      <c r="X491" s="1">
        <v>16.0</v>
      </c>
      <c r="Y491" s="1">
        <v>16.0</v>
      </c>
      <c r="Z491" s="1" t="s">
        <v>53</v>
      </c>
      <c r="AA491" s="1">
        <v>25.0</v>
      </c>
      <c r="AB491" s="1">
        <v>9.0</v>
      </c>
      <c r="AC491" s="1">
        <v>9.0</v>
      </c>
      <c r="AD491" s="1">
        <v>16.0</v>
      </c>
      <c r="AE491" s="1">
        <v>16.0</v>
      </c>
      <c r="AF491" s="1" t="s">
        <v>54</v>
      </c>
      <c r="AG491" s="1">
        <v>33.0</v>
      </c>
      <c r="AH491" s="1">
        <v>19.0</v>
      </c>
      <c r="AI491" s="1">
        <v>19.0</v>
      </c>
      <c r="AJ491" s="1">
        <v>14.0</v>
      </c>
      <c r="AK491" s="1">
        <v>14.0</v>
      </c>
      <c r="AL491" s="1">
        <v>139.0</v>
      </c>
      <c r="AM491" s="1" t="s">
        <v>55</v>
      </c>
      <c r="AN491" s="1">
        <v>51.0</v>
      </c>
      <c r="AO491" s="1">
        <v>51.0</v>
      </c>
      <c r="AP491" s="1" t="s">
        <v>447</v>
      </c>
      <c r="AQ491" s="3" t="str">
        <f>HYPERLINK("https://icf.clappia.com/app/GMB253374/submission/CDC55827789/ICF247370-GMB253374-60heeelibpea00000000/SIG-20250702_0917alnip.jpeg", "SIG-20250702_0917alnip.jpeg")</f>
        <v>SIG-20250702_0917alnip.jpeg</v>
      </c>
      <c r="AR491" s="1" t="s">
        <v>1797</v>
      </c>
      <c r="AS491" s="3" t="str">
        <f>HYPERLINK("https://icf.clappia.com/app/GMB253374/submission/CDC55827789/ICF247370-GMB253374-248jeooe3730c0000000/SIG-20250702_0917op7b7.jpeg", "SIG-20250702_0917op7b7.jpeg")</f>
        <v>SIG-20250702_0917op7b7.jpeg</v>
      </c>
      <c r="AT491" s="1" t="s">
        <v>449</v>
      </c>
      <c r="AU491" s="3" t="str">
        <f>HYPERLINK("https://icf.clappia.com/app/GMB253374/submission/CDC55827789/ICF247370-GMB253374-3jec3h4i225800000000/SIG-20250702_091814kfk5.jpeg", "SIG-20250702_091814kfk5.jpeg")</f>
        <v>SIG-20250702_091814kfk5.jpeg</v>
      </c>
      <c r="AV491" s="3" t="str">
        <f>HYPERLINK("https://www.google.com/maps/place/7.8912396%2C-11.9025396", "7.8912396,-11.9025396")</f>
        <v>7.8912396,-11.9025396</v>
      </c>
    </row>
    <row r="492" ht="15.75" customHeight="1">
      <c r="A492" s="1" t="s">
        <v>2600</v>
      </c>
      <c r="B492" s="1" t="s">
        <v>278</v>
      </c>
      <c r="C492" s="1" t="s">
        <v>2601</v>
      </c>
      <c r="D492" s="1" t="s">
        <v>2601</v>
      </c>
      <c r="E492" s="1" t="s">
        <v>2602</v>
      </c>
      <c r="F492" s="1" t="s">
        <v>64</v>
      </c>
      <c r="G492" s="1">
        <v>400.0</v>
      </c>
      <c r="H492" s="1" t="s">
        <v>50</v>
      </c>
      <c r="I492" s="1">
        <v>139.0</v>
      </c>
      <c r="J492" s="1">
        <v>64.0</v>
      </c>
      <c r="K492" s="1">
        <v>64.0</v>
      </c>
      <c r="L492" s="1">
        <v>75.0</v>
      </c>
      <c r="M492" s="1">
        <v>75.0</v>
      </c>
      <c r="N492" s="1" t="s">
        <v>51</v>
      </c>
      <c r="O492" s="1">
        <v>89.0</v>
      </c>
      <c r="P492" s="1">
        <v>44.0</v>
      </c>
      <c r="Q492" s="1">
        <v>44.0</v>
      </c>
      <c r="R492" s="1">
        <v>45.0</v>
      </c>
      <c r="S492" s="1">
        <v>45.0</v>
      </c>
      <c r="T492" s="1" t="s">
        <v>52</v>
      </c>
      <c r="U492" s="1">
        <v>60.0</v>
      </c>
      <c r="V492" s="1">
        <v>37.0</v>
      </c>
      <c r="W492" s="1">
        <v>37.0</v>
      </c>
      <c r="X492" s="1">
        <v>23.0</v>
      </c>
      <c r="Y492" s="1">
        <v>23.0</v>
      </c>
      <c r="Z492" s="1" t="s">
        <v>53</v>
      </c>
      <c r="AA492" s="1">
        <v>57.0</v>
      </c>
      <c r="AB492" s="1">
        <v>30.0</v>
      </c>
      <c r="AC492" s="1">
        <v>30.0</v>
      </c>
      <c r="AD492" s="1">
        <v>27.0</v>
      </c>
      <c r="AE492" s="1">
        <v>27.0</v>
      </c>
      <c r="AF492" s="1" t="s">
        <v>54</v>
      </c>
      <c r="AG492" s="1">
        <v>55.0</v>
      </c>
      <c r="AH492" s="1">
        <v>30.0</v>
      </c>
      <c r="AI492" s="1">
        <v>28.0</v>
      </c>
      <c r="AJ492" s="1">
        <v>25.0</v>
      </c>
      <c r="AK492" s="1">
        <v>22.0</v>
      </c>
      <c r="AL492" s="1">
        <v>395.0</v>
      </c>
      <c r="AM492" s="1" t="s">
        <v>55</v>
      </c>
      <c r="AN492" s="1">
        <v>5.0</v>
      </c>
      <c r="AO492" s="1">
        <v>5.0</v>
      </c>
      <c r="AP492" s="1" t="s">
        <v>2603</v>
      </c>
      <c r="AQ492" s="3" t="str">
        <f>HYPERLINK("https://icf.clappia.com/app/GMB253374/submission/MXE74470988/ICF247370-GMB253374-18e8l5ng5pele000000/SIG-20250630_104414hje4.jpeg", "SIG-20250630_104414hje4.jpeg")</f>
        <v>SIG-20250630_104414hje4.jpeg</v>
      </c>
      <c r="AR492" s="1" t="s">
        <v>2604</v>
      </c>
      <c r="AS492" s="3" t="str">
        <f>HYPERLINK("https://icf.clappia.com/app/GMB253374/submission/MXE74470988/ICF247370-GMB253374-2cmkedffdjjm00000000/SIG-20250630_10466c6e7.jpeg", "SIG-20250630_10466c6e7.jpeg")</f>
        <v>SIG-20250630_10466c6e7.jpeg</v>
      </c>
      <c r="AT492" s="1" t="s">
        <v>2605</v>
      </c>
      <c r="AU492" s="3" t="str">
        <f>HYPERLINK("https://icf.clappia.com/app/GMB253374/submission/MXE74470988/ICF247370-GMB253374-50mfa4lfg6gg00000000/SIG-20250630_10467lidi.jpeg", "SIG-20250630_10467lidi.jpeg")</f>
        <v>SIG-20250630_10467lidi.jpeg</v>
      </c>
      <c r="AV492" s="3" t="str">
        <f>HYPERLINK("https://www.google.com/maps/place/9.2603917%2C-12.206085", "9.2603917,-12.206085")</f>
        <v>9.2603917,-12.206085</v>
      </c>
    </row>
    <row r="493" ht="15.75" customHeight="1">
      <c r="A493" s="1" t="s">
        <v>2606</v>
      </c>
      <c r="B493" s="1" t="s">
        <v>690</v>
      </c>
      <c r="C493" s="1" t="s">
        <v>2607</v>
      </c>
      <c r="D493" s="1" t="s">
        <v>2607</v>
      </c>
      <c r="E493" s="1" t="s">
        <v>2608</v>
      </c>
      <c r="F493" s="1" t="s">
        <v>64</v>
      </c>
      <c r="G493" s="1">
        <v>167.0</v>
      </c>
      <c r="H493" s="1" t="s">
        <v>50</v>
      </c>
      <c r="I493" s="1">
        <v>28.0</v>
      </c>
      <c r="J493" s="1">
        <v>12.0</v>
      </c>
      <c r="K493" s="1">
        <v>12.0</v>
      </c>
      <c r="L493" s="1">
        <v>16.0</v>
      </c>
      <c r="M493" s="1">
        <v>14.0</v>
      </c>
      <c r="N493" s="1" t="s">
        <v>51</v>
      </c>
      <c r="O493" s="1">
        <v>38.0</v>
      </c>
      <c r="P493" s="1">
        <v>20.0</v>
      </c>
      <c r="Q493" s="1">
        <v>19.0</v>
      </c>
      <c r="R493" s="1">
        <v>18.0</v>
      </c>
      <c r="S493" s="1">
        <v>18.0</v>
      </c>
      <c r="T493" s="1" t="s">
        <v>52</v>
      </c>
      <c r="U493" s="1">
        <v>48.0</v>
      </c>
      <c r="V493" s="1">
        <v>26.0</v>
      </c>
      <c r="W493" s="1">
        <v>24.0</v>
      </c>
      <c r="X493" s="1">
        <v>22.0</v>
      </c>
      <c r="Y493" s="1">
        <v>20.0</v>
      </c>
      <c r="Z493" s="1" t="s">
        <v>53</v>
      </c>
      <c r="AA493" s="1">
        <v>30.0</v>
      </c>
      <c r="AB493" s="1">
        <v>15.0</v>
      </c>
      <c r="AC493" s="1">
        <v>14.0</v>
      </c>
      <c r="AD493" s="1">
        <v>15.0</v>
      </c>
      <c r="AE493" s="1">
        <v>15.0</v>
      </c>
      <c r="AF493" s="1" t="s">
        <v>54</v>
      </c>
      <c r="AG493" s="1">
        <v>23.0</v>
      </c>
      <c r="AH493" s="1">
        <v>11.0</v>
      </c>
      <c r="AI493" s="1">
        <v>11.0</v>
      </c>
      <c r="AJ493" s="1">
        <v>12.0</v>
      </c>
      <c r="AK493" s="1">
        <v>12.0</v>
      </c>
      <c r="AL493" s="1">
        <v>159.0</v>
      </c>
      <c r="AM493" s="1">
        <v>8.0</v>
      </c>
      <c r="AN493" s="1" t="s">
        <v>55</v>
      </c>
      <c r="AO493" s="1" t="s">
        <v>55</v>
      </c>
      <c r="AP493" s="1" t="s">
        <v>2609</v>
      </c>
      <c r="AQ493" s="3" t="str">
        <f>HYPERLINK("https://icf.clappia.com/app/GMB253374/submission/RBD40271104/ICF247370-GMB253374-3o98alan2ii600000000/SIG-20250701_125515ebkl.jpeg", "SIG-20250701_125515ebkl.jpeg")</f>
        <v>SIG-20250701_125515ebkl.jpeg</v>
      </c>
      <c r="AR493" s="1" t="s">
        <v>2610</v>
      </c>
      <c r="AS493" s="3" t="str">
        <f>HYPERLINK("https://icf.clappia.com/app/GMB253374/submission/RBD40271104/ICF247370-GMB253374-5l9nj1ba5e3m00000000/SIG-20250702_09131hemh.jpeg", "SIG-20250702_09131hemh.jpeg")</f>
        <v>SIG-20250702_09131hemh.jpeg</v>
      </c>
      <c r="AT493" s="1" t="s">
        <v>2611</v>
      </c>
      <c r="AU493" s="3" t="str">
        <f>HYPERLINK("https://icf.clappia.com/app/GMB253374/submission/RBD40271104/ICF247370-GMB253374-3l877mhh15pe00000000/SIG-20250702_0913cclmb.jpeg", "SIG-20250702_0913cclmb.jpeg")</f>
        <v>SIG-20250702_0913cclmb.jpeg</v>
      </c>
      <c r="AV493" s="3" t="str">
        <f>HYPERLINK("https://www.google.com/maps/place/8.8480172%2C-12.0512994", "8.8480172,-12.0512994")</f>
        <v>8.8480172,-12.0512994</v>
      </c>
    </row>
    <row r="494" ht="15.75" customHeight="1">
      <c r="A494" s="1" t="s">
        <v>2612</v>
      </c>
      <c r="B494" s="1" t="s">
        <v>189</v>
      </c>
      <c r="C494" s="1" t="s">
        <v>2613</v>
      </c>
      <c r="D494" s="1" t="s">
        <v>2613</v>
      </c>
      <c r="E494" s="1" t="s">
        <v>2614</v>
      </c>
      <c r="F494" s="1" t="s">
        <v>64</v>
      </c>
      <c r="G494" s="1">
        <v>305.0</v>
      </c>
      <c r="H494" s="1" t="s">
        <v>50</v>
      </c>
      <c r="I494" s="1">
        <v>65.0</v>
      </c>
      <c r="J494" s="1">
        <v>32.0</v>
      </c>
      <c r="K494" s="1">
        <v>20.0</v>
      </c>
      <c r="L494" s="1">
        <v>33.0</v>
      </c>
      <c r="M494" s="1">
        <v>21.0</v>
      </c>
      <c r="N494" s="1" t="s">
        <v>51</v>
      </c>
      <c r="O494" s="1">
        <v>60.0</v>
      </c>
      <c r="P494" s="1">
        <v>32.0</v>
      </c>
      <c r="Q494" s="1">
        <v>27.0</v>
      </c>
      <c r="R494" s="1">
        <v>28.0</v>
      </c>
      <c r="S494" s="1">
        <v>21.0</v>
      </c>
      <c r="T494" s="1" t="s">
        <v>52</v>
      </c>
      <c r="U494" s="1">
        <v>82.0</v>
      </c>
      <c r="V494" s="1">
        <v>37.0</v>
      </c>
      <c r="W494" s="1">
        <v>28.0</v>
      </c>
      <c r="X494" s="1">
        <v>45.0</v>
      </c>
      <c r="Y494" s="1">
        <v>35.0</v>
      </c>
      <c r="Z494" s="1" t="s">
        <v>53</v>
      </c>
      <c r="AA494" s="1">
        <v>76.0</v>
      </c>
      <c r="AB494" s="1">
        <v>36.0</v>
      </c>
      <c r="AC494" s="1">
        <v>36.0</v>
      </c>
      <c r="AD494" s="1">
        <v>40.0</v>
      </c>
      <c r="AE494" s="1">
        <v>40.0</v>
      </c>
      <c r="AF494" s="1" t="s">
        <v>54</v>
      </c>
      <c r="AG494" s="1">
        <v>82.0</v>
      </c>
      <c r="AH494" s="1">
        <v>36.0</v>
      </c>
      <c r="AI494" s="1">
        <v>34.0</v>
      </c>
      <c r="AJ494" s="1">
        <v>45.0</v>
      </c>
      <c r="AK494" s="1">
        <v>42.0</v>
      </c>
      <c r="AL494" s="1">
        <v>304.0</v>
      </c>
      <c r="AM494" s="1" t="s">
        <v>55</v>
      </c>
      <c r="AN494" s="1">
        <v>1.0</v>
      </c>
      <c r="AO494" s="1" t="s">
        <v>55</v>
      </c>
      <c r="AP494" s="1" t="s">
        <v>2615</v>
      </c>
      <c r="AQ494" s="3" t="str">
        <f>HYPERLINK("https://icf.clappia.com/app/GMB253374/submission/NHG87962403/ICF247370-GMB253374-2ihoh8m22fng00000000/SIG-20250701_15242ppd5.jpeg", "SIG-20250701_15242ppd5.jpeg")</f>
        <v>SIG-20250701_15242ppd5.jpeg</v>
      </c>
      <c r="AR494" s="1" t="s">
        <v>2616</v>
      </c>
      <c r="AS494" s="3" t="str">
        <f>HYPERLINK("https://icf.clappia.com/app/GMB253374/submission/NHG87962403/ICF247370-GMB253374-4a2fhefa49k800000000/SIG-20250701_15246dpoj.jpeg", "SIG-20250701_15246dpoj.jpeg")</f>
        <v>SIG-20250701_15246dpoj.jpeg</v>
      </c>
      <c r="AT494" s="1" t="s">
        <v>2617</v>
      </c>
      <c r="AU494" s="3" t="str">
        <f>HYPERLINK("https://icf.clappia.com/app/GMB253374/submission/NHG87962403/ICF247370-GMB253374-5jaole57b12200000000/SIG-20250701_1525j6l0f.jpeg", "SIG-20250701_1525j6l0f.jpeg")</f>
        <v>SIG-20250701_1525j6l0f.jpeg</v>
      </c>
      <c r="AV494" s="3" t="str">
        <f>HYPERLINK("https://www.google.com/maps/place/8.886265%2C-12.0307467", "8.886265,-12.0307467")</f>
        <v>8.886265,-12.0307467</v>
      </c>
    </row>
    <row r="495" ht="15.75" customHeight="1">
      <c r="A495" s="1" t="s">
        <v>2618</v>
      </c>
      <c r="B495" s="1" t="s">
        <v>335</v>
      </c>
      <c r="C495" s="1" t="s">
        <v>2619</v>
      </c>
      <c r="D495" s="1" t="s">
        <v>2619</v>
      </c>
      <c r="E495" s="1" t="s">
        <v>2620</v>
      </c>
      <c r="F495" s="1" t="s">
        <v>64</v>
      </c>
      <c r="G495" s="1">
        <v>151.0</v>
      </c>
      <c r="H495" s="1" t="s">
        <v>50</v>
      </c>
      <c r="I495" s="1">
        <v>50.0</v>
      </c>
      <c r="J495" s="1">
        <v>18.0</v>
      </c>
      <c r="K495" s="1">
        <v>18.0</v>
      </c>
      <c r="L495" s="1">
        <v>32.0</v>
      </c>
      <c r="M495" s="1">
        <v>32.0</v>
      </c>
      <c r="N495" s="1" t="s">
        <v>51</v>
      </c>
      <c r="O495" s="1">
        <v>28.0</v>
      </c>
      <c r="P495" s="1">
        <v>12.0</v>
      </c>
      <c r="Q495" s="1">
        <v>12.0</v>
      </c>
      <c r="R495" s="1">
        <v>16.0</v>
      </c>
      <c r="S495" s="1">
        <v>16.0</v>
      </c>
      <c r="T495" s="1" t="s">
        <v>52</v>
      </c>
      <c r="U495" s="1">
        <v>23.0</v>
      </c>
      <c r="V495" s="1">
        <v>9.0</v>
      </c>
      <c r="W495" s="1">
        <v>9.0</v>
      </c>
      <c r="X495" s="1">
        <v>14.0</v>
      </c>
      <c r="Y495" s="1">
        <v>14.0</v>
      </c>
      <c r="Z495" s="1" t="s">
        <v>53</v>
      </c>
      <c r="AA495" s="1">
        <v>33.0</v>
      </c>
      <c r="AB495" s="1">
        <v>14.0</v>
      </c>
      <c r="AC495" s="1">
        <v>14.0</v>
      </c>
      <c r="AD495" s="1">
        <v>19.0</v>
      </c>
      <c r="AE495" s="1">
        <v>19.0</v>
      </c>
      <c r="AF495" s="1" t="s">
        <v>54</v>
      </c>
      <c r="AG495" s="1">
        <v>17.0</v>
      </c>
      <c r="AH495" s="1">
        <v>6.0</v>
      </c>
      <c r="AI495" s="1">
        <v>6.0</v>
      </c>
      <c r="AJ495" s="1">
        <v>11.0</v>
      </c>
      <c r="AK495" s="1">
        <v>11.0</v>
      </c>
      <c r="AL495" s="1">
        <v>151.0</v>
      </c>
      <c r="AM495" s="1" t="s">
        <v>55</v>
      </c>
      <c r="AN495" s="1" t="s">
        <v>55</v>
      </c>
      <c r="AO495" s="1" t="s">
        <v>55</v>
      </c>
      <c r="AP495" s="1" t="s">
        <v>2621</v>
      </c>
      <c r="AQ495" s="3" t="str">
        <f>HYPERLINK("https://icf.clappia.com/app/GMB253374/submission/KEB79031287/ICF247370-GMB253374-29jnha6d2ecna0000000/SIG-20250702_0759kaoce.jpeg", "SIG-20250702_0759kaoce.jpeg")</f>
        <v>SIG-20250702_0759kaoce.jpeg</v>
      </c>
      <c r="AR495" s="1" t="s">
        <v>2622</v>
      </c>
      <c r="AS495" s="3" t="str">
        <f>HYPERLINK("https://icf.clappia.com/app/GMB253374/submission/KEB79031287/ICF247370-GMB253374-22ci82jdm7hok0000000/SIG-20250702_0759hlkp6.jpeg", "SIG-20250702_0759hlkp6.jpeg")</f>
        <v>SIG-20250702_0759hlkp6.jpeg</v>
      </c>
      <c r="AT495" s="1" t="s">
        <v>2623</v>
      </c>
      <c r="AU495" s="3" t="str">
        <f>HYPERLINK("https://icf.clappia.com/app/GMB253374/submission/KEB79031287/ICF247370-GMB253374-2o1hp1heh45o00000000/SIG-20250702_08005oefk.jpeg", "SIG-20250702_08005oefk.jpeg")</f>
        <v>SIG-20250702_08005oefk.jpeg</v>
      </c>
      <c r="AV495" s="3" t="str">
        <f>HYPERLINK("https://www.google.com/maps/place/8.0563117%2C-11.612855", "8.0563117,-11.612855")</f>
        <v>8.0563117,-11.612855</v>
      </c>
    </row>
    <row r="496" ht="15.75" customHeight="1">
      <c r="A496" s="1" t="s">
        <v>2624</v>
      </c>
      <c r="B496" s="1" t="s">
        <v>248</v>
      </c>
      <c r="C496" s="1" t="s">
        <v>2625</v>
      </c>
      <c r="D496" s="1" t="s">
        <v>2625</v>
      </c>
      <c r="E496" s="1" t="s">
        <v>2626</v>
      </c>
      <c r="F496" s="1" t="s">
        <v>64</v>
      </c>
      <c r="G496" s="1">
        <v>127.0</v>
      </c>
      <c r="H496" s="1" t="s">
        <v>50</v>
      </c>
      <c r="I496" s="1">
        <v>35.0</v>
      </c>
      <c r="J496" s="1">
        <v>15.0</v>
      </c>
      <c r="K496" s="1">
        <v>15.0</v>
      </c>
      <c r="L496" s="1">
        <v>20.0</v>
      </c>
      <c r="M496" s="1">
        <v>20.0</v>
      </c>
      <c r="N496" s="1" t="s">
        <v>51</v>
      </c>
      <c r="O496" s="1">
        <v>20.0</v>
      </c>
      <c r="P496" s="1">
        <v>11.0</v>
      </c>
      <c r="Q496" s="1">
        <v>11.0</v>
      </c>
      <c r="R496" s="1">
        <v>9.0</v>
      </c>
      <c r="S496" s="1">
        <v>9.0</v>
      </c>
      <c r="T496" s="1" t="s">
        <v>52</v>
      </c>
      <c r="U496" s="1">
        <v>19.0</v>
      </c>
      <c r="V496" s="1">
        <v>9.0</v>
      </c>
      <c r="W496" s="1">
        <v>9.0</v>
      </c>
      <c r="X496" s="1">
        <v>10.0</v>
      </c>
      <c r="Y496" s="1">
        <v>10.0</v>
      </c>
      <c r="Z496" s="1" t="s">
        <v>53</v>
      </c>
      <c r="AA496" s="1">
        <v>28.0</v>
      </c>
      <c r="AB496" s="1">
        <v>15.0</v>
      </c>
      <c r="AC496" s="1">
        <v>15.0</v>
      </c>
      <c r="AD496" s="1">
        <v>13.0</v>
      </c>
      <c r="AE496" s="1">
        <v>13.0</v>
      </c>
      <c r="AF496" s="1" t="s">
        <v>54</v>
      </c>
      <c r="AG496" s="1">
        <v>25.0</v>
      </c>
      <c r="AH496" s="1">
        <v>14.0</v>
      </c>
      <c r="AI496" s="1">
        <v>14.0</v>
      </c>
      <c r="AJ496" s="1">
        <v>11.0</v>
      </c>
      <c r="AK496" s="1">
        <v>11.0</v>
      </c>
      <c r="AL496" s="1">
        <v>127.0</v>
      </c>
      <c r="AM496" s="1" t="s">
        <v>55</v>
      </c>
      <c r="AN496" s="1" t="s">
        <v>55</v>
      </c>
      <c r="AO496" s="1" t="s">
        <v>55</v>
      </c>
      <c r="AP496" s="1" t="s">
        <v>2627</v>
      </c>
      <c r="AQ496" s="3" t="str">
        <f>HYPERLINK("https://icf.clappia.com/app/GMB253374/submission/KSG47063832/ICF247370-GMB253374-3cjf3kl9p1mg00000000/SIG-20250702_0756559e7.jpeg", "SIG-20250702_0756559e7.jpeg")</f>
        <v>SIG-20250702_0756559e7.jpeg</v>
      </c>
      <c r="AR496" s="1" t="s">
        <v>2628</v>
      </c>
      <c r="AS496" s="3" t="str">
        <f>HYPERLINK("https://icf.clappia.com/app/GMB253374/submission/KSG47063832/ICF247370-GMB253374-5a6g1emh25ck00000000/SIG-20250702_07561ad7i2.jpeg", "SIG-20250702_07561ad7i2.jpeg")</f>
        <v>SIG-20250702_07561ad7i2.jpeg</v>
      </c>
      <c r="AT496" s="1" t="s">
        <v>2629</v>
      </c>
      <c r="AU496" s="3" t="str">
        <f>HYPERLINK("https://icf.clappia.com/app/GMB253374/submission/KSG47063832/ICF247370-GMB253374-1m7bci9mc00m40000000/SIG-20250702_07577f5ii.jpeg", "SIG-20250702_07577f5ii.jpeg")</f>
        <v>SIG-20250702_07577f5ii.jpeg</v>
      </c>
      <c r="AV496" s="3" t="str">
        <f>HYPERLINK("https://www.google.com/maps/place/7.9726483%2C-11.4882717", "7.9726483,-11.4882717")</f>
        <v>7.9726483,-11.4882717</v>
      </c>
    </row>
    <row r="497" ht="15.75" customHeight="1">
      <c r="A497" s="1" t="s">
        <v>2630</v>
      </c>
      <c r="B497" s="1" t="s">
        <v>60</v>
      </c>
      <c r="C497" s="1" t="s">
        <v>2631</v>
      </c>
      <c r="D497" s="1" t="s">
        <v>2631</v>
      </c>
      <c r="E497" s="1" t="s">
        <v>2632</v>
      </c>
      <c r="F497" s="1" t="s">
        <v>64</v>
      </c>
      <c r="G497" s="1">
        <v>150.0</v>
      </c>
      <c r="H497" s="1" t="s">
        <v>50</v>
      </c>
      <c r="I497" s="1">
        <v>34.0</v>
      </c>
      <c r="J497" s="1">
        <v>18.0</v>
      </c>
      <c r="K497" s="1">
        <v>18.0</v>
      </c>
      <c r="L497" s="1">
        <v>16.0</v>
      </c>
      <c r="M497" s="1">
        <v>16.0</v>
      </c>
      <c r="N497" s="1" t="s">
        <v>51</v>
      </c>
      <c r="O497" s="1">
        <v>38.0</v>
      </c>
      <c r="P497" s="1">
        <v>19.0</v>
      </c>
      <c r="Q497" s="1">
        <v>19.0</v>
      </c>
      <c r="R497" s="1">
        <v>19.0</v>
      </c>
      <c r="S497" s="1">
        <v>19.0</v>
      </c>
      <c r="T497" s="1" t="s">
        <v>52</v>
      </c>
      <c r="U497" s="1">
        <v>26.0</v>
      </c>
      <c r="V497" s="1">
        <v>15.0</v>
      </c>
      <c r="W497" s="1">
        <v>15.0</v>
      </c>
      <c r="X497" s="1">
        <v>11.0</v>
      </c>
      <c r="Y497" s="1">
        <v>11.0</v>
      </c>
      <c r="Z497" s="1" t="s">
        <v>53</v>
      </c>
      <c r="AA497" s="1">
        <v>28.0</v>
      </c>
      <c r="AB497" s="1">
        <v>15.0</v>
      </c>
      <c r="AC497" s="1">
        <v>15.0</v>
      </c>
      <c r="AD497" s="1">
        <v>13.0</v>
      </c>
      <c r="AE497" s="1">
        <v>13.0</v>
      </c>
      <c r="AF497" s="1" t="s">
        <v>54</v>
      </c>
      <c r="AG497" s="1">
        <v>24.0</v>
      </c>
      <c r="AH497" s="1">
        <v>14.0</v>
      </c>
      <c r="AI497" s="1">
        <v>14.0</v>
      </c>
      <c r="AJ497" s="1">
        <v>10.0</v>
      </c>
      <c r="AK497" s="1">
        <v>10.0</v>
      </c>
      <c r="AL497" s="1">
        <v>150.0</v>
      </c>
      <c r="AM497" s="1" t="s">
        <v>55</v>
      </c>
      <c r="AN497" s="1" t="s">
        <v>55</v>
      </c>
      <c r="AO497" s="1" t="s">
        <v>55</v>
      </c>
      <c r="AP497" s="1" t="s">
        <v>2633</v>
      </c>
      <c r="AQ497" s="3" t="str">
        <f>HYPERLINK("https://icf.clappia.com/app/GMB253374/submission/JHY12063998/ICF247370-GMB253374-403hmi7g969200000000/SIG-20250701_1815n456p.jpeg", "SIG-20250701_1815n456p.jpeg")</f>
        <v>SIG-20250701_1815n456p.jpeg</v>
      </c>
      <c r="AR497" s="1" t="s">
        <v>2634</v>
      </c>
      <c r="AS497" s="3" t="str">
        <f>HYPERLINK("https://icf.clappia.com/app/GMB253374/submission/JHY12063998/ICF247370-GMB253374-12ab5mlo4h33e0000000/SIG-20250701_1815159ejk.jpeg", "SIG-20250701_1815159ejk.jpeg")</f>
        <v>SIG-20250701_1815159ejk.jpeg</v>
      </c>
      <c r="AT497" s="1" t="s">
        <v>1622</v>
      </c>
      <c r="AU497" s="3" t="str">
        <f>HYPERLINK("https://icf.clappia.com/app/GMB253374/submission/JHY12063998/ICF247370-GMB253374-6b573lj5955e00000000/SIG-20250701_18153ckg3.jpeg", "SIG-20250701_18153ckg3.jpeg")</f>
        <v>SIG-20250701_18153ckg3.jpeg</v>
      </c>
      <c r="AV497" s="3" t="str">
        <f>HYPERLINK("https://www.google.com/maps/place/8.8789796%2C-12.0770054", "8.8789796,-12.0770054")</f>
        <v>8.8789796,-12.0770054</v>
      </c>
    </row>
    <row r="498" ht="15.75" customHeight="1">
      <c r="A498" s="1" t="s">
        <v>2635</v>
      </c>
      <c r="B498" s="1" t="s">
        <v>248</v>
      </c>
      <c r="C498" s="1" t="s">
        <v>2636</v>
      </c>
      <c r="D498" s="1" t="s">
        <v>2637</v>
      </c>
      <c r="E498" s="1" t="s">
        <v>2638</v>
      </c>
      <c r="F498" s="1" t="s">
        <v>64</v>
      </c>
      <c r="G498" s="1">
        <v>103.0</v>
      </c>
      <c r="H498" s="1" t="s">
        <v>50</v>
      </c>
      <c r="I498" s="1">
        <v>33.0</v>
      </c>
      <c r="J498" s="1">
        <v>23.0</v>
      </c>
      <c r="K498" s="1">
        <v>23.0</v>
      </c>
      <c r="L498" s="1">
        <v>10.0</v>
      </c>
      <c r="M498" s="1">
        <v>10.0</v>
      </c>
      <c r="N498" s="1" t="s">
        <v>51</v>
      </c>
      <c r="O498" s="1">
        <v>20.0</v>
      </c>
      <c r="P498" s="1">
        <v>10.0</v>
      </c>
      <c r="Q498" s="1">
        <v>10.0</v>
      </c>
      <c r="R498" s="1">
        <v>10.0</v>
      </c>
      <c r="S498" s="1">
        <v>10.0</v>
      </c>
      <c r="T498" s="1" t="s">
        <v>52</v>
      </c>
      <c r="U498" s="1">
        <v>18.0</v>
      </c>
      <c r="V498" s="1">
        <v>10.0</v>
      </c>
      <c r="W498" s="1">
        <v>10.0</v>
      </c>
      <c r="X498" s="1">
        <v>8.0</v>
      </c>
      <c r="Y498" s="1">
        <v>8.0</v>
      </c>
      <c r="Z498" s="1" t="s">
        <v>53</v>
      </c>
      <c r="AA498" s="1">
        <v>18.0</v>
      </c>
      <c r="AB498" s="1">
        <v>10.0</v>
      </c>
      <c r="AC498" s="1">
        <v>10.0</v>
      </c>
      <c r="AD498" s="1">
        <v>8.0</v>
      </c>
      <c r="AE498" s="1">
        <v>8.0</v>
      </c>
      <c r="AF498" s="1" t="s">
        <v>54</v>
      </c>
      <c r="AG498" s="1">
        <v>14.0</v>
      </c>
      <c r="AH498" s="1">
        <v>8.0</v>
      </c>
      <c r="AI498" s="1">
        <v>8.0</v>
      </c>
      <c r="AJ498" s="1">
        <v>6.0</v>
      </c>
      <c r="AK498" s="1">
        <v>6.0</v>
      </c>
      <c r="AL498" s="1">
        <v>103.0</v>
      </c>
      <c r="AM498" s="1" t="s">
        <v>55</v>
      </c>
      <c r="AN498" s="1" t="s">
        <v>55</v>
      </c>
      <c r="AO498" s="1" t="s">
        <v>55</v>
      </c>
      <c r="AP498" s="1" t="s">
        <v>2639</v>
      </c>
      <c r="AQ498" s="3" t="str">
        <f>HYPERLINK("https://icf.clappia.com/app/GMB253374/submission/ZYI77388801/ICF247370-GMB253374-5lipm3gj0l1600000000/SIG-20250701_121414oa31.jpeg", "SIG-20250701_121414oa31.jpeg")</f>
        <v>SIG-20250701_121414oa31.jpeg</v>
      </c>
      <c r="AR498" s="1" t="s">
        <v>2640</v>
      </c>
      <c r="AS498" s="3" t="str">
        <f>HYPERLINK("https://icf.clappia.com/app/GMB253374/submission/ZYI77388801/ICF247370-GMB253374-3fcijh06pfd000000000/SIG-20250701_121416aeei.jpeg", "SIG-20250701_121416aeei.jpeg")</f>
        <v>SIG-20250701_121416aeei.jpeg</v>
      </c>
      <c r="AT498" s="1" t="s">
        <v>2641</v>
      </c>
      <c r="AU498" s="3" t="str">
        <f>HYPERLINK("https://icf.clappia.com/app/GMB253374/submission/ZYI77388801/ICF247370-GMB253374-64h65o7cc7e800000000/SIG-20250701_1216kc6c3.jpeg", "SIG-20250701_1216kc6c3.jpeg")</f>
        <v>SIG-20250701_1216kc6c3.jpeg</v>
      </c>
      <c r="AV498" s="3" t="str">
        <f>HYPERLINK("https://www.google.com/maps/place/7.97308%2C-11.4894083", "7.97308,-11.4894083")</f>
        <v>7.97308,-11.4894083</v>
      </c>
    </row>
    <row r="499" ht="15.75" customHeight="1">
      <c r="A499" s="1" t="s">
        <v>2642</v>
      </c>
      <c r="B499" s="1" t="s">
        <v>142</v>
      </c>
      <c r="C499" s="1" t="s">
        <v>2643</v>
      </c>
      <c r="D499" s="1" t="s">
        <v>2643</v>
      </c>
      <c r="E499" s="1" t="s">
        <v>2644</v>
      </c>
      <c r="F499" s="1" t="s">
        <v>64</v>
      </c>
      <c r="G499" s="1">
        <v>186.0</v>
      </c>
      <c r="H499" s="1" t="s">
        <v>50</v>
      </c>
      <c r="I499" s="1">
        <v>42.0</v>
      </c>
      <c r="J499" s="1" t="s">
        <v>55</v>
      </c>
      <c r="K499" s="1" t="s">
        <v>55</v>
      </c>
      <c r="L499" s="1">
        <v>42.0</v>
      </c>
      <c r="M499" s="1">
        <v>42.0</v>
      </c>
      <c r="N499" s="1" t="s">
        <v>51</v>
      </c>
      <c r="O499" s="1">
        <v>30.0</v>
      </c>
      <c r="P499" s="1" t="s">
        <v>55</v>
      </c>
      <c r="Q499" s="1" t="s">
        <v>55</v>
      </c>
      <c r="R499" s="1">
        <v>30.0</v>
      </c>
      <c r="S499" s="1">
        <v>30.0</v>
      </c>
      <c r="T499" s="1" t="s">
        <v>52</v>
      </c>
      <c r="U499" s="1">
        <v>45.0</v>
      </c>
      <c r="V499" s="1" t="s">
        <v>55</v>
      </c>
      <c r="W499" s="1" t="s">
        <v>55</v>
      </c>
      <c r="X499" s="1">
        <v>45.0</v>
      </c>
      <c r="Y499" s="1">
        <v>45.0</v>
      </c>
      <c r="Z499" s="1" t="s">
        <v>53</v>
      </c>
      <c r="AA499" s="1">
        <v>41.0</v>
      </c>
      <c r="AB499" s="1" t="s">
        <v>55</v>
      </c>
      <c r="AC499" s="1" t="s">
        <v>55</v>
      </c>
      <c r="AD499" s="1">
        <v>41.0</v>
      </c>
      <c r="AE499" s="1">
        <v>41.0</v>
      </c>
      <c r="AF499" s="1" t="s">
        <v>54</v>
      </c>
      <c r="AG499" s="1">
        <v>28.0</v>
      </c>
      <c r="AH499" s="1" t="s">
        <v>55</v>
      </c>
      <c r="AI499" s="1" t="s">
        <v>55</v>
      </c>
      <c r="AJ499" s="1">
        <v>28.0</v>
      </c>
      <c r="AK499" s="1">
        <v>28.0</v>
      </c>
      <c r="AL499" s="1">
        <v>186.0</v>
      </c>
      <c r="AM499" s="1" t="s">
        <v>55</v>
      </c>
      <c r="AN499" s="1" t="s">
        <v>55</v>
      </c>
      <c r="AO499" s="1" t="s">
        <v>55</v>
      </c>
      <c r="AP499" s="1" t="s">
        <v>468</v>
      </c>
      <c r="AQ499" s="3" t="str">
        <f>HYPERLINK("https://icf.clappia.com/app/GMB253374/submission/EPB05203427/ICF247370-GMB253374-46857p06d7oo00000000/SIG-20250701_2044kiooj.jpeg", "SIG-20250701_2044kiooj.jpeg")</f>
        <v>SIG-20250701_2044kiooj.jpeg</v>
      </c>
      <c r="AR499" s="1" t="s">
        <v>2645</v>
      </c>
      <c r="AS499" s="3" t="str">
        <f>HYPERLINK("https://icf.clappia.com/app/GMB253374/submission/EPB05203427/ICF247370-GMB253374-343g9ef5pkpo00000000/SIG-20250701_2045159lb5.jpeg", "SIG-20250701_2045159lb5.jpeg")</f>
        <v>SIG-20250701_2045159lb5.jpeg</v>
      </c>
      <c r="AT499" s="1" t="s">
        <v>2646</v>
      </c>
      <c r="AU499" s="3" t="str">
        <f>HYPERLINK("https://icf.clappia.com/app/GMB253374/submission/EPB05203427/ICF247370-GMB253374-366cn57ba52e00000000/SIG-20250701_20452ghkg.jpeg", "SIG-20250701_20452ghkg.jpeg")</f>
        <v>SIG-20250701_20452ghkg.jpeg</v>
      </c>
      <c r="AV499" s="3" t="str">
        <f>HYPERLINK("https://www.google.com/maps/place/7.7927783%2C-12.0548694", "7.7927783,-12.0548694")</f>
        <v>7.7927783,-12.0548694</v>
      </c>
    </row>
    <row r="500" ht="15.75" customHeight="1">
      <c r="A500" s="1" t="s">
        <v>2647</v>
      </c>
      <c r="B500" s="1" t="s">
        <v>2328</v>
      </c>
      <c r="C500" s="1" t="s">
        <v>2648</v>
      </c>
      <c r="D500" s="1" t="s">
        <v>2648</v>
      </c>
      <c r="E500" s="1" t="s">
        <v>2649</v>
      </c>
      <c r="F500" s="1" t="s">
        <v>64</v>
      </c>
      <c r="G500" s="1">
        <v>155.0</v>
      </c>
      <c r="H500" s="1" t="s">
        <v>50</v>
      </c>
      <c r="I500" s="1">
        <v>47.0</v>
      </c>
      <c r="J500" s="1">
        <v>27.0</v>
      </c>
      <c r="K500" s="1">
        <v>27.0</v>
      </c>
      <c r="L500" s="1">
        <v>20.0</v>
      </c>
      <c r="M500" s="1">
        <v>19.0</v>
      </c>
      <c r="N500" s="1" t="s">
        <v>51</v>
      </c>
      <c r="O500" s="1">
        <v>62.0</v>
      </c>
      <c r="P500" s="1">
        <v>30.0</v>
      </c>
      <c r="Q500" s="1">
        <v>28.0</v>
      </c>
      <c r="R500" s="1">
        <v>32.0</v>
      </c>
      <c r="S500" s="1">
        <v>30.0</v>
      </c>
      <c r="T500" s="1" t="s">
        <v>52</v>
      </c>
      <c r="U500" s="1" t="s">
        <v>55</v>
      </c>
      <c r="V500" s="1" t="s">
        <v>55</v>
      </c>
      <c r="W500" s="1" t="s">
        <v>55</v>
      </c>
      <c r="X500" s="1" t="s">
        <v>55</v>
      </c>
      <c r="Y500" s="1" t="s">
        <v>55</v>
      </c>
      <c r="Z500" s="1" t="s">
        <v>53</v>
      </c>
      <c r="AA500" s="1" t="s">
        <v>55</v>
      </c>
      <c r="AB500" s="1" t="s">
        <v>55</v>
      </c>
      <c r="AC500" s="1" t="s">
        <v>55</v>
      </c>
      <c r="AD500" s="1" t="s">
        <v>55</v>
      </c>
      <c r="AE500" s="1" t="s">
        <v>55</v>
      </c>
      <c r="AF500" s="1" t="s">
        <v>54</v>
      </c>
      <c r="AG500" s="1" t="s">
        <v>55</v>
      </c>
      <c r="AH500" s="1" t="s">
        <v>55</v>
      </c>
      <c r="AI500" s="1" t="s">
        <v>55</v>
      </c>
      <c r="AJ500" s="1" t="s">
        <v>55</v>
      </c>
      <c r="AK500" s="1" t="s">
        <v>55</v>
      </c>
      <c r="AL500" s="1">
        <v>104.0</v>
      </c>
      <c r="AM500" s="1">
        <v>5.0</v>
      </c>
      <c r="AN500" s="1">
        <v>46.0</v>
      </c>
      <c r="AO500" s="1">
        <v>46.0</v>
      </c>
      <c r="AP500" s="1" t="s">
        <v>2650</v>
      </c>
      <c r="AQ500" s="3" t="str">
        <f>HYPERLINK("https://icf.clappia.com/app/GMB253374/submission/SAP30755786/ICF247370-GMB253374-58jpl3e50nco00000000/SIG-20250630_181415dd79.jpeg", "SIG-20250630_181415dd79.jpeg")</f>
        <v>SIG-20250630_181415dd79.jpeg</v>
      </c>
      <c r="AR500" s="1" t="s">
        <v>2651</v>
      </c>
      <c r="AS500" s="3" t="str">
        <f>HYPERLINK("https://icf.clappia.com/app/GMB253374/submission/SAP30755786/ICF247370-GMB253374-571jaehp288600000000/SIG-20250630_181318k2g8.jpeg", "SIG-20250630_181318k2g8.jpeg")</f>
        <v>SIG-20250630_181318k2g8.jpeg</v>
      </c>
      <c r="AT500" s="1" t="s">
        <v>2652</v>
      </c>
      <c r="AU500" s="3" t="str">
        <f>HYPERLINK("https://icf.clappia.com/app/GMB253374/submission/SAP30755786/ICF247370-GMB253374-5k70a769hjm400000000/SIG-20250630_1840o49m2.jpeg", "SIG-20250630_1840o49m2.jpeg")</f>
        <v>SIG-20250630_1840o49m2.jpeg</v>
      </c>
      <c r="AV500" s="3" t="str">
        <f>HYPERLINK("https://www.google.com/maps/place/8.1045583%2C-11.420635", "8.1045583,-11.420635")</f>
        <v>8.1045583,-11.420635</v>
      </c>
    </row>
    <row r="501" ht="15.75" customHeight="1">
      <c r="A501" s="1" t="s">
        <v>2653</v>
      </c>
      <c r="B501" s="1" t="s">
        <v>2328</v>
      </c>
      <c r="C501" s="1" t="s">
        <v>2654</v>
      </c>
      <c r="D501" s="1" t="s">
        <v>2654</v>
      </c>
      <c r="E501" s="1" t="s">
        <v>2655</v>
      </c>
      <c r="F501" s="1" t="s">
        <v>64</v>
      </c>
      <c r="G501" s="1">
        <v>138.0</v>
      </c>
      <c r="H501" s="1" t="s">
        <v>50</v>
      </c>
      <c r="I501" s="1" t="s">
        <v>55</v>
      </c>
      <c r="J501" s="1" t="s">
        <v>55</v>
      </c>
      <c r="K501" s="1" t="s">
        <v>55</v>
      </c>
      <c r="L501" s="1" t="s">
        <v>55</v>
      </c>
      <c r="M501" s="1" t="s">
        <v>55</v>
      </c>
      <c r="N501" s="1" t="s">
        <v>51</v>
      </c>
      <c r="O501" s="1" t="s">
        <v>55</v>
      </c>
      <c r="P501" s="1" t="s">
        <v>55</v>
      </c>
      <c r="Q501" s="1" t="s">
        <v>55</v>
      </c>
      <c r="R501" s="1" t="s">
        <v>55</v>
      </c>
      <c r="S501" s="1" t="s">
        <v>55</v>
      </c>
      <c r="T501" s="1" t="s">
        <v>52</v>
      </c>
      <c r="U501" s="1">
        <v>45.0</v>
      </c>
      <c r="V501" s="1">
        <v>20.0</v>
      </c>
      <c r="W501" s="1">
        <v>20.0</v>
      </c>
      <c r="X501" s="1">
        <v>23.0</v>
      </c>
      <c r="Y501" s="1">
        <v>23.0</v>
      </c>
      <c r="Z501" s="1" t="s">
        <v>53</v>
      </c>
      <c r="AA501" s="1">
        <v>46.0</v>
      </c>
      <c r="AB501" s="1">
        <v>24.0</v>
      </c>
      <c r="AC501" s="1">
        <v>24.0</v>
      </c>
      <c r="AD501" s="1">
        <v>22.0</v>
      </c>
      <c r="AE501" s="1">
        <v>22.0</v>
      </c>
      <c r="AF501" s="1" t="s">
        <v>54</v>
      </c>
      <c r="AG501" s="1">
        <v>47.0</v>
      </c>
      <c r="AH501" s="1">
        <v>20.0</v>
      </c>
      <c r="AI501" s="1">
        <v>20.0</v>
      </c>
      <c r="AJ501" s="1">
        <v>20.0</v>
      </c>
      <c r="AK501" s="1">
        <v>20.0</v>
      </c>
      <c r="AL501" s="1">
        <v>129.0</v>
      </c>
      <c r="AM501" s="1">
        <v>9.0</v>
      </c>
      <c r="AN501" s="1" t="s">
        <v>55</v>
      </c>
      <c r="AO501" s="1" t="s">
        <v>55</v>
      </c>
      <c r="AP501" s="1" t="s">
        <v>2656</v>
      </c>
      <c r="AQ501" s="3" t="str">
        <f>HYPERLINK("https://icf.clappia.com/app/GMB253374/submission/WOQ97424708/ICF247370-GMB253374-2hc45k1co4oc00000000/SIG-20250701_2017eemh.jpeg", "SIG-20250701_2017eemh.jpeg")</f>
        <v>SIG-20250701_2017eemh.jpeg</v>
      </c>
      <c r="AR501" s="1" t="s">
        <v>2657</v>
      </c>
      <c r="AS501" s="3" t="str">
        <f>HYPERLINK("https://icf.clappia.com/app/GMB253374/submission/WOQ97424708/ICF247370-GMB253374-1ii99kc475jda0000000/SIG-20250701_20181605db.jpeg", "SIG-20250701_20181605db.jpeg")</f>
        <v>SIG-20250701_20181605db.jpeg</v>
      </c>
      <c r="AT501" s="1" t="s">
        <v>2658</v>
      </c>
      <c r="AU501" s="3" t="str">
        <f>HYPERLINK("https://icf.clappia.com/app/GMB253374/submission/WOQ97424708/ICF247370-GMB253374-5cik3o5fl6m400000000/SIG-20250701_201816oecm.jpeg", "SIG-20250701_201816oecm.jpeg")</f>
        <v>SIG-20250701_201816oecm.jpeg</v>
      </c>
      <c r="AV501" s="3" t="str">
        <f>HYPERLINK("https://www.google.com/maps/place/8.1008736%2C-11.4163496", "8.1008736,-11.4163496")</f>
        <v>8.1008736,-11.4163496</v>
      </c>
    </row>
    <row r="502" ht="15.75" customHeight="1">
      <c r="A502" s="1" t="s">
        <v>2659</v>
      </c>
      <c r="B502" s="1" t="s">
        <v>142</v>
      </c>
      <c r="C502" s="1" t="s">
        <v>2660</v>
      </c>
      <c r="D502" s="1" t="s">
        <v>2660</v>
      </c>
      <c r="E502" s="1" t="s">
        <v>2661</v>
      </c>
      <c r="F502" s="1" t="s">
        <v>64</v>
      </c>
      <c r="G502" s="1">
        <v>183.0</v>
      </c>
      <c r="H502" s="1" t="s">
        <v>50</v>
      </c>
      <c r="I502" s="1">
        <v>46.0</v>
      </c>
      <c r="J502" s="1">
        <v>46.0</v>
      </c>
      <c r="K502" s="1">
        <v>46.0</v>
      </c>
      <c r="L502" s="1" t="s">
        <v>55</v>
      </c>
      <c r="M502" s="1" t="s">
        <v>55</v>
      </c>
      <c r="N502" s="1" t="s">
        <v>51</v>
      </c>
      <c r="O502" s="1">
        <v>41.0</v>
      </c>
      <c r="P502" s="1">
        <v>41.0</v>
      </c>
      <c r="Q502" s="1">
        <v>41.0</v>
      </c>
      <c r="R502" s="1" t="s">
        <v>55</v>
      </c>
      <c r="S502" s="1" t="s">
        <v>55</v>
      </c>
      <c r="T502" s="1" t="s">
        <v>52</v>
      </c>
      <c r="U502" s="1">
        <v>37.0</v>
      </c>
      <c r="V502" s="1">
        <v>37.0</v>
      </c>
      <c r="W502" s="1">
        <v>37.0</v>
      </c>
      <c r="X502" s="1" t="s">
        <v>55</v>
      </c>
      <c r="Y502" s="1" t="s">
        <v>55</v>
      </c>
      <c r="Z502" s="1" t="s">
        <v>53</v>
      </c>
      <c r="AA502" s="1">
        <v>34.0</v>
      </c>
      <c r="AB502" s="1">
        <v>34.0</v>
      </c>
      <c r="AC502" s="1">
        <v>34.0</v>
      </c>
      <c r="AD502" s="1" t="s">
        <v>55</v>
      </c>
      <c r="AE502" s="1" t="s">
        <v>55</v>
      </c>
      <c r="AF502" s="1" t="s">
        <v>54</v>
      </c>
      <c r="AG502" s="1">
        <v>25.0</v>
      </c>
      <c r="AH502" s="1">
        <v>25.0</v>
      </c>
      <c r="AI502" s="1">
        <v>25.0</v>
      </c>
      <c r="AJ502" s="1" t="s">
        <v>55</v>
      </c>
      <c r="AK502" s="1" t="s">
        <v>55</v>
      </c>
      <c r="AL502" s="1">
        <v>183.0</v>
      </c>
      <c r="AM502" s="1" t="s">
        <v>55</v>
      </c>
      <c r="AN502" s="1" t="s">
        <v>55</v>
      </c>
      <c r="AO502" s="1" t="s">
        <v>55</v>
      </c>
      <c r="AP502" s="1" t="s">
        <v>2662</v>
      </c>
      <c r="AQ502" s="3" t="str">
        <f>HYPERLINK("https://icf.clappia.com/app/GMB253374/submission/SUR28512619/ICF247370-GMB253374-3aabjfjjafee00000000/SIG-20250701_19221890dd.jpeg", "SIG-20250701_19221890dd.jpeg")</f>
        <v>SIG-20250701_19221890dd.jpeg</v>
      </c>
      <c r="AR502" s="1" t="s">
        <v>2663</v>
      </c>
      <c r="AS502" s="3" t="str">
        <f>HYPERLINK("https://icf.clappia.com/app/GMB253374/submission/SUR28512619/ICF247370-GMB253374-inm0593ilf5a0000000/SIG-20250701_1923184m7n.jpeg", "SIG-20250701_1923184m7n.jpeg")</f>
        <v>SIG-20250701_1923184m7n.jpeg</v>
      </c>
      <c r="AT502" s="1" t="s">
        <v>2664</v>
      </c>
      <c r="AU502" s="3" t="str">
        <f>HYPERLINK("https://icf.clappia.com/app/GMB253374/submission/SUR28512619/ICF247370-GMB253374-1c5l4ohnm8moo0000000/SIG-20250701_1924gn2fk.jpeg", "SIG-20250701_1924gn2fk.jpeg")</f>
        <v>SIG-20250701_1924gn2fk.jpeg</v>
      </c>
      <c r="AV502" s="3" t="str">
        <f>HYPERLINK("https://www.google.com/maps/place/7.7926617%2C-12.0510433", "7.7926617,-12.0510433")</f>
        <v>7.7926617,-12.0510433</v>
      </c>
    </row>
    <row r="503" ht="15.75" customHeight="1">
      <c r="A503" s="1" t="s">
        <v>2665</v>
      </c>
      <c r="B503" s="1" t="s">
        <v>60</v>
      </c>
      <c r="C503" s="1" t="s">
        <v>2666</v>
      </c>
      <c r="D503" s="1" t="s">
        <v>2666</v>
      </c>
      <c r="E503" s="1" t="s">
        <v>2667</v>
      </c>
      <c r="F503" s="1" t="s">
        <v>64</v>
      </c>
      <c r="G503" s="1">
        <v>229.0</v>
      </c>
      <c r="H503" s="1" t="s">
        <v>50</v>
      </c>
      <c r="I503" s="1">
        <v>85.0</v>
      </c>
      <c r="J503" s="1">
        <v>40.0</v>
      </c>
      <c r="K503" s="1">
        <v>40.0</v>
      </c>
      <c r="L503" s="1">
        <v>45.0</v>
      </c>
      <c r="M503" s="1">
        <v>45.0</v>
      </c>
      <c r="N503" s="1" t="s">
        <v>51</v>
      </c>
      <c r="O503" s="1">
        <v>40.0</v>
      </c>
      <c r="P503" s="1">
        <v>15.0</v>
      </c>
      <c r="Q503" s="1">
        <v>15.0</v>
      </c>
      <c r="R503" s="1">
        <v>25.0</v>
      </c>
      <c r="S503" s="1">
        <v>25.0</v>
      </c>
      <c r="T503" s="1" t="s">
        <v>52</v>
      </c>
      <c r="U503" s="1">
        <v>40.0</v>
      </c>
      <c r="V503" s="1">
        <v>21.0</v>
      </c>
      <c r="W503" s="1">
        <v>21.0</v>
      </c>
      <c r="X503" s="1">
        <v>19.0</v>
      </c>
      <c r="Y503" s="1">
        <v>19.0</v>
      </c>
      <c r="Z503" s="1" t="s">
        <v>53</v>
      </c>
      <c r="AA503" s="1">
        <v>36.0</v>
      </c>
      <c r="AB503" s="1">
        <v>22.0</v>
      </c>
      <c r="AC503" s="1">
        <v>22.0</v>
      </c>
      <c r="AD503" s="1">
        <v>14.0</v>
      </c>
      <c r="AE503" s="1">
        <v>14.0</v>
      </c>
      <c r="AF503" s="1" t="s">
        <v>54</v>
      </c>
      <c r="AG503" s="1">
        <v>28.0</v>
      </c>
      <c r="AH503" s="1">
        <v>14.0</v>
      </c>
      <c r="AI503" s="1">
        <v>14.0</v>
      </c>
      <c r="AJ503" s="1">
        <v>14.0</v>
      </c>
      <c r="AK503" s="1">
        <v>14.0</v>
      </c>
      <c r="AL503" s="1">
        <v>229.0</v>
      </c>
      <c r="AM503" s="1" t="s">
        <v>55</v>
      </c>
      <c r="AN503" s="1" t="s">
        <v>55</v>
      </c>
      <c r="AO503" s="1" t="s">
        <v>55</v>
      </c>
      <c r="AP503" s="1" t="s">
        <v>2668</v>
      </c>
      <c r="AQ503" s="3" t="str">
        <f>HYPERLINK("https://icf.clappia.com/app/GMB253374/submission/BSZ89013378/ICF247370-GMB253374-1m0o6218afkd60000000/SIG-20250701_1651aa72m.jpeg", "SIG-20250701_1651aa72m.jpeg")</f>
        <v>SIG-20250701_1651aa72m.jpeg</v>
      </c>
      <c r="AR503" s="1" t="s">
        <v>1340</v>
      </c>
      <c r="AS503" s="3" t="str">
        <f>HYPERLINK("https://icf.clappia.com/app/GMB253374/submission/BSZ89013378/ICF247370-GMB253374-2mnhkbp7i9jg00000000/SIG-20250701_1654kb868.jpeg", "SIG-20250701_1654kb868.jpeg")</f>
        <v>SIG-20250701_1654kb868.jpeg</v>
      </c>
      <c r="AT503" s="1" t="s">
        <v>1341</v>
      </c>
      <c r="AU503" s="3" t="str">
        <f>HYPERLINK("https://icf.clappia.com/app/GMB253374/submission/BSZ89013378/ICF247370-GMB253374-141fp8gj5mmpe0000000/SIG-20250701_1654lcop1.jpeg", "SIG-20250701_1654lcop1.jpeg")</f>
        <v>SIG-20250701_1654lcop1.jpeg</v>
      </c>
      <c r="AV503" s="3" t="str">
        <f>HYPERLINK("https://www.google.com/maps/place/8.7999258%2C-12.3533676", "8.7999258,-12.3533676")</f>
        <v>8.7999258,-12.3533676</v>
      </c>
    </row>
    <row r="504" ht="15.75" customHeight="1">
      <c r="A504" s="1" t="s">
        <v>2669</v>
      </c>
      <c r="B504" s="1" t="s">
        <v>161</v>
      </c>
      <c r="C504" s="1" t="s">
        <v>2670</v>
      </c>
      <c r="D504" s="1" t="s">
        <v>2670</v>
      </c>
      <c r="E504" s="1" t="s">
        <v>2671</v>
      </c>
      <c r="F504" s="1" t="s">
        <v>64</v>
      </c>
      <c r="G504" s="1">
        <v>171.0</v>
      </c>
      <c r="H504" s="1" t="s">
        <v>50</v>
      </c>
      <c r="I504" s="1" t="s">
        <v>55</v>
      </c>
      <c r="J504" s="1" t="s">
        <v>55</v>
      </c>
      <c r="K504" s="1" t="s">
        <v>55</v>
      </c>
      <c r="L504" s="1" t="s">
        <v>55</v>
      </c>
      <c r="M504" s="1" t="s">
        <v>55</v>
      </c>
      <c r="N504" s="1" t="s">
        <v>51</v>
      </c>
      <c r="O504" s="1" t="s">
        <v>55</v>
      </c>
      <c r="P504" s="1" t="s">
        <v>55</v>
      </c>
      <c r="Q504" s="1" t="s">
        <v>55</v>
      </c>
      <c r="R504" s="1" t="s">
        <v>55</v>
      </c>
      <c r="S504" s="1" t="s">
        <v>55</v>
      </c>
      <c r="T504" s="1" t="s">
        <v>52</v>
      </c>
      <c r="U504" s="1" t="s">
        <v>55</v>
      </c>
      <c r="V504" s="1" t="s">
        <v>55</v>
      </c>
      <c r="W504" s="1" t="s">
        <v>55</v>
      </c>
      <c r="X504" s="1" t="s">
        <v>55</v>
      </c>
      <c r="Y504" s="1" t="s">
        <v>523</v>
      </c>
      <c r="Z504" s="1" t="s">
        <v>53</v>
      </c>
      <c r="AA504" s="1">
        <v>88.0</v>
      </c>
      <c r="AB504" s="1">
        <v>38.0</v>
      </c>
      <c r="AC504" s="1">
        <v>38.0</v>
      </c>
      <c r="AD504" s="1">
        <v>50.0</v>
      </c>
      <c r="AE504" s="1">
        <v>50.0</v>
      </c>
      <c r="AF504" s="1" t="s">
        <v>54</v>
      </c>
      <c r="AG504" s="1">
        <v>83.0</v>
      </c>
      <c r="AH504" s="1">
        <v>33.0</v>
      </c>
      <c r="AI504" s="1">
        <v>33.0</v>
      </c>
      <c r="AJ504" s="1">
        <v>50.0</v>
      </c>
      <c r="AK504" s="1">
        <v>50.0</v>
      </c>
      <c r="AL504" s="1">
        <v>171.0</v>
      </c>
      <c r="AM504" s="1" t="s">
        <v>55</v>
      </c>
      <c r="AN504" s="1" t="s">
        <v>55</v>
      </c>
      <c r="AO504" s="1" t="s">
        <v>55</v>
      </c>
      <c r="AP504" s="1" t="s">
        <v>2672</v>
      </c>
      <c r="AQ504" s="3" t="str">
        <f>HYPERLINK("https://icf.clappia.com/app/GMB253374/submission/KZH83537993/ICF247370-GMB253374-253fcamfcbd840000000/SIG-20250701_18461a3p0n.jpeg", "SIG-20250701_18461a3p0n.jpeg")</f>
        <v>SIG-20250701_18461a3p0n.jpeg</v>
      </c>
      <c r="AR504" s="1" t="s">
        <v>1103</v>
      </c>
      <c r="AS504" s="3" t="str">
        <f>HYPERLINK("https://icf.clappia.com/app/GMB253374/submission/KZH83537993/ICF247370-GMB253374-66d9e23bpbco00000000/SIG-20250701_1847193pn2.jpeg", "SIG-20250701_1847193pn2.jpeg")</f>
        <v>SIG-20250701_1847193pn2.jpeg</v>
      </c>
      <c r="AT504" s="1" t="s">
        <v>1104</v>
      </c>
      <c r="AU504" s="3" t="str">
        <f>HYPERLINK("https://icf.clappia.com/app/GMB253374/submission/KZH83537993/ICF247370-GMB253374-27gbpclbf14ae0000000/SIG-20250701_184832eof.jpeg", "SIG-20250701_184832eof.jpeg")</f>
        <v>SIG-20250701_184832eof.jpeg</v>
      </c>
      <c r="AV504" s="3" t="str">
        <f>HYPERLINK("https://www.google.com/maps/place/7.9777817%2C-11.5934767", "7.9777817,-11.5934767")</f>
        <v>7.9777817,-11.5934767</v>
      </c>
    </row>
    <row r="505" ht="15.75" customHeight="1">
      <c r="A505" s="1" t="s">
        <v>2673</v>
      </c>
      <c r="B505" s="1" t="s">
        <v>46</v>
      </c>
      <c r="C505" s="1" t="s">
        <v>2674</v>
      </c>
      <c r="D505" s="1" t="s">
        <v>2675</v>
      </c>
      <c r="E505" s="1" t="s">
        <v>2676</v>
      </c>
      <c r="F505" s="1" t="s">
        <v>64</v>
      </c>
      <c r="G505" s="1">
        <v>300.0</v>
      </c>
      <c r="H505" s="1" t="s">
        <v>50</v>
      </c>
      <c r="I505" s="1">
        <v>49.0</v>
      </c>
      <c r="J505" s="1">
        <v>23.0</v>
      </c>
      <c r="K505" s="1">
        <v>22.0</v>
      </c>
      <c r="L505" s="1">
        <v>26.0</v>
      </c>
      <c r="M505" s="1">
        <v>15.0</v>
      </c>
      <c r="N505" s="1" t="s">
        <v>51</v>
      </c>
      <c r="O505" s="1">
        <v>59.0</v>
      </c>
      <c r="P505" s="1">
        <v>36.0</v>
      </c>
      <c r="Q505" s="1">
        <v>36.0</v>
      </c>
      <c r="R505" s="1">
        <v>23.0</v>
      </c>
      <c r="S505" s="1">
        <v>23.0</v>
      </c>
      <c r="T505" s="1" t="s">
        <v>52</v>
      </c>
      <c r="U505" s="1">
        <v>53.0</v>
      </c>
      <c r="V505" s="1">
        <v>30.0</v>
      </c>
      <c r="W505" s="1">
        <v>24.0</v>
      </c>
      <c r="X505" s="1">
        <v>23.0</v>
      </c>
      <c r="Y505" s="1">
        <v>14.0</v>
      </c>
      <c r="Z505" s="1" t="s">
        <v>53</v>
      </c>
      <c r="AA505" s="1">
        <v>51.0</v>
      </c>
      <c r="AB505" s="1">
        <v>23.0</v>
      </c>
      <c r="AC505" s="1">
        <v>23.0</v>
      </c>
      <c r="AD505" s="1">
        <v>28.0</v>
      </c>
      <c r="AE505" s="1">
        <v>28.0</v>
      </c>
      <c r="AF505" s="1" t="s">
        <v>54</v>
      </c>
      <c r="AG505" s="1">
        <v>61.0</v>
      </c>
      <c r="AH505" s="1">
        <v>23.0</v>
      </c>
      <c r="AI505" s="1">
        <v>23.0</v>
      </c>
      <c r="AJ505" s="1">
        <v>38.0</v>
      </c>
      <c r="AK505" s="1">
        <v>38.0</v>
      </c>
      <c r="AL505" s="1">
        <v>246.0</v>
      </c>
      <c r="AM505" s="1">
        <v>10.0</v>
      </c>
      <c r="AN505" s="1">
        <v>44.0</v>
      </c>
      <c r="AO505" s="1">
        <v>44.0</v>
      </c>
      <c r="AP505" s="1" t="s">
        <v>846</v>
      </c>
      <c r="AQ505" s="3" t="str">
        <f>HYPERLINK("https://icf.clappia.com/app/GMB253374/submission/RRB10203699/ICF247370-GMB253374-14fegnnfkc8p60000000/SIG-20250701_18356a6ak.jpeg", "SIG-20250701_18356a6ak.jpeg")</f>
        <v>SIG-20250701_18356a6ak.jpeg</v>
      </c>
      <c r="AR505" s="1">
        <v>1.0</v>
      </c>
      <c r="AS505" s="3" t="str">
        <f>HYPERLINK("https://icf.clappia.com/app/GMB253374/submission/RRB10203699/ICF247370-GMB253374-54hi11h4kjak00000000/SIG-20250701_184314jm11.jpeg", "SIG-20250701_184314jm11.jpeg")</f>
        <v>SIG-20250701_184314jm11.jpeg</v>
      </c>
      <c r="AT505" s="1">
        <v>1.0</v>
      </c>
      <c r="AU505" s="3" t="str">
        <f>HYPERLINK("https://icf.clappia.com/app/GMB253374/submission/RRB10203699/ICF247370-GMB253374-4nmb3g9ebpao00000000/SIG-20250701_184313p942.jpeg", "SIG-20250701_184313p942.jpeg")</f>
        <v>SIG-20250701_184313p942.jpeg</v>
      </c>
      <c r="AV505" s="3" t="str">
        <f>HYPERLINK("https://www.google.com/maps/place/8.9497683%2C-12.07679", "8.9497683,-12.07679")</f>
        <v>8.9497683,-12.07679</v>
      </c>
    </row>
    <row r="506" ht="15.75" customHeight="1">
      <c r="A506" s="1" t="s">
        <v>2677</v>
      </c>
      <c r="B506" s="1" t="s">
        <v>60</v>
      </c>
      <c r="C506" s="1" t="s">
        <v>2678</v>
      </c>
      <c r="D506" s="1" t="s">
        <v>2678</v>
      </c>
      <c r="E506" s="1" t="s">
        <v>2679</v>
      </c>
      <c r="F506" s="1" t="s">
        <v>64</v>
      </c>
      <c r="G506" s="1">
        <v>100.0</v>
      </c>
      <c r="H506" s="1" t="s">
        <v>50</v>
      </c>
      <c r="I506" s="1">
        <v>42.0</v>
      </c>
      <c r="J506" s="1">
        <v>15.0</v>
      </c>
      <c r="K506" s="1">
        <v>14.0</v>
      </c>
      <c r="L506" s="1">
        <v>11.0</v>
      </c>
      <c r="M506" s="1">
        <v>9.0</v>
      </c>
      <c r="N506" s="1" t="s">
        <v>51</v>
      </c>
      <c r="O506" s="1">
        <v>14.0</v>
      </c>
      <c r="P506" s="1">
        <v>9.0</v>
      </c>
      <c r="Q506" s="1">
        <v>9.0</v>
      </c>
      <c r="R506" s="1">
        <v>4.0</v>
      </c>
      <c r="S506" s="1">
        <v>4.0</v>
      </c>
      <c r="T506" s="1" t="s">
        <v>52</v>
      </c>
      <c r="U506" s="1">
        <v>24.0</v>
      </c>
      <c r="V506" s="1">
        <v>14.0</v>
      </c>
      <c r="W506" s="1">
        <v>13.0</v>
      </c>
      <c r="X506" s="1">
        <v>10.0</v>
      </c>
      <c r="Y506" s="1">
        <v>9.0</v>
      </c>
      <c r="Z506" s="1" t="s">
        <v>53</v>
      </c>
      <c r="AA506" s="1">
        <v>17.0</v>
      </c>
      <c r="AB506" s="1">
        <v>10.0</v>
      </c>
      <c r="AC506" s="1">
        <v>9.0</v>
      </c>
      <c r="AD506" s="1">
        <v>7.0</v>
      </c>
      <c r="AE506" s="1">
        <v>6.0</v>
      </c>
      <c r="AF506" s="1" t="s">
        <v>54</v>
      </c>
      <c r="AG506" s="1">
        <v>10.0</v>
      </c>
      <c r="AH506" s="1">
        <v>5.0</v>
      </c>
      <c r="AI506" s="1">
        <v>4.0</v>
      </c>
      <c r="AJ506" s="1">
        <v>5.0</v>
      </c>
      <c r="AK506" s="1">
        <v>5.0</v>
      </c>
      <c r="AL506" s="1">
        <v>82.0</v>
      </c>
      <c r="AM506" s="1">
        <v>8.0</v>
      </c>
      <c r="AN506" s="1">
        <v>10.0</v>
      </c>
      <c r="AO506" s="1">
        <v>10.0</v>
      </c>
      <c r="AP506" s="1" t="s">
        <v>2680</v>
      </c>
      <c r="AQ506" s="3" t="str">
        <f>HYPERLINK("https://icf.clappia.com/app/GMB253374/submission/DBO85996864/ICF247370-GMB253374-5g84nep87fle00000000/SIG-20250701_1749ehk1o.jpeg", "SIG-20250701_1749ehk1o.jpeg")</f>
        <v>SIG-20250701_1749ehk1o.jpeg</v>
      </c>
      <c r="AR506" s="1" t="s">
        <v>1130</v>
      </c>
      <c r="AS506" s="3" t="str">
        <f>HYPERLINK("https://icf.clappia.com/app/GMB253374/submission/DBO85996864/ICF247370-GMB253374-1f6o78gfoec160000000/SIG-20250701_18043f069.jpeg", "SIG-20250701_18043f069.jpeg")</f>
        <v>SIG-20250701_18043f069.jpeg</v>
      </c>
      <c r="AT506" s="1" t="s">
        <v>2681</v>
      </c>
      <c r="AU506" s="3" t="str">
        <f>HYPERLINK("https://icf.clappia.com/app/GMB253374/submission/DBO85996864/ICF247370-GMB253374-45b907l3j4km00000000/SIG-20250701_180310e225.jpeg", "SIG-20250701_180310e225.jpeg")</f>
        <v>SIG-20250701_180310e225.jpeg</v>
      </c>
      <c r="AV506" s="3" t="str">
        <f>HYPERLINK("https://www.google.com/maps/place/8.8176767%2C-12.2273417", "8.8176767,-12.2273417")</f>
        <v>8.8176767,-12.2273417</v>
      </c>
    </row>
    <row r="507" ht="15.75" customHeight="1">
      <c r="A507" s="1" t="s">
        <v>2682</v>
      </c>
      <c r="B507" s="1" t="s">
        <v>60</v>
      </c>
      <c r="C507" s="1" t="s">
        <v>2683</v>
      </c>
      <c r="D507" s="1" t="s">
        <v>2683</v>
      </c>
      <c r="E507" s="1" t="s">
        <v>2684</v>
      </c>
      <c r="F507" s="1" t="s">
        <v>64</v>
      </c>
      <c r="G507" s="1">
        <v>250.0</v>
      </c>
      <c r="H507" s="1" t="s">
        <v>50</v>
      </c>
      <c r="I507" s="1">
        <v>78.0</v>
      </c>
      <c r="J507" s="1">
        <v>48.0</v>
      </c>
      <c r="K507" s="1">
        <v>40.0</v>
      </c>
      <c r="L507" s="1">
        <v>30.0</v>
      </c>
      <c r="M507" s="1">
        <v>23.0</v>
      </c>
      <c r="N507" s="1" t="s">
        <v>51</v>
      </c>
      <c r="O507" s="1">
        <v>57.0</v>
      </c>
      <c r="P507" s="1">
        <v>30.0</v>
      </c>
      <c r="Q507" s="1">
        <v>25.0</v>
      </c>
      <c r="R507" s="1">
        <v>27.0</v>
      </c>
      <c r="S507" s="1">
        <v>20.0</v>
      </c>
      <c r="T507" s="1" t="s">
        <v>52</v>
      </c>
      <c r="U507" s="1">
        <v>42.0</v>
      </c>
      <c r="V507" s="1">
        <v>21.0</v>
      </c>
      <c r="W507" s="1">
        <v>18.0</v>
      </c>
      <c r="X507" s="1">
        <v>21.0</v>
      </c>
      <c r="Y507" s="1">
        <v>17.0</v>
      </c>
      <c r="Z507" s="1" t="s">
        <v>53</v>
      </c>
      <c r="AA507" s="1">
        <v>43.0</v>
      </c>
      <c r="AB507" s="1">
        <v>21.0</v>
      </c>
      <c r="AC507" s="1">
        <v>20.0</v>
      </c>
      <c r="AD507" s="1">
        <v>22.0</v>
      </c>
      <c r="AE507" s="1">
        <v>19.0</v>
      </c>
      <c r="AF507" s="1" t="s">
        <v>54</v>
      </c>
      <c r="AG507" s="1">
        <v>32.0</v>
      </c>
      <c r="AH507" s="1">
        <v>20.0</v>
      </c>
      <c r="AI507" s="1">
        <v>18.0</v>
      </c>
      <c r="AJ507" s="1">
        <v>12.0</v>
      </c>
      <c r="AK507" s="1">
        <v>10.0</v>
      </c>
      <c r="AL507" s="1">
        <v>210.0</v>
      </c>
      <c r="AM507" s="1">
        <v>10.0</v>
      </c>
      <c r="AN507" s="1">
        <v>30.0</v>
      </c>
      <c r="AO507" s="1">
        <v>30.0</v>
      </c>
      <c r="AP507" s="1" t="s">
        <v>2685</v>
      </c>
      <c r="AQ507" s="3" t="str">
        <f>HYPERLINK("https://icf.clappia.com/app/GMB253374/submission/AVG74191667/ICF247370-GMB253374-3cp5d05jgj3i00000000/SIG-20250701_18341ad250.jpeg", "SIG-20250701_18341ad250.jpeg")</f>
        <v>SIG-20250701_18341ad250.jpeg</v>
      </c>
      <c r="AR507" s="1" t="s">
        <v>2686</v>
      </c>
      <c r="AS507" s="3" t="str">
        <f>HYPERLINK("https://icf.clappia.com/app/GMB253374/submission/AVG74191667/ICF247370-GMB253374-5g6gfim806n200000000/SIG-20250701_183586611.jpeg", "SIG-20250701_183586611.jpeg")</f>
        <v>SIG-20250701_183586611.jpeg</v>
      </c>
      <c r="AT507" s="1" t="s">
        <v>2687</v>
      </c>
      <c r="AU507" s="3" t="str">
        <f>HYPERLINK("https://icf.clappia.com/app/GMB253374/submission/AVG74191667/ICF247370-GMB253374-ola984kgcmno0000000/SIG-20250701_18366cin0.jpeg", "SIG-20250701_18366cin0.jpeg")</f>
        <v>SIG-20250701_18366cin0.jpeg</v>
      </c>
      <c r="AV507" s="3" t="str">
        <f>HYPERLINK("https://www.google.com/maps/place/7.7677701%2C-12.0908753", "7.7677701,-12.0908753")</f>
        <v>7.7677701,-12.0908753</v>
      </c>
    </row>
    <row r="508" ht="15.75" customHeight="1">
      <c r="A508" s="1" t="s">
        <v>2688</v>
      </c>
      <c r="B508" s="1" t="s">
        <v>155</v>
      </c>
      <c r="C508" s="1" t="s">
        <v>2689</v>
      </c>
      <c r="D508" s="1" t="s">
        <v>2689</v>
      </c>
      <c r="E508" s="1" t="s">
        <v>1387</v>
      </c>
      <c r="F508" s="1" t="s">
        <v>64</v>
      </c>
      <c r="G508" s="1">
        <v>100.0</v>
      </c>
      <c r="H508" s="1" t="s">
        <v>50</v>
      </c>
      <c r="I508" s="1" t="s">
        <v>55</v>
      </c>
      <c r="J508" s="1" t="s">
        <v>55</v>
      </c>
      <c r="K508" s="1" t="s">
        <v>55</v>
      </c>
      <c r="L508" s="1" t="s">
        <v>55</v>
      </c>
      <c r="M508" s="1" t="s">
        <v>55</v>
      </c>
      <c r="N508" s="1" t="s">
        <v>51</v>
      </c>
      <c r="O508" s="1" t="s">
        <v>55</v>
      </c>
      <c r="P508" s="1" t="s">
        <v>55</v>
      </c>
      <c r="Q508" s="1" t="s">
        <v>55</v>
      </c>
      <c r="R508" s="1" t="s">
        <v>55</v>
      </c>
      <c r="S508" s="1" t="s">
        <v>55</v>
      </c>
      <c r="T508" s="1" t="s">
        <v>52</v>
      </c>
      <c r="U508" s="1">
        <v>49.0</v>
      </c>
      <c r="V508" s="1">
        <v>27.0</v>
      </c>
      <c r="W508" s="1">
        <v>27.0</v>
      </c>
      <c r="X508" s="1">
        <v>22.0</v>
      </c>
      <c r="Y508" s="1">
        <v>22.0</v>
      </c>
      <c r="Z508" s="1" t="s">
        <v>53</v>
      </c>
      <c r="AA508" s="1">
        <v>48.0</v>
      </c>
      <c r="AB508" s="1">
        <v>28.0</v>
      </c>
      <c r="AC508" s="1">
        <v>28.0</v>
      </c>
      <c r="AD508" s="1">
        <v>20.0</v>
      </c>
      <c r="AE508" s="1">
        <v>20.0</v>
      </c>
      <c r="AF508" s="1" t="s">
        <v>54</v>
      </c>
      <c r="AG508" s="1" t="s">
        <v>55</v>
      </c>
      <c r="AH508" s="1" t="s">
        <v>55</v>
      </c>
      <c r="AI508" s="1" t="s">
        <v>55</v>
      </c>
      <c r="AJ508" s="1" t="s">
        <v>55</v>
      </c>
      <c r="AK508" s="1" t="s">
        <v>55</v>
      </c>
      <c r="AL508" s="1">
        <v>97.0</v>
      </c>
      <c r="AM508" s="1" t="s">
        <v>55</v>
      </c>
      <c r="AN508" s="1">
        <v>3.0</v>
      </c>
      <c r="AO508" s="1">
        <v>3.0</v>
      </c>
      <c r="AP508" s="1" t="s">
        <v>396</v>
      </c>
      <c r="AQ508" s="3" t="str">
        <f>HYPERLINK("https://icf.clappia.com/app/GMB253374/submission/GBL69580718/ICF247370-GMB253374-4hfpgjc70c4o00000000/SIG-20250701_181822b29.jpeg", "SIG-20250701_181822b29.jpeg")</f>
        <v>SIG-20250701_181822b29.jpeg</v>
      </c>
      <c r="AR508" s="1" t="s">
        <v>1388</v>
      </c>
      <c r="AS508" s="3" t="str">
        <f>HYPERLINK("https://icf.clappia.com/app/GMB253374/submission/GBL69580718/ICF247370-GMB253374-23kkigillb8i40000000/SIG-20250701_1820ge928.jpeg", "SIG-20250701_1820ge928.jpeg")</f>
        <v>SIG-20250701_1820ge928.jpeg</v>
      </c>
      <c r="AT508" s="1" t="s">
        <v>2690</v>
      </c>
      <c r="AU508" s="3" t="str">
        <f>HYPERLINK("https://icf.clappia.com/app/GMB253374/submission/GBL69580718/ICF247370-GMB253374-k97aldlhd38c0000000/SIG-20250701_18216ihdb.jpeg", "SIG-20250701_18216ihdb.jpeg")</f>
        <v>SIG-20250701_18216ihdb.jpeg</v>
      </c>
      <c r="AV508" s="3" t="str">
        <f>HYPERLINK("https://www.google.com/maps/place/8.6998233%2C-12.0022167", "8.6998233,-12.0022167")</f>
        <v>8.6998233,-12.0022167</v>
      </c>
    </row>
    <row r="509" ht="15.75" customHeight="1">
      <c r="A509" s="1" t="s">
        <v>2691</v>
      </c>
      <c r="B509" s="1" t="s">
        <v>356</v>
      </c>
      <c r="C509" s="1" t="s">
        <v>2692</v>
      </c>
      <c r="D509" s="1" t="s">
        <v>2692</v>
      </c>
      <c r="E509" s="1" t="s">
        <v>2693</v>
      </c>
      <c r="F509" s="1" t="s">
        <v>64</v>
      </c>
      <c r="G509" s="1">
        <v>568.0</v>
      </c>
      <c r="H509" s="1" t="s">
        <v>50</v>
      </c>
      <c r="I509" s="1">
        <v>99.0</v>
      </c>
      <c r="J509" s="1">
        <v>54.0</v>
      </c>
      <c r="K509" s="1">
        <v>54.0</v>
      </c>
      <c r="L509" s="1">
        <v>45.0</v>
      </c>
      <c r="M509" s="1">
        <v>45.0</v>
      </c>
      <c r="N509" s="1" t="s">
        <v>51</v>
      </c>
      <c r="O509" s="1">
        <v>82.0</v>
      </c>
      <c r="P509" s="1">
        <v>34.0</v>
      </c>
      <c r="Q509" s="1">
        <v>34.0</v>
      </c>
      <c r="R509" s="1">
        <v>48.0</v>
      </c>
      <c r="S509" s="1">
        <v>48.0</v>
      </c>
      <c r="T509" s="1" t="s">
        <v>52</v>
      </c>
      <c r="U509" s="1">
        <v>120.0</v>
      </c>
      <c r="V509" s="1">
        <v>65.0</v>
      </c>
      <c r="W509" s="1">
        <v>65.0</v>
      </c>
      <c r="X509" s="1">
        <v>55.0</v>
      </c>
      <c r="Y509" s="1">
        <v>55.0</v>
      </c>
      <c r="Z509" s="1" t="s">
        <v>53</v>
      </c>
      <c r="AA509" s="1">
        <v>116.0</v>
      </c>
      <c r="AB509" s="1">
        <v>61.0</v>
      </c>
      <c r="AC509" s="1">
        <v>61.0</v>
      </c>
      <c r="AD509" s="1">
        <v>55.0</v>
      </c>
      <c r="AE509" s="1">
        <v>55.0</v>
      </c>
      <c r="AF509" s="1" t="s">
        <v>54</v>
      </c>
      <c r="AG509" s="1">
        <v>78.0</v>
      </c>
      <c r="AH509" s="1">
        <v>44.0</v>
      </c>
      <c r="AI509" s="1">
        <v>44.0</v>
      </c>
      <c r="AJ509" s="1">
        <v>34.0</v>
      </c>
      <c r="AK509" s="1">
        <v>34.0</v>
      </c>
      <c r="AL509" s="1">
        <v>495.0</v>
      </c>
      <c r="AM509" s="1" t="s">
        <v>55</v>
      </c>
      <c r="AN509" s="1">
        <v>73.0</v>
      </c>
      <c r="AO509" s="1">
        <v>73.0</v>
      </c>
      <c r="AP509" s="1" t="s">
        <v>2694</v>
      </c>
      <c r="AQ509" s="3" t="str">
        <f>HYPERLINK("https://icf.clappia.com/app/GMB253374/submission/UEN12419413/ICF247370-GMB253374-561je7b1imog00000000/SIG-20250701_1810d3elm.jpeg", "SIG-20250701_1810d3elm.jpeg")</f>
        <v>SIG-20250701_1810d3elm.jpeg</v>
      </c>
      <c r="AR509" s="1" t="s">
        <v>2695</v>
      </c>
      <c r="AS509" s="3" t="str">
        <f>HYPERLINK("https://icf.clappia.com/app/GMB253374/submission/UEN12419413/ICF247370-GMB253374-5f9kc6f477da00000000/SIG-20250701_1809lb7o1.jpeg", "SIG-20250701_1809lb7o1.jpeg")</f>
        <v>SIG-20250701_1809lb7o1.jpeg</v>
      </c>
      <c r="AT509" s="1" t="s">
        <v>2696</v>
      </c>
      <c r="AU509" s="3" t="str">
        <f>HYPERLINK("https://icf.clappia.com/app/GMB253374/submission/UEN12419413/ICF247370-GMB253374-61lekod2lj4c00000000/SIG-20250701_1809kaa45.jpeg", "SIG-20250701_1809kaa45.jpeg")</f>
        <v>SIG-20250701_1809kaa45.jpeg</v>
      </c>
      <c r="AV509" s="3" t="str">
        <f>HYPERLINK("https://www.google.com/maps/place/8.4167643%2C-11.6674726", "8.4167643,-11.6674726")</f>
        <v>8.4167643,-11.6674726</v>
      </c>
    </row>
    <row r="510" ht="15.75" customHeight="1">
      <c r="A510" s="1" t="s">
        <v>2697</v>
      </c>
      <c r="B510" s="1" t="s">
        <v>356</v>
      </c>
      <c r="C510" s="1" t="s">
        <v>2698</v>
      </c>
      <c r="D510" s="1" t="s">
        <v>2698</v>
      </c>
      <c r="E510" s="1" t="s">
        <v>2699</v>
      </c>
      <c r="F510" s="1" t="s">
        <v>64</v>
      </c>
      <c r="G510" s="1">
        <v>100.0</v>
      </c>
      <c r="H510" s="1" t="s">
        <v>50</v>
      </c>
      <c r="I510" s="1">
        <v>46.0</v>
      </c>
      <c r="J510" s="1">
        <v>24.0</v>
      </c>
      <c r="K510" s="1">
        <v>24.0</v>
      </c>
      <c r="L510" s="1">
        <v>22.0</v>
      </c>
      <c r="M510" s="1">
        <v>22.0</v>
      </c>
      <c r="N510" s="1" t="s">
        <v>51</v>
      </c>
      <c r="O510" s="1">
        <v>39.0</v>
      </c>
      <c r="P510" s="1">
        <v>28.0</v>
      </c>
      <c r="Q510" s="1">
        <v>28.0</v>
      </c>
      <c r="R510" s="1">
        <v>11.0</v>
      </c>
      <c r="S510" s="1">
        <v>11.0</v>
      </c>
      <c r="T510" s="1" t="s">
        <v>52</v>
      </c>
      <c r="U510" s="1">
        <v>8.0</v>
      </c>
      <c r="V510" s="1">
        <v>5.0</v>
      </c>
      <c r="W510" s="1">
        <v>4.0</v>
      </c>
      <c r="X510" s="1">
        <v>3.0</v>
      </c>
      <c r="Y510" s="1">
        <v>2.0</v>
      </c>
      <c r="Z510" s="1" t="s">
        <v>53</v>
      </c>
      <c r="AA510" s="1" t="s">
        <v>55</v>
      </c>
      <c r="AB510" s="1" t="s">
        <v>55</v>
      </c>
      <c r="AC510" s="1" t="s">
        <v>55</v>
      </c>
      <c r="AD510" s="1" t="s">
        <v>55</v>
      </c>
      <c r="AE510" s="1" t="s">
        <v>55</v>
      </c>
      <c r="AF510" s="1" t="s">
        <v>54</v>
      </c>
      <c r="AG510" s="1" t="s">
        <v>55</v>
      </c>
      <c r="AH510" s="1" t="s">
        <v>55</v>
      </c>
      <c r="AI510" s="1" t="s">
        <v>55</v>
      </c>
      <c r="AJ510" s="1" t="s">
        <v>55</v>
      </c>
      <c r="AK510" s="1" t="s">
        <v>55</v>
      </c>
      <c r="AL510" s="1">
        <v>91.0</v>
      </c>
      <c r="AM510" s="1">
        <v>2.0</v>
      </c>
      <c r="AN510" s="1">
        <v>7.0</v>
      </c>
      <c r="AO510" s="1">
        <v>7.0</v>
      </c>
      <c r="AP510" s="1" t="s">
        <v>2700</v>
      </c>
      <c r="AQ510" s="3" t="str">
        <f>HYPERLINK("https://icf.clappia.com/app/GMB253374/submission/FDX23400396/ICF247370-GMB253374-3kkgnkfjd4me00000000/SIG-20250701_1809jgi7a.jpeg", "SIG-20250701_1809jgi7a.jpeg")</f>
        <v>SIG-20250701_1809jgi7a.jpeg</v>
      </c>
      <c r="AR510" s="1" t="s">
        <v>2701</v>
      </c>
      <c r="AS510" s="3" t="str">
        <f>HYPERLINK("https://icf.clappia.com/app/GMB253374/submission/FDX23400396/ICF247370-GMB253374-616ekj4dc84200000000/SIG-20250701_181019i8ie.jpeg", "SIG-20250701_181019i8ie.jpeg")</f>
        <v>SIG-20250701_181019i8ie.jpeg</v>
      </c>
      <c r="AT510" s="1" t="s">
        <v>2702</v>
      </c>
      <c r="AU510" s="3" t="str">
        <f>HYPERLINK("https://icf.clappia.com/app/GMB253374/submission/FDX23400396/ICF247370-GMB253374-2o2f2fh4a19400000000/SIG-20250701_1810d95g8.jpeg", "SIG-20250701_1810d95g8.jpeg")</f>
        <v>SIG-20250701_1810d95g8.jpeg</v>
      </c>
      <c r="AV510" s="3" t="str">
        <f>HYPERLINK("https://www.google.com/maps/place/8.4356674%2C-11.6813908", "8.4356674,-11.6813908")</f>
        <v>8.4356674,-11.6813908</v>
      </c>
    </row>
    <row r="511" ht="15.75" customHeight="1">
      <c r="A511" s="1" t="s">
        <v>2703</v>
      </c>
      <c r="B511" s="1" t="s">
        <v>81</v>
      </c>
      <c r="C511" s="1" t="s">
        <v>2704</v>
      </c>
      <c r="D511" s="1" t="s">
        <v>2705</v>
      </c>
      <c r="E511" s="1" t="s">
        <v>2706</v>
      </c>
      <c r="F511" s="1" t="s">
        <v>64</v>
      </c>
      <c r="G511" s="1">
        <v>350.0</v>
      </c>
      <c r="H511" s="1" t="s">
        <v>50</v>
      </c>
      <c r="I511" s="1">
        <v>79.0</v>
      </c>
      <c r="J511" s="1">
        <v>45.0</v>
      </c>
      <c r="K511" s="1">
        <v>40.0</v>
      </c>
      <c r="L511" s="1">
        <v>34.0</v>
      </c>
      <c r="M511" s="1">
        <v>20.0</v>
      </c>
      <c r="N511" s="1" t="s">
        <v>51</v>
      </c>
      <c r="O511" s="1">
        <v>50.0</v>
      </c>
      <c r="P511" s="1">
        <v>30.0</v>
      </c>
      <c r="Q511" s="1">
        <v>30.0</v>
      </c>
      <c r="R511" s="1">
        <v>20.0</v>
      </c>
      <c r="S511" s="1">
        <v>20.0</v>
      </c>
      <c r="T511" s="1" t="s">
        <v>52</v>
      </c>
      <c r="U511" s="1">
        <v>60.0</v>
      </c>
      <c r="V511" s="1">
        <v>29.0</v>
      </c>
      <c r="W511" s="1">
        <v>29.0</v>
      </c>
      <c r="X511" s="1">
        <v>30.0</v>
      </c>
      <c r="Y511" s="1">
        <v>30.0</v>
      </c>
      <c r="Z511" s="1" t="s">
        <v>53</v>
      </c>
      <c r="AA511" s="1">
        <v>69.0</v>
      </c>
      <c r="AB511" s="1">
        <v>39.0</v>
      </c>
      <c r="AC511" s="1">
        <v>39.0</v>
      </c>
      <c r="AD511" s="1">
        <v>30.0</v>
      </c>
      <c r="AE511" s="1">
        <v>30.0</v>
      </c>
      <c r="AF511" s="1" t="s">
        <v>54</v>
      </c>
      <c r="AG511" s="1">
        <v>69.0</v>
      </c>
      <c r="AH511" s="1">
        <v>37.0</v>
      </c>
      <c r="AI511" s="1">
        <v>37.0</v>
      </c>
      <c r="AJ511" s="1">
        <v>32.0</v>
      </c>
      <c r="AK511" s="1">
        <v>32.0</v>
      </c>
      <c r="AL511" s="1">
        <v>307.0</v>
      </c>
      <c r="AM511" s="1" t="s">
        <v>55</v>
      </c>
      <c r="AN511" s="1">
        <v>43.0</v>
      </c>
      <c r="AO511" s="1">
        <v>43.0</v>
      </c>
      <c r="AP511" s="1" t="s">
        <v>2707</v>
      </c>
      <c r="AQ511" s="3" t="str">
        <f>HYPERLINK("https://icf.clappia.com/app/GMB253374/submission/TRI09618673/ICF247370-GMB253374-5873fh4cik8m00000000/SIG-20250701_1034a91pd.jpeg", "SIG-20250701_1034a91pd.jpeg")</f>
        <v>SIG-20250701_1034a91pd.jpeg</v>
      </c>
      <c r="AR511" s="1" t="s">
        <v>2708</v>
      </c>
      <c r="AS511" s="3" t="str">
        <f>HYPERLINK("https://icf.clappia.com/app/GMB253374/submission/TRI09618673/ICF247370-GMB253374-280c51oo944m40000000/SIG-20250701_1036237i1.jpeg", "SIG-20250701_1036237i1.jpeg")</f>
        <v>SIG-20250701_1036237i1.jpeg</v>
      </c>
      <c r="AT511" s="1" t="s">
        <v>2709</v>
      </c>
      <c r="AU511" s="3" t="str">
        <f>HYPERLINK("https://icf.clappia.com/app/GMB253374/submission/TRI09618673/ICF247370-GMB253374-2fc6o45p1fbk00000000/SIG-20250701_1036g1n9f.jpeg", "SIG-20250701_1036g1n9f.jpeg")</f>
        <v>SIG-20250701_1036g1n9f.jpeg</v>
      </c>
      <c r="AV511" s="3" t="str">
        <f>HYPERLINK("https://www.google.com/maps/place/7.9492333%2C-11.7346033", "7.9492333,-11.7346033")</f>
        <v>7.9492333,-11.7346033</v>
      </c>
    </row>
    <row r="512" ht="15.75" customHeight="1">
      <c r="A512" s="1" t="s">
        <v>2710</v>
      </c>
      <c r="B512" s="1" t="s">
        <v>60</v>
      </c>
      <c r="C512" s="1" t="s">
        <v>2711</v>
      </c>
      <c r="D512" s="1" t="s">
        <v>2711</v>
      </c>
      <c r="E512" s="1" t="s">
        <v>2712</v>
      </c>
      <c r="F512" s="1" t="s">
        <v>64</v>
      </c>
      <c r="G512" s="1">
        <v>817.0</v>
      </c>
      <c r="H512" s="1" t="s">
        <v>50</v>
      </c>
      <c r="I512" s="1">
        <v>168.0</v>
      </c>
      <c r="J512" s="1">
        <v>78.0</v>
      </c>
      <c r="K512" s="1">
        <v>42.0</v>
      </c>
      <c r="L512" s="1">
        <v>90.0</v>
      </c>
      <c r="M512" s="1">
        <v>50.0</v>
      </c>
      <c r="N512" s="1" t="s">
        <v>51</v>
      </c>
      <c r="O512" s="1">
        <v>170.0</v>
      </c>
      <c r="P512" s="1">
        <v>75.0</v>
      </c>
      <c r="Q512" s="1">
        <v>40.0</v>
      </c>
      <c r="R512" s="1">
        <v>95.0</v>
      </c>
      <c r="S512" s="1">
        <v>50.0</v>
      </c>
      <c r="T512" s="1" t="s">
        <v>52</v>
      </c>
      <c r="U512" s="1">
        <v>169.0</v>
      </c>
      <c r="V512" s="1">
        <v>80.0</v>
      </c>
      <c r="W512" s="1">
        <v>50.0</v>
      </c>
      <c r="X512" s="1">
        <v>89.0</v>
      </c>
      <c r="Y512" s="1">
        <v>60.0</v>
      </c>
      <c r="Z512" s="1" t="s">
        <v>53</v>
      </c>
      <c r="AA512" s="1">
        <v>160.0</v>
      </c>
      <c r="AB512" s="1">
        <v>74.0</v>
      </c>
      <c r="AC512" s="1">
        <v>55.0</v>
      </c>
      <c r="AD512" s="1">
        <v>86.0</v>
      </c>
      <c r="AE512" s="1">
        <v>40.0</v>
      </c>
      <c r="AF512" s="1" t="s">
        <v>54</v>
      </c>
      <c r="AG512" s="1">
        <v>150.0</v>
      </c>
      <c r="AH512" s="1">
        <v>65.0</v>
      </c>
      <c r="AI512" s="1">
        <v>53.0</v>
      </c>
      <c r="AJ512" s="1">
        <v>85.0</v>
      </c>
      <c r="AK512" s="1">
        <v>67.0</v>
      </c>
      <c r="AL512" s="1">
        <v>507.0</v>
      </c>
      <c r="AM512" s="1" t="s">
        <v>55</v>
      </c>
      <c r="AN512" s="1">
        <v>310.0</v>
      </c>
      <c r="AO512" s="1">
        <v>310.0</v>
      </c>
      <c r="AP512" s="1" t="s">
        <v>2713</v>
      </c>
      <c r="AQ512" s="3" t="str">
        <f>HYPERLINK("https://icf.clappia.com/app/GMB253374/submission/LDJ30047763/ICF247370-GMB253374-3nnlle55k4de00000000/SIG-20250701_1801khb7i.jpeg", "SIG-20250701_1801khb7i.jpeg")</f>
        <v>SIG-20250701_1801khb7i.jpeg</v>
      </c>
      <c r="AR512" s="1" t="s">
        <v>2714</v>
      </c>
      <c r="AS512" s="3" t="str">
        <f>HYPERLINK("https://icf.clappia.com/app/GMB253374/submission/LDJ30047763/ICF247370-GMB253374-3c1o8p44769e00000000/SIG-20250701_1802f0251.jpeg", "SIG-20250701_1802f0251.jpeg")</f>
        <v>SIG-20250701_1802f0251.jpeg</v>
      </c>
      <c r="AT512" s="1" t="s">
        <v>2715</v>
      </c>
      <c r="AU512" s="3" t="str">
        <f>HYPERLINK("https://icf.clappia.com/app/GMB253374/submission/LDJ30047763/ICF247370-GMB253374-dp6d1h95500o0000000/SIG-20250701_1803163231.jpeg", "SIG-20250701_1803163231.jpeg")</f>
        <v>SIG-20250701_1803163231.jpeg</v>
      </c>
      <c r="AV512" s="3" t="str">
        <f>HYPERLINK("https://www.google.com/maps/place/7.9758583%2C-11.7384633", "7.9758583,-11.7384633")</f>
        <v>7.9758583,-11.7384633</v>
      </c>
    </row>
    <row r="513" ht="15.75" customHeight="1">
      <c r="A513" s="1" t="s">
        <v>2716</v>
      </c>
      <c r="B513" s="1" t="s">
        <v>81</v>
      </c>
      <c r="C513" s="1" t="s">
        <v>2717</v>
      </c>
      <c r="D513" s="1" t="s">
        <v>2717</v>
      </c>
      <c r="E513" s="1" t="s">
        <v>2718</v>
      </c>
      <c r="F513" s="1" t="s">
        <v>64</v>
      </c>
      <c r="G513" s="1">
        <v>291.0</v>
      </c>
      <c r="H513" s="1" t="s">
        <v>50</v>
      </c>
      <c r="I513" s="1">
        <v>64.0</v>
      </c>
      <c r="J513" s="1">
        <v>28.0</v>
      </c>
      <c r="K513" s="1">
        <v>26.0</v>
      </c>
      <c r="L513" s="1">
        <v>26.0</v>
      </c>
      <c r="M513" s="1">
        <v>25.0</v>
      </c>
      <c r="N513" s="1" t="s">
        <v>51</v>
      </c>
      <c r="O513" s="1">
        <v>58.0</v>
      </c>
      <c r="P513" s="1">
        <v>30.0</v>
      </c>
      <c r="Q513" s="1">
        <v>30.0</v>
      </c>
      <c r="R513" s="1">
        <v>28.0</v>
      </c>
      <c r="S513" s="1">
        <v>26.0</v>
      </c>
      <c r="T513" s="1" t="s">
        <v>52</v>
      </c>
      <c r="U513" s="1">
        <v>52.0</v>
      </c>
      <c r="V513" s="1">
        <v>27.0</v>
      </c>
      <c r="W513" s="1">
        <v>26.0</v>
      </c>
      <c r="X513" s="1">
        <v>25.0</v>
      </c>
      <c r="Y513" s="1">
        <v>23.0</v>
      </c>
      <c r="Z513" s="1" t="s">
        <v>53</v>
      </c>
      <c r="AA513" s="1">
        <v>63.0</v>
      </c>
      <c r="AB513" s="1">
        <v>34.0</v>
      </c>
      <c r="AC513" s="1">
        <v>34.0</v>
      </c>
      <c r="AD513" s="1">
        <v>29.0</v>
      </c>
      <c r="AE513" s="1">
        <v>29.0</v>
      </c>
      <c r="AF513" s="1" t="s">
        <v>54</v>
      </c>
      <c r="AG513" s="1">
        <v>64.0</v>
      </c>
      <c r="AH513" s="1">
        <v>28.0</v>
      </c>
      <c r="AI513" s="1">
        <v>28.0</v>
      </c>
      <c r="AJ513" s="1">
        <v>36.0</v>
      </c>
      <c r="AK513" s="1">
        <v>36.0</v>
      </c>
      <c r="AL513" s="1">
        <v>283.0</v>
      </c>
      <c r="AM513" s="1">
        <v>8.0</v>
      </c>
      <c r="AN513" s="1" t="s">
        <v>55</v>
      </c>
      <c r="AO513" s="1" t="s">
        <v>55</v>
      </c>
      <c r="AP513" s="1" t="s">
        <v>232</v>
      </c>
      <c r="AQ513" s="3" t="str">
        <f>HYPERLINK("https://icf.clappia.com/app/GMB253374/submission/AKH65103850/ICF247370-GMB253374-3d8b2gc0ojc400000000/SIG-20250701_17375jgj3.jpeg", "SIG-20250701_17375jgj3.jpeg")</f>
        <v>SIG-20250701_17375jgj3.jpeg</v>
      </c>
      <c r="AR513" s="1" t="s">
        <v>233</v>
      </c>
      <c r="AS513" s="3" t="str">
        <f>HYPERLINK("https://icf.clappia.com/app/GMB253374/submission/AKH65103850/ICF247370-GMB253374-5ogipna8jk2800000000/SIG-20250701_1737hfm4c.jpeg", "SIG-20250701_1737hfm4c.jpeg")</f>
        <v>SIG-20250701_1737hfm4c.jpeg</v>
      </c>
      <c r="AT513" s="1" t="s">
        <v>2719</v>
      </c>
      <c r="AU513" s="3" t="str">
        <f>HYPERLINK("https://icf.clappia.com/app/GMB253374/submission/AKH65103850/ICF247370-GMB253374-pbogeodd0kmk0000000/SIG-20250701_17389pfl7.jpeg", "SIG-20250701_17389pfl7.jpeg")</f>
        <v>SIG-20250701_17389pfl7.jpeg</v>
      </c>
      <c r="AV513" s="3" t="str">
        <f>HYPERLINK("https://www.google.com/maps/place/7.9700233%2C-11.7435683", "7.9700233,-11.7435683")</f>
        <v>7.9700233,-11.7435683</v>
      </c>
    </row>
    <row r="514" ht="15.75" customHeight="1">
      <c r="A514" s="1" t="s">
        <v>2720</v>
      </c>
      <c r="B514" s="1" t="s">
        <v>102</v>
      </c>
      <c r="C514" s="1" t="s">
        <v>2721</v>
      </c>
      <c r="D514" s="1" t="s">
        <v>2721</v>
      </c>
      <c r="E514" s="1" t="s">
        <v>2722</v>
      </c>
      <c r="F514" s="1" t="s">
        <v>64</v>
      </c>
      <c r="G514" s="1">
        <v>179.0</v>
      </c>
      <c r="H514" s="1" t="s">
        <v>50</v>
      </c>
      <c r="I514" s="1">
        <v>100.0</v>
      </c>
      <c r="J514" s="1">
        <v>40.0</v>
      </c>
      <c r="K514" s="1">
        <v>40.0</v>
      </c>
      <c r="L514" s="1">
        <v>60.0</v>
      </c>
      <c r="M514" s="1">
        <v>60.0</v>
      </c>
      <c r="N514" s="1" t="s">
        <v>51</v>
      </c>
      <c r="O514" s="1">
        <v>27.0</v>
      </c>
      <c r="P514" s="1">
        <v>21.0</v>
      </c>
      <c r="Q514" s="1">
        <v>21.0</v>
      </c>
      <c r="R514" s="1">
        <v>6.0</v>
      </c>
      <c r="S514" s="1">
        <v>6.0</v>
      </c>
      <c r="T514" s="1" t="s">
        <v>52</v>
      </c>
      <c r="U514" s="1">
        <v>21.0</v>
      </c>
      <c r="V514" s="1">
        <v>8.0</v>
      </c>
      <c r="W514" s="1">
        <v>8.0</v>
      </c>
      <c r="X514" s="1">
        <v>13.0</v>
      </c>
      <c r="Y514" s="1">
        <v>13.0</v>
      </c>
      <c r="Z514" s="1" t="s">
        <v>53</v>
      </c>
      <c r="AA514" s="1">
        <v>22.0</v>
      </c>
      <c r="AB514" s="1">
        <v>12.0</v>
      </c>
      <c r="AC514" s="1">
        <v>12.0</v>
      </c>
      <c r="AD514" s="1">
        <v>10.0</v>
      </c>
      <c r="AE514" s="1">
        <v>10.0</v>
      </c>
      <c r="AF514" s="1" t="s">
        <v>54</v>
      </c>
      <c r="AG514" s="1">
        <v>28.0</v>
      </c>
      <c r="AH514" s="1">
        <v>21.0</v>
      </c>
      <c r="AI514" s="1">
        <v>2.0</v>
      </c>
      <c r="AJ514" s="1">
        <v>7.0</v>
      </c>
      <c r="AK514" s="1">
        <v>7.0</v>
      </c>
      <c r="AL514" s="1">
        <v>179.0</v>
      </c>
      <c r="AM514" s="1" t="s">
        <v>55</v>
      </c>
      <c r="AN514" s="1" t="s">
        <v>55</v>
      </c>
      <c r="AO514" s="1" t="s">
        <v>55</v>
      </c>
      <c r="AP514" s="1" t="s">
        <v>1934</v>
      </c>
      <c r="AQ514" s="3" t="str">
        <f>HYPERLINK("https://icf.clappia.com/app/GMB253374/submission/KAO78284059/ICF247370-GMB253374-4hcipn93ke4e00000000/SIG-20250701_130718ik46.jpeg", "SIG-20250701_130718ik46.jpeg")</f>
        <v>SIG-20250701_130718ik46.jpeg</v>
      </c>
      <c r="AR514" s="1" t="s">
        <v>2723</v>
      </c>
      <c r="AS514" s="3" t="str">
        <f>HYPERLINK("https://icf.clappia.com/app/GMB253374/submission/KAO78284059/ICF247370-GMB253374-3i22n81f46l200000000/SIG-20250701_1307ik847.jpeg", "SIG-20250701_1307ik847.jpeg")</f>
        <v>SIG-20250701_1307ik847.jpeg</v>
      </c>
      <c r="AT514" s="1" t="s">
        <v>2724</v>
      </c>
      <c r="AU514" s="3" t="str">
        <f>HYPERLINK("https://icf.clappia.com/app/GMB253374/submission/KAO78284059/ICF247370-GMB253374-7e6k76kik4eo0000000/SIG-20250701_1308om6mo.jpeg", "SIG-20250701_1308om6mo.jpeg")</f>
        <v>SIG-20250701_1308om6mo.jpeg</v>
      </c>
      <c r="AV514" s="3" t="str">
        <f>HYPERLINK("https://www.google.com/maps/place/9.130685%2C-12.0104317", "9.130685,-12.0104317")</f>
        <v>9.130685,-12.0104317</v>
      </c>
    </row>
    <row r="515" ht="15.75" customHeight="1">
      <c r="A515" s="1" t="s">
        <v>2725</v>
      </c>
      <c r="B515" s="1" t="s">
        <v>536</v>
      </c>
      <c r="C515" s="1" t="s">
        <v>2726</v>
      </c>
      <c r="D515" s="1" t="s">
        <v>2726</v>
      </c>
      <c r="E515" s="2" t="s">
        <v>1584</v>
      </c>
      <c r="F515" s="1" t="s">
        <v>64</v>
      </c>
      <c r="G515" s="1">
        <v>300.0</v>
      </c>
      <c r="H515" s="1" t="s">
        <v>50</v>
      </c>
      <c r="I515" s="1">
        <v>96.0</v>
      </c>
      <c r="J515" s="1">
        <v>45.0</v>
      </c>
      <c r="K515" s="1">
        <v>32.0</v>
      </c>
      <c r="L515" s="1">
        <v>51.0</v>
      </c>
      <c r="M515" s="1">
        <v>41.0</v>
      </c>
      <c r="N515" s="1" t="s">
        <v>51</v>
      </c>
      <c r="O515" s="1">
        <v>97.0</v>
      </c>
      <c r="P515" s="1">
        <v>46.0</v>
      </c>
      <c r="Q515" s="1">
        <v>32.0</v>
      </c>
      <c r="R515" s="1">
        <v>51.0</v>
      </c>
      <c r="S515" s="1">
        <v>35.0</v>
      </c>
      <c r="T515" s="1" t="s">
        <v>52</v>
      </c>
      <c r="U515" s="1">
        <v>82.0</v>
      </c>
      <c r="V515" s="1">
        <v>40.0</v>
      </c>
      <c r="W515" s="1">
        <v>35.0</v>
      </c>
      <c r="X515" s="1">
        <v>42.0</v>
      </c>
      <c r="Y515" s="1">
        <v>37.0</v>
      </c>
      <c r="Z515" s="1" t="s">
        <v>53</v>
      </c>
      <c r="AA515" s="1">
        <v>49.0</v>
      </c>
      <c r="AB515" s="1">
        <v>25.0</v>
      </c>
      <c r="AC515" s="1">
        <v>25.0</v>
      </c>
      <c r="AD515" s="1">
        <v>24.0</v>
      </c>
      <c r="AE515" s="1">
        <v>24.0</v>
      </c>
      <c r="AF515" s="1" t="s">
        <v>54</v>
      </c>
      <c r="AG515" s="1">
        <v>61.0</v>
      </c>
      <c r="AH515" s="1">
        <v>31.0</v>
      </c>
      <c r="AI515" s="1">
        <v>15.0</v>
      </c>
      <c r="AJ515" s="1">
        <v>30.0</v>
      </c>
      <c r="AK515" s="1">
        <v>14.0</v>
      </c>
      <c r="AL515" s="1">
        <v>290.0</v>
      </c>
      <c r="AM515" s="1">
        <v>10.0</v>
      </c>
      <c r="AN515" s="1" t="s">
        <v>55</v>
      </c>
      <c r="AO515" s="1" t="s">
        <v>55</v>
      </c>
      <c r="AP515" s="1" t="s">
        <v>1585</v>
      </c>
      <c r="AQ515" s="3" t="str">
        <f>HYPERLINK("https://icf.clappia.com/app/GMB253374/submission/KPN15356074/ICF247370-GMB253374-29ke9gae0900o0000000/SIG-20250701_1652i07mj.jpeg", "SIG-20250701_1652i07mj.jpeg")</f>
        <v>SIG-20250701_1652i07mj.jpeg</v>
      </c>
      <c r="AR515" s="1" t="s">
        <v>2727</v>
      </c>
      <c r="AS515" s="3" t="str">
        <f>HYPERLINK("https://icf.clappia.com/app/GMB253374/submission/KPN15356074/ICF247370-GMB253374-2llioffb60ge00000000/SIG-20250701_1653jo1d6.jpeg", "SIG-20250701_1653jo1d6.jpeg")</f>
        <v>SIG-20250701_1653jo1d6.jpeg</v>
      </c>
      <c r="AT515" s="1" t="s">
        <v>1587</v>
      </c>
      <c r="AU515" s="3" t="str">
        <f>HYPERLINK("https://icf.clappia.com/app/GMB253374/submission/KPN15356074/ICF247370-GMB253374-36858ncpnc1g00000000/SIG-20250701_1654ki6k8.jpeg", "SIG-20250701_1654ki6k8.jpeg")</f>
        <v>SIG-20250701_1654ki6k8.jpeg</v>
      </c>
      <c r="AV515" s="3" t="str">
        <f>HYPERLINK("https://www.google.com/maps/place/9.2363583%2C-12.0612917", "9.2363583,-12.0612917")</f>
        <v>9.2363583,-12.0612917</v>
      </c>
    </row>
    <row r="516" ht="15.75" customHeight="1">
      <c r="A516" s="1" t="s">
        <v>2728</v>
      </c>
      <c r="B516" s="1" t="s">
        <v>278</v>
      </c>
      <c r="C516" s="1" t="s">
        <v>2729</v>
      </c>
      <c r="D516" s="1" t="s">
        <v>2729</v>
      </c>
      <c r="E516" s="1" t="s">
        <v>2730</v>
      </c>
      <c r="F516" s="1" t="s">
        <v>64</v>
      </c>
      <c r="G516" s="1">
        <v>405.0</v>
      </c>
      <c r="H516" s="1" t="s">
        <v>50</v>
      </c>
      <c r="I516" s="1">
        <v>111.0</v>
      </c>
      <c r="J516" s="1">
        <v>56.0</v>
      </c>
      <c r="K516" s="1">
        <v>56.0</v>
      </c>
      <c r="L516" s="1">
        <v>55.0</v>
      </c>
      <c r="M516" s="1">
        <v>55.0</v>
      </c>
      <c r="N516" s="1" t="s">
        <v>51</v>
      </c>
      <c r="O516" s="1">
        <v>78.0</v>
      </c>
      <c r="P516" s="1">
        <v>44.0</v>
      </c>
      <c r="Q516" s="1">
        <v>44.0</v>
      </c>
      <c r="R516" s="1">
        <v>34.0</v>
      </c>
      <c r="S516" s="1">
        <v>34.0</v>
      </c>
      <c r="T516" s="1" t="s">
        <v>52</v>
      </c>
      <c r="U516" s="1">
        <v>77.0</v>
      </c>
      <c r="V516" s="1">
        <v>40.0</v>
      </c>
      <c r="W516" s="1">
        <v>40.0</v>
      </c>
      <c r="X516" s="1">
        <v>37.0</v>
      </c>
      <c r="Y516" s="1">
        <v>37.0</v>
      </c>
      <c r="Z516" s="1" t="s">
        <v>53</v>
      </c>
      <c r="AA516" s="1">
        <v>72.0</v>
      </c>
      <c r="AB516" s="1">
        <v>37.0</v>
      </c>
      <c r="AC516" s="1">
        <v>37.0</v>
      </c>
      <c r="AD516" s="1">
        <v>35.0</v>
      </c>
      <c r="AE516" s="1">
        <v>35.0</v>
      </c>
      <c r="AF516" s="1" t="s">
        <v>54</v>
      </c>
      <c r="AG516" s="1">
        <v>77.0</v>
      </c>
      <c r="AH516" s="1">
        <v>35.0</v>
      </c>
      <c r="AI516" s="1">
        <v>35.0</v>
      </c>
      <c r="AJ516" s="1">
        <v>32.0</v>
      </c>
      <c r="AK516" s="1">
        <v>32.0</v>
      </c>
      <c r="AL516" s="1">
        <v>405.0</v>
      </c>
      <c r="AM516" s="1" t="s">
        <v>55</v>
      </c>
      <c r="AN516" s="1" t="s">
        <v>55</v>
      </c>
      <c r="AO516" s="1" t="s">
        <v>55</v>
      </c>
      <c r="AP516" s="1" t="s">
        <v>2731</v>
      </c>
      <c r="AQ516" s="3" t="str">
        <f>HYPERLINK("https://icf.clappia.com/app/GMB253374/submission/EIS82120454/ICF247370-GMB253374-231e4dd0aiil60000000/SIG-20250701_1722567m0.jpeg", "SIG-20250701_1722567m0.jpeg")</f>
        <v>SIG-20250701_1722567m0.jpeg</v>
      </c>
      <c r="AR516" s="1" t="s">
        <v>2732</v>
      </c>
      <c r="AS516" s="3" t="str">
        <f>HYPERLINK("https://icf.clappia.com/app/GMB253374/submission/EIS82120454/ICF247370-GMB253374-3ca9o2j1lehc00000000/SIG-20250701_172417p3h3.jpeg", "SIG-20250701_172417p3h3.jpeg")</f>
        <v>SIG-20250701_172417p3h3.jpeg</v>
      </c>
      <c r="AT516" s="1" t="s">
        <v>2733</v>
      </c>
      <c r="AU516" s="3" t="str">
        <f>HYPERLINK("https://icf.clappia.com/app/GMB253374/submission/EIS82120454/ICF247370-GMB253374-31lemc4mi1i000000000/SIG-20250701_172478c3p.jpeg", "SIG-20250701_172478c3p.jpeg")</f>
        <v>SIG-20250701_172478c3p.jpeg</v>
      </c>
      <c r="AV516" s="3" t="str">
        <f>HYPERLINK("https://www.google.com/maps/place/9.2248248%2C-12.2077711", "9.2248248,-12.2077711")</f>
        <v>9.2248248,-12.2077711</v>
      </c>
    </row>
    <row r="517" ht="15.75" customHeight="1">
      <c r="A517" s="1" t="s">
        <v>2734</v>
      </c>
      <c r="B517" s="1" t="s">
        <v>60</v>
      </c>
      <c r="C517" s="1" t="s">
        <v>2735</v>
      </c>
      <c r="D517" s="1" t="s">
        <v>2735</v>
      </c>
      <c r="E517" s="1" t="s">
        <v>2736</v>
      </c>
      <c r="F517" s="1" t="s">
        <v>64</v>
      </c>
      <c r="G517" s="1">
        <v>216.0</v>
      </c>
      <c r="H517" s="1" t="s">
        <v>50</v>
      </c>
      <c r="I517" s="1">
        <v>57.0</v>
      </c>
      <c r="J517" s="1">
        <v>21.0</v>
      </c>
      <c r="K517" s="1">
        <v>19.0</v>
      </c>
      <c r="L517" s="1">
        <v>36.0</v>
      </c>
      <c r="M517" s="1">
        <v>35.0</v>
      </c>
      <c r="N517" s="1" t="s">
        <v>51</v>
      </c>
      <c r="O517" s="1">
        <v>33.0</v>
      </c>
      <c r="P517" s="1">
        <v>13.0</v>
      </c>
      <c r="Q517" s="1">
        <v>13.0</v>
      </c>
      <c r="R517" s="1">
        <v>20.0</v>
      </c>
      <c r="S517" s="1">
        <v>20.0</v>
      </c>
      <c r="T517" s="1" t="s">
        <v>52</v>
      </c>
      <c r="U517" s="1">
        <v>45.0</v>
      </c>
      <c r="V517" s="1">
        <v>19.0</v>
      </c>
      <c r="W517" s="1">
        <v>19.0</v>
      </c>
      <c r="X517" s="1">
        <v>26.0</v>
      </c>
      <c r="Y517" s="1">
        <v>21.0</v>
      </c>
      <c r="Z517" s="1" t="s">
        <v>53</v>
      </c>
      <c r="AA517" s="1">
        <v>45.0</v>
      </c>
      <c r="AB517" s="1">
        <v>20.0</v>
      </c>
      <c r="AC517" s="1">
        <v>18.0</v>
      </c>
      <c r="AD517" s="1">
        <v>25.0</v>
      </c>
      <c r="AE517" s="1">
        <v>22.0</v>
      </c>
      <c r="AF517" s="1" t="s">
        <v>54</v>
      </c>
      <c r="AG517" s="1">
        <v>36.0</v>
      </c>
      <c r="AH517" s="1">
        <v>14.0</v>
      </c>
      <c r="AI517" s="1">
        <v>13.0</v>
      </c>
      <c r="AJ517" s="1">
        <v>22.0</v>
      </c>
      <c r="AK517" s="1">
        <v>20.0</v>
      </c>
      <c r="AL517" s="1">
        <v>200.0</v>
      </c>
      <c r="AM517" s="1" t="s">
        <v>55</v>
      </c>
      <c r="AN517" s="1">
        <v>16.0</v>
      </c>
      <c r="AO517" s="1">
        <v>15.0</v>
      </c>
      <c r="AP517" s="1" t="s">
        <v>2737</v>
      </c>
      <c r="AQ517" s="3" t="str">
        <f>HYPERLINK("https://icf.clappia.com/app/GMB253374/submission/TCY43341850/ICF247370-GMB253374-19gba555m655a0000000/SIG-20250701_170755d5e.jpeg", "SIG-20250701_170755d5e.jpeg")</f>
        <v>SIG-20250701_170755d5e.jpeg</v>
      </c>
      <c r="AR517" s="1" t="s">
        <v>2738</v>
      </c>
      <c r="AS517" s="3" t="str">
        <f>HYPERLINK("https://icf.clappia.com/app/GMB253374/submission/TCY43341850/ICF247370-GMB253374-5mco16k7f64400000000/SIG-20250701_171110641m.jpeg", "SIG-20250701_171110641m.jpeg")</f>
        <v>SIG-20250701_171110641m.jpeg</v>
      </c>
      <c r="AT517" s="1" t="s">
        <v>2739</v>
      </c>
      <c r="AU517" s="3" t="str">
        <f>HYPERLINK("https://icf.clappia.com/app/GMB253374/submission/TCY43341850/ICF247370-GMB253374-50n915ekg70400000000/SIG-20250701_171627fii.jpeg", "SIG-20250701_171627fii.jpeg")</f>
        <v>SIG-20250701_171627fii.jpeg</v>
      </c>
      <c r="AV517" s="3" t="str">
        <f>HYPERLINK("https://www.google.com/maps/place/8.8910212%2C-12.0624472", "8.8910212,-12.0624472")</f>
        <v>8.8910212,-12.0624472</v>
      </c>
    </row>
    <row r="518" ht="15.75" customHeight="1">
      <c r="A518" s="1" t="s">
        <v>2740</v>
      </c>
      <c r="B518" s="1" t="s">
        <v>161</v>
      </c>
      <c r="C518" s="1" t="s">
        <v>2741</v>
      </c>
      <c r="D518" s="1" t="s">
        <v>2741</v>
      </c>
      <c r="E518" s="1" t="s">
        <v>2742</v>
      </c>
      <c r="F518" s="1" t="s">
        <v>64</v>
      </c>
      <c r="G518" s="1">
        <v>106.0</v>
      </c>
      <c r="H518" s="1" t="s">
        <v>50</v>
      </c>
      <c r="I518" s="1">
        <v>22.0</v>
      </c>
      <c r="J518" s="1">
        <v>10.0</v>
      </c>
      <c r="K518" s="1">
        <v>10.0</v>
      </c>
      <c r="L518" s="1">
        <v>12.0</v>
      </c>
      <c r="M518" s="1">
        <v>12.0</v>
      </c>
      <c r="N518" s="1" t="s">
        <v>51</v>
      </c>
      <c r="O518" s="1">
        <v>20.0</v>
      </c>
      <c r="P518" s="1">
        <v>8.0</v>
      </c>
      <c r="Q518" s="1">
        <v>8.0</v>
      </c>
      <c r="R518" s="1">
        <v>12.0</v>
      </c>
      <c r="S518" s="1">
        <v>12.0</v>
      </c>
      <c r="T518" s="1" t="s">
        <v>52</v>
      </c>
      <c r="U518" s="1">
        <v>29.0</v>
      </c>
      <c r="V518" s="1">
        <v>13.0</v>
      </c>
      <c r="W518" s="1">
        <v>13.0</v>
      </c>
      <c r="X518" s="1">
        <v>16.0</v>
      </c>
      <c r="Y518" s="1">
        <v>16.0</v>
      </c>
      <c r="Z518" s="1" t="s">
        <v>53</v>
      </c>
      <c r="AA518" s="1">
        <v>14.0</v>
      </c>
      <c r="AB518" s="1">
        <v>4.0</v>
      </c>
      <c r="AC518" s="1">
        <v>4.0</v>
      </c>
      <c r="AD518" s="1">
        <v>10.0</v>
      </c>
      <c r="AE518" s="1">
        <v>10.0</v>
      </c>
      <c r="AF518" s="1" t="s">
        <v>54</v>
      </c>
      <c r="AG518" s="1">
        <v>21.0</v>
      </c>
      <c r="AH518" s="1">
        <v>9.0</v>
      </c>
      <c r="AI518" s="1">
        <v>9.0</v>
      </c>
      <c r="AJ518" s="1">
        <v>12.0</v>
      </c>
      <c r="AK518" s="1">
        <v>12.0</v>
      </c>
      <c r="AL518" s="1">
        <v>106.0</v>
      </c>
      <c r="AM518" s="1" t="s">
        <v>55</v>
      </c>
      <c r="AN518" s="1" t="s">
        <v>55</v>
      </c>
      <c r="AO518" s="1" t="s">
        <v>55</v>
      </c>
      <c r="AP518" s="1" t="s">
        <v>956</v>
      </c>
      <c r="AQ518" s="3" t="str">
        <f>HYPERLINK("https://icf.clappia.com/app/GMB253374/submission/TGL38960872/ICF247370-GMB253374-3308c794e6g600000000/SIG-20250701_1700hj55b.jpeg", "SIG-20250701_1700hj55b.jpeg")</f>
        <v>SIG-20250701_1700hj55b.jpeg</v>
      </c>
      <c r="AR518" s="1" t="s">
        <v>2743</v>
      </c>
      <c r="AS518" s="3" t="str">
        <f>HYPERLINK("https://icf.clappia.com/app/GMB253374/submission/TGL38960872/ICF247370-GMB253374-2f7603b54g3c00000000/SIG-20250701_1700c48ni.jpeg", "SIG-20250701_1700c48ni.jpeg")</f>
        <v>SIG-20250701_1700c48ni.jpeg</v>
      </c>
      <c r="AT518" s="1" t="s">
        <v>1611</v>
      </c>
      <c r="AU518" s="3" t="str">
        <f>HYPERLINK("https://icf.clappia.com/app/GMB253374/submission/TGL38960872/ICF247370-GMB253374-1n47micdg6mo80000000/SIG-20250701_170299b01.jpeg", "SIG-20250701_170299b01.jpeg")</f>
        <v>SIG-20250701_170299b01.jpeg</v>
      </c>
      <c r="AV518" s="3" t="str">
        <f>HYPERLINK("https://www.google.com/maps/place/7.92333%2C-11.609425", "7.92333,-11.609425")</f>
        <v>7.92333,-11.609425</v>
      </c>
    </row>
    <row r="519" ht="15.75" customHeight="1">
      <c r="A519" s="1" t="s">
        <v>2744</v>
      </c>
      <c r="B519" s="1" t="s">
        <v>167</v>
      </c>
      <c r="C519" s="1" t="s">
        <v>2745</v>
      </c>
      <c r="D519" s="1" t="s">
        <v>2741</v>
      </c>
      <c r="E519" s="1" t="s">
        <v>2746</v>
      </c>
      <c r="F519" s="1" t="s">
        <v>64</v>
      </c>
      <c r="G519" s="1">
        <v>250.0</v>
      </c>
      <c r="H519" s="1" t="s">
        <v>50</v>
      </c>
      <c r="I519" s="1">
        <v>73.0</v>
      </c>
      <c r="J519" s="1">
        <v>33.0</v>
      </c>
      <c r="K519" s="1">
        <v>26.0</v>
      </c>
      <c r="L519" s="1">
        <v>40.0</v>
      </c>
      <c r="M519" s="1">
        <v>27.0</v>
      </c>
      <c r="N519" s="1" t="s">
        <v>51</v>
      </c>
      <c r="O519" s="1">
        <v>50.0</v>
      </c>
      <c r="P519" s="1">
        <v>26.0</v>
      </c>
      <c r="Q519" s="1">
        <v>22.0</v>
      </c>
      <c r="R519" s="1">
        <v>24.0</v>
      </c>
      <c r="S519" s="1">
        <v>20.0</v>
      </c>
      <c r="T519" s="1" t="s">
        <v>52</v>
      </c>
      <c r="U519" s="1">
        <v>30.0</v>
      </c>
      <c r="V519" s="1">
        <v>10.0</v>
      </c>
      <c r="W519" s="1">
        <v>9.0</v>
      </c>
      <c r="X519" s="1">
        <v>20.0</v>
      </c>
      <c r="Y519" s="1">
        <v>17.0</v>
      </c>
      <c r="Z519" s="1" t="s">
        <v>53</v>
      </c>
      <c r="AA519" s="1">
        <v>26.0</v>
      </c>
      <c r="AB519" s="1">
        <v>16.0</v>
      </c>
      <c r="AC519" s="1">
        <v>13.0</v>
      </c>
      <c r="AD519" s="1">
        <v>10.0</v>
      </c>
      <c r="AE519" s="1">
        <v>9.0</v>
      </c>
      <c r="AF519" s="1" t="s">
        <v>54</v>
      </c>
      <c r="AG519" s="1">
        <v>43.0</v>
      </c>
      <c r="AH519" s="1">
        <v>20.0</v>
      </c>
      <c r="AI519" s="1">
        <v>15.0</v>
      </c>
      <c r="AJ519" s="1">
        <v>23.0</v>
      </c>
      <c r="AK519" s="1">
        <v>23.0</v>
      </c>
      <c r="AL519" s="1">
        <v>181.0</v>
      </c>
      <c r="AM519" s="1" t="s">
        <v>55</v>
      </c>
      <c r="AN519" s="1">
        <v>69.0</v>
      </c>
      <c r="AO519" s="1">
        <v>69.0</v>
      </c>
      <c r="AP519" s="1" t="s">
        <v>2747</v>
      </c>
      <c r="AQ519" s="3" t="str">
        <f>HYPERLINK("https://icf.clappia.com/app/GMB253374/submission/AOF11457448/ICF247370-GMB253374-49p4j8p09ilm00000000/SIG-20250630_1149jdbae.jpeg", "SIG-20250630_1149jdbae.jpeg")</f>
        <v>SIG-20250630_1149jdbae.jpeg</v>
      </c>
      <c r="AR519" s="1" t="s">
        <v>2748</v>
      </c>
      <c r="AS519" s="3" t="str">
        <f>HYPERLINK("https://icf.clappia.com/app/GMB253374/submission/AOF11457448/ICF247370-GMB253374-nm79lkmi0k3i0000000/SIG-20250630_1150k1ic2.jpeg", "SIG-20250630_1150k1ic2.jpeg")</f>
        <v>SIG-20250630_1150k1ic2.jpeg</v>
      </c>
      <c r="AT519" s="1" t="s">
        <v>2749</v>
      </c>
      <c r="AU519" s="3" t="str">
        <f>HYPERLINK("https://icf.clappia.com/app/GMB253374/submission/AOF11457448/ICF247370-GMB253374-645ah0f1651a00000000/SIG-20250630_11554nib6.jpeg", "SIG-20250630_11554nib6.jpeg")</f>
        <v>SIG-20250630_11554nib6.jpeg</v>
      </c>
      <c r="AV519" s="3" t="str">
        <f>HYPERLINK("https://www.google.com/maps/place/7.694985%2C-11.7371167", "7.694985,-11.7371167")</f>
        <v>7.694985,-11.7371167</v>
      </c>
    </row>
    <row r="520" ht="15.75" customHeight="1">
      <c r="A520" s="1" t="s">
        <v>2750</v>
      </c>
      <c r="B520" s="1" t="s">
        <v>536</v>
      </c>
      <c r="C520" s="1" t="s">
        <v>2751</v>
      </c>
      <c r="D520" s="1" t="s">
        <v>2752</v>
      </c>
      <c r="E520" s="1" t="s">
        <v>2753</v>
      </c>
      <c r="F520" s="1" t="s">
        <v>64</v>
      </c>
      <c r="G520" s="1">
        <v>300.0</v>
      </c>
      <c r="H520" s="1" t="s">
        <v>50</v>
      </c>
      <c r="I520" s="1">
        <v>96.0</v>
      </c>
      <c r="J520" s="1">
        <v>45.0</v>
      </c>
      <c r="K520" s="1">
        <v>32.0</v>
      </c>
      <c r="L520" s="1">
        <v>51.0</v>
      </c>
      <c r="M520" s="1">
        <v>41.0</v>
      </c>
      <c r="N520" s="1" t="s">
        <v>51</v>
      </c>
      <c r="O520" s="1">
        <v>97.0</v>
      </c>
      <c r="P520" s="1">
        <v>46.0</v>
      </c>
      <c r="Q520" s="1">
        <v>32.0</v>
      </c>
      <c r="R520" s="1">
        <v>51.0</v>
      </c>
      <c r="S520" s="1">
        <v>35.0</v>
      </c>
      <c r="T520" s="1" t="s">
        <v>52</v>
      </c>
      <c r="U520" s="1">
        <v>82.0</v>
      </c>
      <c r="V520" s="1">
        <v>40.0</v>
      </c>
      <c r="W520" s="1">
        <v>35.0</v>
      </c>
      <c r="X520" s="1">
        <v>42.0</v>
      </c>
      <c r="Y520" s="1">
        <v>37.0</v>
      </c>
      <c r="Z520" s="1" t="s">
        <v>53</v>
      </c>
      <c r="AA520" s="1">
        <v>49.0</v>
      </c>
      <c r="AB520" s="1">
        <v>25.0</v>
      </c>
      <c r="AC520" s="1">
        <v>25.0</v>
      </c>
      <c r="AD520" s="1">
        <v>24.0</v>
      </c>
      <c r="AE520" s="1">
        <v>24.0</v>
      </c>
      <c r="AF520" s="1" t="s">
        <v>54</v>
      </c>
      <c r="AG520" s="1">
        <v>61.0</v>
      </c>
      <c r="AH520" s="1">
        <v>31.0</v>
      </c>
      <c r="AI520" s="1">
        <v>15.0</v>
      </c>
      <c r="AJ520" s="1">
        <v>30.0</v>
      </c>
      <c r="AK520" s="1">
        <v>14.0</v>
      </c>
      <c r="AL520" s="1">
        <v>290.0</v>
      </c>
      <c r="AM520" s="1">
        <v>10.0</v>
      </c>
      <c r="AN520" s="1" t="s">
        <v>55</v>
      </c>
      <c r="AO520" s="1" t="s">
        <v>55</v>
      </c>
      <c r="AP520" s="1" t="s">
        <v>1590</v>
      </c>
      <c r="AQ520" s="3" t="str">
        <f>HYPERLINK("https://icf.clappia.com/app/GMB253374/submission/YYR57553057/ICF247370-GMB253374-gdo7284i4a240000000/SIG-20250701_165314pko2.jpeg", "SIG-20250701_165314pko2.jpeg")</f>
        <v>SIG-20250701_165314pko2.jpeg</v>
      </c>
      <c r="AR520" s="1" t="s">
        <v>2754</v>
      </c>
      <c r="AS520" s="3" t="str">
        <f>HYPERLINK("https://icf.clappia.com/app/GMB253374/submission/YYR57553057/ICF247370-GMB253374-373m701k013m00000000/SIG-20250701_165410mp9f.jpeg", "SIG-20250701_165410mp9f.jpeg")</f>
        <v>SIG-20250701_165410mp9f.jpeg</v>
      </c>
      <c r="AT520" s="1" t="s">
        <v>2755</v>
      </c>
      <c r="AU520" s="3" t="str">
        <f>HYPERLINK("https://icf.clappia.com/app/GMB253374/submission/YYR57553057/ICF247370-GMB253374-5facfeie0ck400000000/SIG-20250701_1655103fc7.jpeg", "SIG-20250701_1655103fc7.jpeg")</f>
        <v>SIG-20250701_1655103fc7.jpeg</v>
      </c>
      <c r="AV520" s="3" t="str">
        <f>HYPERLINK("https://www.google.com/maps/place/9.2381969%2C-12.0545124", "9.2381969,-12.0545124")</f>
        <v>9.2381969,-12.0545124</v>
      </c>
    </row>
    <row r="521" ht="15.75" customHeight="1">
      <c r="A521" s="1" t="s">
        <v>2756</v>
      </c>
      <c r="B521" s="1" t="s">
        <v>81</v>
      </c>
      <c r="C521" s="1" t="s">
        <v>2757</v>
      </c>
      <c r="D521" s="1" t="s">
        <v>2757</v>
      </c>
      <c r="E521" s="1" t="s">
        <v>2758</v>
      </c>
      <c r="F521" s="1" t="s">
        <v>64</v>
      </c>
      <c r="G521" s="1">
        <v>622.0</v>
      </c>
      <c r="H521" s="1" t="s">
        <v>50</v>
      </c>
      <c r="I521" s="1">
        <v>128.0</v>
      </c>
      <c r="J521" s="1">
        <v>58.0</v>
      </c>
      <c r="K521" s="1">
        <v>48.0</v>
      </c>
      <c r="L521" s="1">
        <v>70.0</v>
      </c>
      <c r="M521" s="1">
        <v>50.0</v>
      </c>
      <c r="N521" s="1" t="s">
        <v>51</v>
      </c>
      <c r="O521" s="1">
        <v>116.0</v>
      </c>
      <c r="P521" s="1">
        <v>50.0</v>
      </c>
      <c r="Q521" s="1">
        <v>48.0</v>
      </c>
      <c r="R521" s="1">
        <v>66.0</v>
      </c>
      <c r="S521" s="1">
        <v>50.0</v>
      </c>
      <c r="T521" s="1" t="s">
        <v>52</v>
      </c>
      <c r="U521" s="1">
        <v>118.0</v>
      </c>
      <c r="V521" s="1">
        <v>50.0</v>
      </c>
      <c r="W521" s="1">
        <v>40.0</v>
      </c>
      <c r="X521" s="1">
        <v>68.0</v>
      </c>
      <c r="Y521" s="1">
        <v>48.0</v>
      </c>
      <c r="Z521" s="1" t="s">
        <v>53</v>
      </c>
      <c r="AA521" s="1">
        <v>120.0</v>
      </c>
      <c r="AB521" s="1">
        <v>51.0</v>
      </c>
      <c r="AC521" s="1">
        <v>48.0</v>
      </c>
      <c r="AD521" s="1">
        <v>69.0</v>
      </c>
      <c r="AE521" s="1">
        <v>60.0</v>
      </c>
      <c r="AF521" s="1" t="s">
        <v>54</v>
      </c>
      <c r="AG521" s="1">
        <v>140.0</v>
      </c>
      <c r="AH521" s="1">
        <v>64.0</v>
      </c>
      <c r="AI521" s="1">
        <v>59.0</v>
      </c>
      <c r="AJ521" s="1">
        <v>76.0</v>
      </c>
      <c r="AK521" s="1">
        <v>68.0</v>
      </c>
      <c r="AL521" s="1">
        <v>519.0</v>
      </c>
      <c r="AM521" s="1" t="s">
        <v>55</v>
      </c>
      <c r="AN521" s="1">
        <v>103.0</v>
      </c>
      <c r="AO521" s="1">
        <v>103.0</v>
      </c>
      <c r="AP521" s="1" t="s">
        <v>2759</v>
      </c>
      <c r="AQ521" s="3" t="str">
        <f>HYPERLINK("https://icf.clappia.com/app/GMB253374/submission/YHL94568193/ICF247370-GMB253374-1h8gbg7he114i0000000/SIG-20250701_165513fij0.jpeg", "SIG-20250701_165513fij0.jpeg")</f>
        <v>SIG-20250701_165513fij0.jpeg</v>
      </c>
      <c r="AR521" s="1" t="s">
        <v>2760</v>
      </c>
      <c r="AS521" s="3" t="str">
        <f>HYPERLINK("https://icf.clappia.com/app/GMB253374/submission/YHL94568193/ICF247370-GMB253374-1de7elad35f5a0000000/SIG-20250701_1656a876b.jpeg", "SIG-20250701_1656a876b.jpeg")</f>
        <v>SIG-20250701_1656a876b.jpeg</v>
      </c>
      <c r="AT521" s="1" t="s">
        <v>2761</v>
      </c>
      <c r="AU521" s="3" t="str">
        <f>HYPERLINK("https://icf.clappia.com/app/GMB253374/submission/YHL94568193/ICF247370-GMB253374-l7fk6251emkg0000000/SIG-20250701_1656516fn.jpeg", "SIG-20250701_1656516fn.jpeg")</f>
        <v>SIG-20250701_1656516fn.jpeg</v>
      </c>
      <c r="AV521" s="3" t="str">
        <f>HYPERLINK("https://www.google.com/maps/place/7.9753933%2C-11.7366167", "7.9753933,-11.7366167")</f>
        <v>7.9753933,-11.7366167</v>
      </c>
    </row>
    <row r="522" ht="15.75" customHeight="1">
      <c r="A522" s="1" t="s">
        <v>2762</v>
      </c>
      <c r="B522" s="1" t="s">
        <v>142</v>
      </c>
      <c r="C522" s="1" t="s">
        <v>2763</v>
      </c>
      <c r="D522" s="1" t="s">
        <v>2763</v>
      </c>
      <c r="E522" s="1" t="s">
        <v>2764</v>
      </c>
      <c r="F522" s="1" t="s">
        <v>64</v>
      </c>
      <c r="G522" s="1">
        <v>150.0</v>
      </c>
      <c r="H522" s="1" t="s">
        <v>50</v>
      </c>
      <c r="I522" s="1">
        <v>49.0</v>
      </c>
      <c r="J522" s="1">
        <v>27.0</v>
      </c>
      <c r="K522" s="1">
        <v>27.0</v>
      </c>
      <c r="L522" s="1">
        <v>22.0</v>
      </c>
      <c r="M522" s="1">
        <v>22.0</v>
      </c>
      <c r="N522" s="1" t="s">
        <v>51</v>
      </c>
      <c r="O522" s="1">
        <v>24.0</v>
      </c>
      <c r="P522" s="1">
        <v>13.0</v>
      </c>
      <c r="Q522" s="1">
        <v>13.0</v>
      </c>
      <c r="R522" s="1">
        <v>11.0</v>
      </c>
      <c r="S522" s="1">
        <v>11.0</v>
      </c>
      <c r="T522" s="1" t="s">
        <v>52</v>
      </c>
      <c r="U522" s="1">
        <v>15.0</v>
      </c>
      <c r="V522" s="1">
        <v>9.0</v>
      </c>
      <c r="W522" s="1">
        <v>9.0</v>
      </c>
      <c r="X522" s="1">
        <v>6.0</v>
      </c>
      <c r="Y522" s="1">
        <v>6.0</v>
      </c>
      <c r="Z522" s="1" t="s">
        <v>53</v>
      </c>
      <c r="AA522" s="1">
        <v>17.0</v>
      </c>
      <c r="AB522" s="1">
        <v>11.0</v>
      </c>
      <c r="AC522" s="1">
        <v>11.0</v>
      </c>
      <c r="AD522" s="1">
        <v>6.0</v>
      </c>
      <c r="AE522" s="1">
        <v>6.0</v>
      </c>
      <c r="AF522" s="1" t="s">
        <v>54</v>
      </c>
      <c r="AG522" s="1">
        <v>15.0</v>
      </c>
      <c r="AH522" s="1">
        <v>9.0</v>
      </c>
      <c r="AI522" s="1">
        <v>9.0</v>
      </c>
      <c r="AJ522" s="1">
        <v>6.0</v>
      </c>
      <c r="AK522" s="1">
        <v>6.0</v>
      </c>
      <c r="AL522" s="1">
        <v>120.0</v>
      </c>
      <c r="AM522" s="1" t="s">
        <v>55</v>
      </c>
      <c r="AN522" s="1">
        <v>30.0</v>
      </c>
      <c r="AO522" s="1">
        <v>30.0</v>
      </c>
      <c r="AP522" s="1" t="s">
        <v>1444</v>
      </c>
      <c r="AQ522" s="3" t="str">
        <f>HYPERLINK("https://icf.clappia.com/app/GMB253374/submission/WAR31586806/ICF247370-GMB253374-1gcobo2n065m00000000/SIG-20250701_1653job71.jpeg", "SIG-20250701_1653job71.jpeg")</f>
        <v>SIG-20250701_1653job71.jpeg</v>
      </c>
      <c r="AR522" s="1" t="s">
        <v>1445</v>
      </c>
      <c r="AS522" s="3" t="str">
        <f>HYPERLINK("https://icf.clappia.com/app/GMB253374/submission/WAR31586806/ICF247370-GMB253374-2h2652m49g8a00000000/SIG-20250701_16549p5i9.jpeg", "SIG-20250701_16549p5i9.jpeg")</f>
        <v>SIG-20250701_16549p5i9.jpeg</v>
      </c>
      <c r="AT522" s="1" t="s">
        <v>2765</v>
      </c>
      <c r="AU522" s="3" t="str">
        <f>HYPERLINK("https://icf.clappia.com/app/GMB253374/submission/WAR31586806/ICF247370-GMB253374-5jdbgm80hhkg00000000/SIG-20250701_1118ghhhf.jpeg", "SIG-20250701_1118ghhhf.jpeg")</f>
        <v>SIG-20250701_1118ghhhf.jpeg</v>
      </c>
      <c r="AV522" s="3" t="str">
        <f>HYPERLINK("https://www.google.com/maps/place/7.7111407%2C-11.925714", "7.7111407,-11.925714")</f>
        <v>7.7111407,-11.925714</v>
      </c>
    </row>
    <row r="523" ht="15.75" customHeight="1">
      <c r="A523" s="1" t="s">
        <v>2766</v>
      </c>
      <c r="B523" s="1" t="s">
        <v>2767</v>
      </c>
      <c r="C523" s="1" t="s">
        <v>2768</v>
      </c>
      <c r="D523" s="1" t="s">
        <v>2768</v>
      </c>
      <c r="E523" s="1" t="s">
        <v>2769</v>
      </c>
      <c r="F523" s="1" t="s">
        <v>64</v>
      </c>
      <c r="G523" s="1">
        <v>200.0</v>
      </c>
      <c r="H523" s="1" t="s">
        <v>50</v>
      </c>
      <c r="I523" s="1">
        <v>63.0</v>
      </c>
      <c r="J523" s="1">
        <v>31.0</v>
      </c>
      <c r="K523" s="1">
        <v>31.0</v>
      </c>
      <c r="L523" s="1">
        <v>32.0</v>
      </c>
      <c r="M523" s="1">
        <v>32.0</v>
      </c>
      <c r="N523" s="1" t="s">
        <v>51</v>
      </c>
      <c r="O523" s="1">
        <v>23.0</v>
      </c>
      <c r="P523" s="1">
        <v>11.0</v>
      </c>
      <c r="Q523" s="1">
        <v>11.0</v>
      </c>
      <c r="R523" s="1">
        <v>12.0</v>
      </c>
      <c r="S523" s="1">
        <v>12.0</v>
      </c>
      <c r="T523" s="1" t="s">
        <v>52</v>
      </c>
      <c r="U523" s="1">
        <v>31.0</v>
      </c>
      <c r="V523" s="1">
        <v>16.0</v>
      </c>
      <c r="W523" s="1">
        <v>16.0</v>
      </c>
      <c r="X523" s="1">
        <v>15.0</v>
      </c>
      <c r="Y523" s="1">
        <v>15.0</v>
      </c>
      <c r="Z523" s="1" t="s">
        <v>53</v>
      </c>
      <c r="AA523" s="1">
        <v>27.0</v>
      </c>
      <c r="AB523" s="1">
        <v>13.0</v>
      </c>
      <c r="AC523" s="1">
        <v>13.0</v>
      </c>
      <c r="AD523" s="1">
        <v>14.0</v>
      </c>
      <c r="AE523" s="1">
        <v>14.0</v>
      </c>
      <c r="AF523" s="1" t="s">
        <v>54</v>
      </c>
      <c r="AG523" s="1">
        <v>23.0</v>
      </c>
      <c r="AH523" s="1">
        <v>11.0</v>
      </c>
      <c r="AI523" s="1">
        <v>11.0</v>
      </c>
      <c r="AJ523" s="1">
        <v>12.0</v>
      </c>
      <c r="AK523" s="1">
        <v>12.0</v>
      </c>
      <c r="AL523" s="1">
        <v>167.0</v>
      </c>
      <c r="AM523" s="1" t="s">
        <v>55</v>
      </c>
      <c r="AN523" s="1">
        <v>33.0</v>
      </c>
      <c r="AO523" s="1">
        <v>33.0</v>
      </c>
      <c r="AP523" s="1" t="s">
        <v>2770</v>
      </c>
      <c r="AQ523" s="3" t="str">
        <f>HYPERLINK("https://icf.clappia.com/app/GMB253374/submission/XAN93660275/ICF247370-GMB253374-1i5b23042f6320000000/SIG-20250701_140929m7j.jpeg", "SIG-20250701_140929m7j.jpeg")</f>
        <v>SIG-20250701_140929m7j.jpeg</v>
      </c>
      <c r="AR523" s="1" t="s">
        <v>2771</v>
      </c>
      <c r="AS523" s="3" t="str">
        <f>HYPERLINK("https://icf.clappia.com/app/GMB253374/submission/XAN93660275/ICF247370-GMB253374-27pjhffg0g1ao0000000/SIG-20250701_141111eo9d.jpeg", "SIG-20250701_141111eo9d.jpeg")</f>
        <v>SIG-20250701_141111eo9d.jpeg</v>
      </c>
      <c r="AT523" s="1" t="s">
        <v>2772</v>
      </c>
      <c r="AU523" s="3" t="str">
        <f>HYPERLINK("https://icf.clappia.com/app/GMB253374/submission/XAN93660275/ICF247370-GMB253374-dohkf0k4ci0g0000000/SIG-20250701_141216j5dm.jpeg", "SIG-20250701_141216j5dm.jpeg")</f>
        <v>SIG-20250701_141216j5dm.jpeg</v>
      </c>
      <c r="AV523" s="3" t="str">
        <f>HYPERLINK("https://www.google.com/maps/place/7.9303436%2C-11.5242727", "7.9303436,-11.5242727")</f>
        <v>7.9303436,-11.5242727</v>
      </c>
    </row>
    <row r="524" ht="15.75" customHeight="1">
      <c r="A524" s="1" t="s">
        <v>2773</v>
      </c>
      <c r="B524" s="1" t="s">
        <v>778</v>
      </c>
      <c r="C524" s="1" t="s">
        <v>2774</v>
      </c>
      <c r="D524" s="1" t="s">
        <v>2775</v>
      </c>
      <c r="E524" s="1" t="s">
        <v>2776</v>
      </c>
      <c r="F524" s="1" t="s">
        <v>64</v>
      </c>
      <c r="G524" s="1">
        <v>150.0</v>
      </c>
      <c r="H524" s="1" t="s">
        <v>50</v>
      </c>
      <c r="I524" s="1">
        <v>38.0</v>
      </c>
      <c r="J524" s="1">
        <v>18.0</v>
      </c>
      <c r="K524" s="1">
        <v>15.0</v>
      </c>
      <c r="L524" s="1">
        <v>20.0</v>
      </c>
      <c r="M524" s="1">
        <v>16.0</v>
      </c>
      <c r="N524" s="1" t="s">
        <v>51</v>
      </c>
      <c r="O524" s="1">
        <v>32.0</v>
      </c>
      <c r="P524" s="1">
        <v>17.0</v>
      </c>
      <c r="Q524" s="1">
        <v>16.0</v>
      </c>
      <c r="R524" s="1">
        <v>15.0</v>
      </c>
      <c r="S524" s="1">
        <v>13.0</v>
      </c>
      <c r="T524" s="1" t="s">
        <v>52</v>
      </c>
      <c r="U524" s="1">
        <v>24.0</v>
      </c>
      <c r="V524" s="1">
        <v>10.0</v>
      </c>
      <c r="W524" s="1">
        <v>9.0</v>
      </c>
      <c r="X524" s="1">
        <v>14.0</v>
      </c>
      <c r="Y524" s="1">
        <v>12.0</v>
      </c>
      <c r="Z524" s="1" t="s">
        <v>53</v>
      </c>
      <c r="AA524" s="1">
        <v>19.0</v>
      </c>
      <c r="AB524" s="1">
        <v>5.0</v>
      </c>
      <c r="AC524" s="1">
        <v>5.0</v>
      </c>
      <c r="AD524" s="1">
        <v>14.0</v>
      </c>
      <c r="AE524" s="1">
        <v>12.0</v>
      </c>
      <c r="AF524" s="1" t="s">
        <v>54</v>
      </c>
      <c r="AG524" s="1">
        <v>14.0</v>
      </c>
      <c r="AH524" s="1">
        <v>4.0</v>
      </c>
      <c r="AI524" s="1">
        <v>4.0</v>
      </c>
      <c r="AJ524" s="1">
        <v>10.0</v>
      </c>
      <c r="AK524" s="1">
        <v>9.0</v>
      </c>
      <c r="AL524" s="1">
        <v>111.0</v>
      </c>
      <c r="AM524" s="1">
        <v>9.0</v>
      </c>
      <c r="AN524" s="1">
        <v>30.0</v>
      </c>
      <c r="AO524" s="1">
        <v>30.0</v>
      </c>
      <c r="AP524" s="1" t="s">
        <v>1764</v>
      </c>
      <c r="AQ524" s="3" t="str">
        <f>HYPERLINK("https://icf.clappia.com/app/GMB253374/submission/KES89528653/ICF247370-GMB253374-5bka8fjjggce00000000/SIG-20250701_162315p371.jpeg", "SIG-20250701_162315p371.jpeg")</f>
        <v>SIG-20250701_162315p371.jpeg</v>
      </c>
      <c r="AR524" s="1" t="s">
        <v>1765</v>
      </c>
      <c r="AS524" s="3" t="str">
        <f>HYPERLINK("https://icf.clappia.com/app/GMB253374/submission/KES89528653/ICF247370-GMB253374-plj0o0jll7nm0000000/SIG-20250701_1623a3b33.jpeg", "SIG-20250701_1623a3b33.jpeg")</f>
        <v>SIG-20250701_1623a3b33.jpeg</v>
      </c>
      <c r="AT524" s="1" t="s">
        <v>1766</v>
      </c>
      <c r="AU524" s="3" t="str">
        <f>HYPERLINK("https://icf.clappia.com/app/GMB253374/submission/KES89528653/ICF247370-GMB253374-3mdkjm5k505000000000/SIG-20250701_16255i8l3.jpeg", "SIG-20250701_16255i8l3.jpeg")</f>
        <v>SIG-20250701_16255i8l3.jpeg</v>
      </c>
      <c r="AV524" s="3" t="str">
        <f>HYPERLINK("https://www.google.com/maps/place/7.8395183%2C-11.6151417", "7.8395183,-11.6151417")</f>
        <v>7.8395183,-11.6151417</v>
      </c>
    </row>
    <row r="525" ht="15.75" customHeight="1">
      <c r="A525" s="1" t="s">
        <v>2777</v>
      </c>
      <c r="B525" s="1" t="s">
        <v>278</v>
      </c>
      <c r="C525" s="1" t="s">
        <v>2778</v>
      </c>
      <c r="D525" s="1" t="s">
        <v>2778</v>
      </c>
      <c r="E525" s="1" t="s">
        <v>2779</v>
      </c>
      <c r="F525" s="1" t="s">
        <v>64</v>
      </c>
      <c r="G525" s="1">
        <v>375.0</v>
      </c>
      <c r="H525" s="1" t="s">
        <v>50</v>
      </c>
      <c r="I525" s="1">
        <v>75.0</v>
      </c>
      <c r="J525" s="1">
        <v>40.0</v>
      </c>
      <c r="K525" s="1">
        <v>38.0</v>
      </c>
      <c r="L525" s="1">
        <v>35.0</v>
      </c>
      <c r="M525" s="1">
        <v>34.0</v>
      </c>
      <c r="N525" s="1" t="s">
        <v>51</v>
      </c>
      <c r="O525" s="1">
        <v>72.0</v>
      </c>
      <c r="P525" s="1">
        <v>33.0</v>
      </c>
      <c r="Q525" s="1">
        <v>32.0</v>
      </c>
      <c r="R525" s="1">
        <v>39.0</v>
      </c>
      <c r="S525" s="1">
        <v>37.0</v>
      </c>
      <c r="T525" s="1" t="s">
        <v>52</v>
      </c>
      <c r="U525" s="1">
        <v>71.0</v>
      </c>
      <c r="V525" s="1">
        <v>32.0</v>
      </c>
      <c r="W525" s="1">
        <v>30.0</v>
      </c>
      <c r="X525" s="1">
        <v>39.0</v>
      </c>
      <c r="Y525" s="1">
        <v>38.0</v>
      </c>
      <c r="Z525" s="1" t="s">
        <v>53</v>
      </c>
      <c r="AA525" s="1">
        <v>73.0</v>
      </c>
      <c r="AB525" s="1">
        <v>31.0</v>
      </c>
      <c r="AC525" s="1">
        <v>30.0</v>
      </c>
      <c r="AD525" s="1">
        <v>42.0</v>
      </c>
      <c r="AE525" s="1">
        <v>40.0</v>
      </c>
      <c r="AF525" s="1" t="s">
        <v>54</v>
      </c>
      <c r="AG525" s="1">
        <v>84.0</v>
      </c>
      <c r="AH525" s="1">
        <v>33.0</v>
      </c>
      <c r="AI525" s="1">
        <v>33.0</v>
      </c>
      <c r="AJ525" s="1">
        <v>51.0</v>
      </c>
      <c r="AK525" s="1">
        <v>48.0</v>
      </c>
      <c r="AL525" s="1">
        <v>360.0</v>
      </c>
      <c r="AM525" s="1" t="s">
        <v>55</v>
      </c>
      <c r="AN525" s="1">
        <v>15.0</v>
      </c>
      <c r="AO525" s="1">
        <v>15.0</v>
      </c>
      <c r="AP525" s="1" t="s">
        <v>2780</v>
      </c>
      <c r="AQ525" s="3" t="str">
        <f>HYPERLINK("https://icf.clappia.com/app/GMB253374/submission/RUN27989093/ICF247370-GMB253374-22kddmmcjmf8k0000000/SIG-20250701_1622198lho.jpeg", "SIG-20250701_1622198lho.jpeg")</f>
        <v>SIG-20250701_1622198lho.jpeg</v>
      </c>
      <c r="AR525" s="1" t="s">
        <v>1361</v>
      </c>
      <c r="AS525" s="3" t="str">
        <f>HYPERLINK("https://icf.clappia.com/app/GMB253374/submission/RUN27989093/ICF247370-GMB253374-50im1592if2400000000/SIG-20250701_1622ldh7k.jpeg", "SIG-20250701_1622ldh7k.jpeg")</f>
        <v>SIG-20250701_1622ldh7k.jpeg</v>
      </c>
      <c r="AT525" s="1" t="s">
        <v>2781</v>
      </c>
      <c r="AU525" s="3" t="str">
        <f>HYPERLINK("https://icf.clappia.com/app/GMB253374/submission/RUN27989093/ICF247370-GMB253374-2kb3gjh70kdg00000000/SIG-20250701_1625e8hme.jpeg", "SIG-20250701_1625e8hme.jpeg")</f>
        <v>SIG-20250701_1625e8hme.jpeg</v>
      </c>
      <c r="AV525" s="3" t="str">
        <f>HYPERLINK("https://www.google.com/maps/place/9.251745%2C-12.1639617", "9.251745,-12.1639617")</f>
        <v>9.251745,-12.1639617</v>
      </c>
    </row>
    <row r="526" ht="15.75" customHeight="1">
      <c r="A526" s="1" t="s">
        <v>2782</v>
      </c>
      <c r="B526" s="1" t="s">
        <v>342</v>
      </c>
      <c r="C526" s="1" t="s">
        <v>2783</v>
      </c>
      <c r="D526" s="1" t="s">
        <v>2783</v>
      </c>
      <c r="E526" s="1" t="s">
        <v>2784</v>
      </c>
      <c r="F526" s="1" t="s">
        <v>64</v>
      </c>
      <c r="G526" s="1">
        <v>163.0</v>
      </c>
      <c r="H526" s="1" t="s">
        <v>50</v>
      </c>
      <c r="I526" s="1">
        <v>42.0</v>
      </c>
      <c r="J526" s="1">
        <v>19.0</v>
      </c>
      <c r="K526" s="1">
        <v>19.0</v>
      </c>
      <c r="L526" s="1">
        <v>23.0</v>
      </c>
      <c r="M526" s="1">
        <v>23.0</v>
      </c>
      <c r="N526" s="1" t="s">
        <v>51</v>
      </c>
      <c r="O526" s="1">
        <v>24.0</v>
      </c>
      <c r="P526" s="1">
        <v>8.0</v>
      </c>
      <c r="Q526" s="1">
        <v>8.0</v>
      </c>
      <c r="R526" s="1">
        <v>16.0</v>
      </c>
      <c r="S526" s="1">
        <v>16.0</v>
      </c>
      <c r="T526" s="1" t="s">
        <v>52</v>
      </c>
      <c r="U526" s="1">
        <v>38.0</v>
      </c>
      <c r="V526" s="1">
        <v>9.0</v>
      </c>
      <c r="W526" s="1">
        <v>9.0</v>
      </c>
      <c r="X526" s="1">
        <v>29.0</v>
      </c>
      <c r="Y526" s="1">
        <v>29.0</v>
      </c>
      <c r="Z526" s="1" t="s">
        <v>53</v>
      </c>
      <c r="AA526" s="1">
        <v>29.0</v>
      </c>
      <c r="AB526" s="1">
        <v>10.0</v>
      </c>
      <c r="AC526" s="1">
        <v>10.0</v>
      </c>
      <c r="AD526" s="1">
        <v>19.0</v>
      </c>
      <c r="AE526" s="1">
        <v>19.0</v>
      </c>
      <c r="AF526" s="1" t="s">
        <v>54</v>
      </c>
      <c r="AG526" s="1">
        <v>30.0</v>
      </c>
      <c r="AH526" s="1">
        <v>11.0</v>
      </c>
      <c r="AI526" s="1">
        <v>11.0</v>
      </c>
      <c r="AJ526" s="1">
        <v>19.0</v>
      </c>
      <c r="AK526" s="1">
        <v>19.0</v>
      </c>
      <c r="AL526" s="1">
        <v>163.0</v>
      </c>
      <c r="AM526" s="1" t="s">
        <v>55</v>
      </c>
      <c r="AN526" s="1" t="s">
        <v>55</v>
      </c>
      <c r="AO526" s="1" t="s">
        <v>55</v>
      </c>
      <c r="AP526" s="1" t="s">
        <v>2785</v>
      </c>
      <c r="AQ526" s="3" t="str">
        <f>HYPERLINK("https://icf.clappia.com/app/GMB253374/submission/EPE67585102/ICF247370-GMB253374-440gilin00b400000000/SIG-20250701_162111p05h.jpeg", "SIG-20250701_162111p05h.jpeg")</f>
        <v>SIG-20250701_162111p05h.jpeg</v>
      </c>
      <c r="AR526" s="1" t="s">
        <v>2786</v>
      </c>
      <c r="AS526" s="3" t="str">
        <f>HYPERLINK("https://icf.clappia.com/app/GMB253374/submission/EPE67585102/ICF247370-GMB253374-3npnea04li2a00000000/SIG-20250701_1624fjemb.jpeg", "SIG-20250701_1624fjemb.jpeg")</f>
        <v>SIG-20250701_1624fjemb.jpeg</v>
      </c>
      <c r="AT526" s="1" t="s">
        <v>2787</v>
      </c>
      <c r="AU526" s="3" t="str">
        <f>HYPERLINK("https://icf.clappia.com/app/GMB253374/submission/EPE67585102/ICF247370-GMB253374-5999jc9doeo000000000/SIG-20250701_16268b4i.jpeg", "SIG-20250701_16268b4i.jpeg")</f>
        <v>SIG-20250701_16268b4i.jpeg</v>
      </c>
      <c r="AV526" s="3" t="str">
        <f>HYPERLINK("https://www.google.com/maps/place/9.0221023%2C-12.3348209", "9.0221023,-12.3348209")</f>
        <v>9.0221023,-12.3348209</v>
      </c>
    </row>
    <row r="527" ht="15.75" customHeight="1">
      <c r="A527" s="1" t="s">
        <v>2788</v>
      </c>
      <c r="B527" s="1" t="s">
        <v>142</v>
      </c>
      <c r="C527" s="1" t="s">
        <v>2789</v>
      </c>
      <c r="D527" s="1" t="s">
        <v>2790</v>
      </c>
      <c r="E527" s="1" t="s">
        <v>2791</v>
      </c>
      <c r="F527" s="1" t="s">
        <v>64</v>
      </c>
      <c r="G527" s="1">
        <v>185.0</v>
      </c>
      <c r="H527" s="1" t="s">
        <v>50</v>
      </c>
      <c r="I527" s="1">
        <v>59.0</v>
      </c>
      <c r="J527" s="1">
        <v>38.0</v>
      </c>
      <c r="K527" s="1">
        <v>38.0</v>
      </c>
      <c r="L527" s="1">
        <v>21.0</v>
      </c>
      <c r="M527" s="1">
        <v>21.0</v>
      </c>
      <c r="N527" s="1" t="s">
        <v>51</v>
      </c>
      <c r="O527" s="1">
        <v>30.0</v>
      </c>
      <c r="P527" s="1">
        <v>16.0</v>
      </c>
      <c r="Q527" s="1">
        <v>16.0</v>
      </c>
      <c r="R527" s="1">
        <v>14.0</v>
      </c>
      <c r="S527" s="1">
        <v>14.0</v>
      </c>
      <c r="T527" s="1" t="s">
        <v>52</v>
      </c>
      <c r="U527" s="1">
        <v>32.0</v>
      </c>
      <c r="V527" s="1">
        <v>18.0</v>
      </c>
      <c r="W527" s="1">
        <v>18.0</v>
      </c>
      <c r="X527" s="1">
        <v>14.0</v>
      </c>
      <c r="Y527" s="1">
        <v>14.0</v>
      </c>
      <c r="Z527" s="1" t="s">
        <v>53</v>
      </c>
      <c r="AA527" s="1">
        <v>33.0</v>
      </c>
      <c r="AB527" s="1">
        <v>15.0</v>
      </c>
      <c r="AC527" s="1">
        <v>15.0</v>
      </c>
      <c r="AD527" s="1">
        <v>18.0</v>
      </c>
      <c r="AE527" s="1">
        <v>18.0</v>
      </c>
      <c r="AF527" s="1" t="s">
        <v>54</v>
      </c>
      <c r="AG527" s="1">
        <v>19.0</v>
      </c>
      <c r="AH527" s="1">
        <v>12.0</v>
      </c>
      <c r="AI527" s="1">
        <v>12.0</v>
      </c>
      <c r="AJ527" s="1">
        <v>7.0</v>
      </c>
      <c r="AK527" s="1">
        <v>7.0</v>
      </c>
      <c r="AL527" s="1">
        <v>173.0</v>
      </c>
      <c r="AM527" s="1" t="s">
        <v>55</v>
      </c>
      <c r="AN527" s="1">
        <v>12.0</v>
      </c>
      <c r="AO527" s="1">
        <v>12.0</v>
      </c>
      <c r="AP527" s="1" t="s">
        <v>994</v>
      </c>
      <c r="AQ527" s="3" t="str">
        <f>HYPERLINK("https://icf.clappia.com/app/GMB253374/submission/HNK66133504/ICF247370-GMB253374-4gakkfbeho7200000000/SIG-20250701_1108ob44n.jpeg", "SIG-20250701_1108ob44n.jpeg")</f>
        <v>SIG-20250701_1108ob44n.jpeg</v>
      </c>
      <c r="AR527" s="1" t="s">
        <v>2792</v>
      </c>
      <c r="AS527" s="3" t="str">
        <f>HYPERLINK("https://icf.clappia.com/app/GMB253374/submission/HNK66133504/ICF247370-GMB253374-57mkh756nnec00000000/SIG-20250701_1109ckog2.jpeg", "SIG-20250701_1109ckog2.jpeg")</f>
        <v>SIG-20250701_1109ckog2.jpeg</v>
      </c>
      <c r="AT527" s="1" t="s">
        <v>996</v>
      </c>
      <c r="AU527" s="3" t="str">
        <f>HYPERLINK("https://icf.clappia.com/app/GMB253374/submission/HNK66133504/ICF247370-GMB253374-29lekpj51kb520000000/SIG-20250701_1111ibc78.jpeg", "SIG-20250701_1111ibc78.jpeg")</f>
        <v>SIG-20250701_1111ibc78.jpeg</v>
      </c>
      <c r="AV527" s="3" t="str">
        <f t="shared" ref="AV527:AV528" si="2">HYPERLINK("https://www.google.com/maps/place/7.8909633%2C-11.9054167", "7.8909633,-11.9054167")</f>
        <v>7.8909633,-11.9054167</v>
      </c>
    </row>
    <row r="528" ht="15.75" customHeight="1">
      <c r="A528" s="1" t="s">
        <v>2793</v>
      </c>
      <c r="B528" s="1" t="s">
        <v>142</v>
      </c>
      <c r="C528" s="1" t="s">
        <v>2794</v>
      </c>
      <c r="D528" s="1" t="s">
        <v>2790</v>
      </c>
      <c r="E528" s="1" t="s">
        <v>2795</v>
      </c>
      <c r="F528" s="1" t="s">
        <v>64</v>
      </c>
      <c r="G528" s="1">
        <v>280.0</v>
      </c>
      <c r="H528" s="1" t="s">
        <v>50</v>
      </c>
      <c r="I528" s="1">
        <v>55.0</v>
      </c>
      <c r="J528" s="1">
        <v>25.0</v>
      </c>
      <c r="K528" s="1">
        <v>25.0</v>
      </c>
      <c r="L528" s="1">
        <v>30.0</v>
      </c>
      <c r="M528" s="1">
        <v>30.0</v>
      </c>
      <c r="N528" s="1" t="s">
        <v>51</v>
      </c>
      <c r="O528" s="1">
        <v>37.0</v>
      </c>
      <c r="P528" s="1">
        <v>25.0</v>
      </c>
      <c r="Q528" s="1">
        <v>25.0</v>
      </c>
      <c r="R528" s="1">
        <v>12.0</v>
      </c>
      <c r="S528" s="1">
        <v>12.0</v>
      </c>
      <c r="T528" s="1" t="s">
        <v>52</v>
      </c>
      <c r="U528" s="1">
        <v>40.0</v>
      </c>
      <c r="V528" s="1">
        <v>24.0</v>
      </c>
      <c r="W528" s="1">
        <v>24.0</v>
      </c>
      <c r="X528" s="1">
        <v>16.0</v>
      </c>
      <c r="Y528" s="1">
        <v>16.0</v>
      </c>
      <c r="Z528" s="1" t="s">
        <v>53</v>
      </c>
      <c r="AA528" s="1">
        <v>31.0</v>
      </c>
      <c r="AB528" s="1">
        <v>16.0</v>
      </c>
      <c r="AC528" s="1">
        <v>16.0</v>
      </c>
      <c r="AD528" s="1">
        <v>15.0</v>
      </c>
      <c r="AE528" s="1">
        <v>15.0</v>
      </c>
      <c r="AF528" s="1" t="s">
        <v>54</v>
      </c>
      <c r="AG528" s="1">
        <v>42.0</v>
      </c>
      <c r="AH528" s="1">
        <v>18.0</v>
      </c>
      <c r="AI528" s="1">
        <v>18.0</v>
      </c>
      <c r="AJ528" s="1">
        <v>24.0</v>
      </c>
      <c r="AK528" s="1">
        <v>24.0</v>
      </c>
      <c r="AL528" s="1">
        <v>205.0</v>
      </c>
      <c r="AM528" s="1" t="s">
        <v>55</v>
      </c>
      <c r="AN528" s="1">
        <v>75.0</v>
      </c>
      <c r="AO528" s="1">
        <v>75.0</v>
      </c>
      <c r="AP528" s="1" t="s">
        <v>2796</v>
      </c>
      <c r="AQ528" s="3" t="str">
        <f>HYPERLINK("https://icf.clappia.com/app/GMB253374/submission/GTU01012384/ICF247370-GMB253374-2i8eoa08dbek00000000/SIG-20250630_1304ogmj9.jpeg", "SIG-20250630_1304ogmj9.jpeg")</f>
        <v>SIG-20250630_1304ogmj9.jpeg</v>
      </c>
      <c r="AR528" s="1" t="s">
        <v>2797</v>
      </c>
      <c r="AS528" s="3" t="str">
        <f>HYPERLINK("https://icf.clappia.com/app/GMB253374/submission/GTU01012384/ICF247370-GMB253374-4p1cgk3k976e0000000/SIG-20250630_1233lj7c4.jpeg", "SIG-20250630_1233lj7c4.jpeg")</f>
        <v>SIG-20250630_1233lj7c4.jpeg</v>
      </c>
      <c r="AT528" s="1" t="s">
        <v>2798</v>
      </c>
      <c r="AU528" s="3" t="str">
        <f>HYPERLINK("https://icf.clappia.com/app/GMB253374/submission/GTU01012384/ICF247370-GMB253374-52do38epkeji00000000/SIG-20250630_12528966b.jpeg", "SIG-20250630_12528966b.jpeg")</f>
        <v>SIG-20250630_12528966b.jpeg</v>
      </c>
      <c r="AV528" s="3" t="str">
        <f t="shared" si="2"/>
        <v>7.8909633,-11.9054167</v>
      </c>
    </row>
    <row r="529" ht="15.75" customHeight="1">
      <c r="A529" s="1" t="s">
        <v>2799</v>
      </c>
      <c r="B529" s="1" t="s">
        <v>81</v>
      </c>
      <c r="C529" s="1" t="s">
        <v>2800</v>
      </c>
      <c r="D529" s="1" t="s">
        <v>2800</v>
      </c>
      <c r="E529" s="1" t="s">
        <v>2801</v>
      </c>
      <c r="F529" s="1" t="s">
        <v>64</v>
      </c>
      <c r="G529" s="1">
        <v>201.0</v>
      </c>
      <c r="H529" s="1" t="s">
        <v>50</v>
      </c>
      <c r="I529" s="1">
        <v>38.0</v>
      </c>
      <c r="J529" s="1">
        <v>20.0</v>
      </c>
      <c r="K529" s="1">
        <v>19.0</v>
      </c>
      <c r="L529" s="1">
        <v>18.0</v>
      </c>
      <c r="M529" s="1">
        <v>16.0</v>
      </c>
      <c r="N529" s="1" t="s">
        <v>51</v>
      </c>
      <c r="O529" s="1">
        <v>34.0</v>
      </c>
      <c r="P529" s="1">
        <v>19.0</v>
      </c>
      <c r="Q529" s="1">
        <v>17.0</v>
      </c>
      <c r="R529" s="1">
        <v>15.0</v>
      </c>
      <c r="S529" s="1">
        <v>14.0</v>
      </c>
      <c r="T529" s="1" t="s">
        <v>52</v>
      </c>
      <c r="U529" s="1">
        <v>48.0</v>
      </c>
      <c r="V529" s="1">
        <v>22.0</v>
      </c>
      <c r="W529" s="1">
        <v>21.0</v>
      </c>
      <c r="X529" s="1">
        <v>26.0</v>
      </c>
      <c r="Y529" s="1">
        <v>25.0</v>
      </c>
      <c r="Z529" s="1" t="s">
        <v>53</v>
      </c>
      <c r="AA529" s="1">
        <v>36.0</v>
      </c>
      <c r="AB529" s="1">
        <v>20.0</v>
      </c>
      <c r="AC529" s="1">
        <v>19.0</v>
      </c>
      <c r="AD529" s="1">
        <v>16.0</v>
      </c>
      <c r="AE529" s="1">
        <v>16.0</v>
      </c>
      <c r="AF529" s="1" t="s">
        <v>54</v>
      </c>
      <c r="AG529" s="1">
        <v>45.0</v>
      </c>
      <c r="AH529" s="1">
        <v>20.0</v>
      </c>
      <c r="AI529" s="1">
        <v>20.0</v>
      </c>
      <c r="AJ529" s="1">
        <v>25.0</v>
      </c>
      <c r="AK529" s="1">
        <v>25.0</v>
      </c>
      <c r="AL529" s="1">
        <v>192.0</v>
      </c>
      <c r="AM529" s="1">
        <v>9.0</v>
      </c>
      <c r="AN529" s="1" t="s">
        <v>55</v>
      </c>
      <c r="AO529" s="1" t="s">
        <v>55</v>
      </c>
      <c r="AP529" s="1" t="s">
        <v>1155</v>
      </c>
      <c r="AQ529" s="3" t="str">
        <f>HYPERLINK("https://icf.clappia.com/app/GMB253374/submission/NAT45868700/ICF247370-GMB253374-2g3c79icofba00000000/SIG-20250701_1613djoj2.jpeg", "SIG-20250701_1613djoj2.jpeg")</f>
        <v>SIG-20250701_1613djoj2.jpeg</v>
      </c>
      <c r="AR529" s="1" t="s">
        <v>2802</v>
      </c>
      <c r="AS529" s="3" t="str">
        <f>HYPERLINK("https://icf.clappia.com/app/GMB253374/submission/NAT45868700/ICF247370-GMB253374-1l4lccj9p2nok0000000/SIG-20250701_16171abhoj.jpeg", "SIG-20250701_16171abhoj.jpeg")</f>
        <v>SIG-20250701_16171abhoj.jpeg</v>
      </c>
      <c r="AT529" s="1" t="s">
        <v>1157</v>
      </c>
      <c r="AU529" s="3" t="str">
        <f>HYPERLINK("https://icf.clappia.com/app/GMB253374/submission/NAT45868700/ICF247370-GMB253374-62pp6mh0i5d600000000/SIG-20250701_1618d0id6.jpeg", "SIG-20250701_1618d0id6.jpeg")</f>
        <v>SIG-20250701_1618d0id6.jpeg</v>
      </c>
      <c r="AV529" s="3" t="str">
        <f>HYPERLINK("https://www.google.com/maps/place/7.9651019%2C-11.7390368", "7.9651019,-11.7390368")</f>
        <v>7.9651019,-11.7390368</v>
      </c>
    </row>
    <row r="530" ht="15.75" customHeight="1">
      <c r="A530" s="1" t="s">
        <v>2803</v>
      </c>
      <c r="B530" s="1" t="s">
        <v>438</v>
      </c>
      <c r="C530" s="1" t="s">
        <v>2804</v>
      </c>
      <c r="D530" s="1" t="s">
        <v>2805</v>
      </c>
      <c r="E530" s="1" t="s">
        <v>2806</v>
      </c>
      <c r="F530" s="1" t="s">
        <v>64</v>
      </c>
      <c r="G530" s="1">
        <v>200.0</v>
      </c>
      <c r="H530" s="1" t="s">
        <v>50</v>
      </c>
      <c r="I530" s="1">
        <v>106.0</v>
      </c>
      <c r="J530" s="1">
        <v>54.0</v>
      </c>
      <c r="K530" s="1">
        <v>34.0</v>
      </c>
      <c r="L530" s="1">
        <v>52.0</v>
      </c>
      <c r="M530" s="1">
        <v>40.0</v>
      </c>
      <c r="N530" s="1" t="s">
        <v>51</v>
      </c>
      <c r="O530" s="1">
        <v>52.0</v>
      </c>
      <c r="P530" s="1">
        <v>28.0</v>
      </c>
      <c r="Q530" s="1">
        <v>28.0</v>
      </c>
      <c r="R530" s="1">
        <v>24.0</v>
      </c>
      <c r="S530" s="1">
        <v>24.0</v>
      </c>
      <c r="T530" s="1" t="s">
        <v>52</v>
      </c>
      <c r="U530" s="1">
        <v>46.0</v>
      </c>
      <c r="V530" s="1">
        <v>20.0</v>
      </c>
      <c r="W530" s="1">
        <v>18.0</v>
      </c>
      <c r="X530" s="1">
        <v>26.0</v>
      </c>
      <c r="Y530" s="1">
        <v>24.0</v>
      </c>
      <c r="Z530" s="1" t="s">
        <v>53</v>
      </c>
      <c r="AA530" s="1" t="s">
        <v>55</v>
      </c>
      <c r="AB530" s="1" t="s">
        <v>55</v>
      </c>
      <c r="AC530" s="1" t="s">
        <v>55</v>
      </c>
      <c r="AD530" s="1" t="s">
        <v>55</v>
      </c>
      <c r="AE530" s="1" t="s">
        <v>55</v>
      </c>
      <c r="AF530" s="1" t="s">
        <v>54</v>
      </c>
      <c r="AG530" s="1" t="s">
        <v>55</v>
      </c>
      <c r="AH530" s="1" t="s">
        <v>55</v>
      </c>
      <c r="AI530" s="1" t="s">
        <v>55</v>
      </c>
      <c r="AJ530" s="1" t="s">
        <v>55</v>
      </c>
      <c r="AK530" s="1" t="s">
        <v>55</v>
      </c>
      <c r="AL530" s="1">
        <v>168.0</v>
      </c>
      <c r="AM530" s="1" t="s">
        <v>55</v>
      </c>
      <c r="AN530" s="1">
        <v>32.0</v>
      </c>
      <c r="AO530" s="1">
        <v>32.0</v>
      </c>
      <c r="AP530" s="1" t="s">
        <v>2807</v>
      </c>
      <c r="AQ530" s="3" t="str">
        <f>HYPERLINK("https://icf.clappia.com/app/GMB253374/submission/CGR84328187/ICF247370-GMB253374-5a3949ngeae400000000/SIG-20250701_1603b7nck.jpeg", "SIG-20250701_1603b7nck.jpeg")</f>
        <v>SIG-20250701_1603b7nck.jpeg</v>
      </c>
      <c r="AR530" s="1" t="s">
        <v>2808</v>
      </c>
      <c r="AS530" s="3" t="str">
        <f>HYPERLINK("https://icf.clappia.com/app/GMB253374/submission/CGR84328187/ICF247370-GMB253374-564la0moegnm00000000/SIG-20250701_1603c8p4f.jpeg", "SIG-20250701_1603c8p4f.jpeg")</f>
        <v>SIG-20250701_1603c8p4f.jpeg</v>
      </c>
      <c r="AT530" s="1" t="s">
        <v>2809</v>
      </c>
      <c r="AU530" s="3" t="str">
        <f>HYPERLINK("https://icf.clappia.com/app/GMB253374/submission/CGR84328187/ICF247370-GMB253374-494am5ba09k600000000/SIG-20250701_160410n5f2.jpeg", "SIG-20250701_160410n5f2.jpeg")</f>
        <v>SIG-20250701_160410n5f2.jpeg</v>
      </c>
      <c r="AV530" s="3" t="str">
        <f>HYPERLINK("https://www.google.com/maps/place/7.6868183%2C-11.7647983", "7.6868183,-11.7647983")</f>
        <v>7.6868183,-11.7647983</v>
      </c>
    </row>
    <row r="531" ht="15.75" customHeight="1">
      <c r="A531" s="1" t="s">
        <v>2810</v>
      </c>
      <c r="B531" s="1" t="s">
        <v>342</v>
      </c>
      <c r="C531" s="1" t="s">
        <v>2811</v>
      </c>
      <c r="D531" s="1" t="s">
        <v>2811</v>
      </c>
      <c r="E531" s="1" t="s">
        <v>2812</v>
      </c>
      <c r="F531" s="1" t="s">
        <v>64</v>
      </c>
      <c r="G531" s="1">
        <v>150.0</v>
      </c>
      <c r="H531" s="1" t="s">
        <v>50</v>
      </c>
      <c r="I531" s="1">
        <v>37.0</v>
      </c>
      <c r="J531" s="1">
        <v>21.0</v>
      </c>
      <c r="K531" s="1">
        <v>21.0</v>
      </c>
      <c r="L531" s="1">
        <v>16.0</v>
      </c>
      <c r="M531" s="1">
        <v>16.0</v>
      </c>
      <c r="N531" s="1" t="s">
        <v>51</v>
      </c>
      <c r="O531" s="1">
        <v>26.0</v>
      </c>
      <c r="P531" s="1">
        <v>13.0</v>
      </c>
      <c r="Q531" s="1">
        <v>13.0</v>
      </c>
      <c r="R531" s="1">
        <v>13.0</v>
      </c>
      <c r="S531" s="1">
        <v>13.0</v>
      </c>
      <c r="T531" s="1" t="s">
        <v>52</v>
      </c>
      <c r="U531" s="1">
        <v>28.0</v>
      </c>
      <c r="V531" s="1">
        <v>15.0</v>
      </c>
      <c r="W531" s="1">
        <v>15.0</v>
      </c>
      <c r="X531" s="1">
        <v>13.0</v>
      </c>
      <c r="Y531" s="1">
        <v>13.0</v>
      </c>
      <c r="Z531" s="1" t="s">
        <v>53</v>
      </c>
      <c r="AA531" s="1">
        <v>21.0</v>
      </c>
      <c r="AB531" s="1">
        <v>10.0</v>
      </c>
      <c r="AC531" s="1">
        <v>10.0</v>
      </c>
      <c r="AD531" s="1">
        <v>11.0</v>
      </c>
      <c r="AE531" s="1">
        <v>11.0</v>
      </c>
      <c r="AF531" s="1" t="s">
        <v>54</v>
      </c>
      <c r="AG531" s="1">
        <v>14.0</v>
      </c>
      <c r="AH531" s="1">
        <v>5.0</v>
      </c>
      <c r="AI531" s="1">
        <v>5.0</v>
      </c>
      <c r="AJ531" s="1">
        <v>9.0</v>
      </c>
      <c r="AK531" s="1">
        <v>9.0</v>
      </c>
      <c r="AL531" s="1">
        <v>126.0</v>
      </c>
      <c r="AM531" s="1" t="s">
        <v>55</v>
      </c>
      <c r="AN531" s="1">
        <v>24.0</v>
      </c>
      <c r="AO531" s="1">
        <v>24.0</v>
      </c>
      <c r="AP531" s="1" t="s">
        <v>1469</v>
      </c>
      <c r="AQ531" s="3" t="str">
        <f>HYPERLINK("https://icf.clappia.com/app/GMB253374/submission/AQI59889991/ICF247370-GMB253374-3p13i4fjh5n800000000/SIG-20250701_14313k42m.jpeg", "SIG-20250701_14313k42m.jpeg")</f>
        <v>SIG-20250701_14313k42m.jpeg</v>
      </c>
      <c r="AR531" s="1" t="s">
        <v>1488</v>
      </c>
      <c r="AS531" s="3" t="str">
        <f>HYPERLINK("https://icf.clappia.com/app/GMB253374/submission/AQI59889991/ICF247370-GMB253374-2nofckpi3c0g00000000/SIG-20250701_1614dhog3.jpeg", "SIG-20250701_1614dhog3.jpeg")</f>
        <v>SIG-20250701_1614dhog3.jpeg</v>
      </c>
      <c r="AT531" s="1" t="s">
        <v>2813</v>
      </c>
      <c r="AU531" s="3" t="str">
        <f>HYPERLINK("https://icf.clappia.com/app/GMB253374/submission/AQI59889991/ICF247370-GMB253374-2185hp3gac5f60000000/SIG-20250701_1614dep0k.jpeg", "SIG-20250701_1614dep0k.jpeg")</f>
        <v>SIG-20250701_1614dep0k.jpeg</v>
      </c>
      <c r="AV531" s="3" t="str">
        <f>HYPERLINK("https://www.google.com/maps/place/9.0790183%2C-12.0962217", "9.0790183,-12.0962217")</f>
        <v>9.0790183,-12.0962217</v>
      </c>
    </row>
    <row r="532" ht="15.75" customHeight="1">
      <c r="A532" s="1" t="s">
        <v>2814</v>
      </c>
      <c r="B532" s="1" t="s">
        <v>248</v>
      </c>
      <c r="C532" s="1" t="s">
        <v>2815</v>
      </c>
      <c r="D532" s="1" t="s">
        <v>2815</v>
      </c>
      <c r="E532" s="1" t="s">
        <v>2816</v>
      </c>
      <c r="F532" s="1" t="s">
        <v>64</v>
      </c>
      <c r="G532" s="1">
        <v>145.0</v>
      </c>
      <c r="H532" s="1" t="s">
        <v>50</v>
      </c>
      <c r="I532" s="1">
        <v>45.0</v>
      </c>
      <c r="J532" s="1">
        <v>23.0</v>
      </c>
      <c r="K532" s="1">
        <v>23.0</v>
      </c>
      <c r="L532" s="1">
        <v>22.0</v>
      </c>
      <c r="M532" s="1">
        <v>22.0</v>
      </c>
      <c r="N532" s="1" t="s">
        <v>51</v>
      </c>
      <c r="O532" s="1">
        <v>28.0</v>
      </c>
      <c r="P532" s="1">
        <v>15.0</v>
      </c>
      <c r="Q532" s="1">
        <v>15.0</v>
      </c>
      <c r="R532" s="1">
        <v>13.0</v>
      </c>
      <c r="S532" s="1">
        <v>13.0</v>
      </c>
      <c r="T532" s="1" t="s">
        <v>52</v>
      </c>
      <c r="U532" s="1">
        <v>24.0</v>
      </c>
      <c r="V532" s="1">
        <v>12.0</v>
      </c>
      <c r="W532" s="1">
        <v>12.0</v>
      </c>
      <c r="X532" s="1">
        <v>12.0</v>
      </c>
      <c r="Y532" s="1">
        <v>12.0</v>
      </c>
      <c r="Z532" s="1" t="s">
        <v>53</v>
      </c>
      <c r="AA532" s="1">
        <v>23.0</v>
      </c>
      <c r="AB532" s="1">
        <v>10.0</v>
      </c>
      <c r="AC532" s="1">
        <v>10.0</v>
      </c>
      <c r="AD532" s="1">
        <v>13.0</v>
      </c>
      <c r="AE532" s="1">
        <v>13.0</v>
      </c>
      <c r="AF532" s="1" t="s">
        <v>54</v>
      </c>
      <c r="AG532" s="1">
        <v>25.0</v>
      </c>
      <c r="AH532" s="1">
        <v>13.0</v>
      </c>
      <c r="AI532" s="1">
        <v>13.0</v>
      </c>
      <c r="AJ532" s="1">
        <v>12.0</v>
      </c>
      <c r="AK532" s="1">
        <v>12.0</v>
      </c>
      <c r="AL532" s="1">
        <v>145.0</v>
      </c>
      <c r="AM532" s="1" t="s">
        <v>55</v>
      </c>
      <c r="AN532" s="1" t="s">
        <v>55</v>
      </c>
      <c r="AO532" s="1" t="s">
        <v>55</v>
      </c>
      <c r="AP532" s="1" t="s">
        <v>1259</v>
      </c>
      <c r="AQ532" s="3" t="str">
        <f>HYPERLINK("https://icf.clappia.com/app/GMB253374/submission/KBL37140543/ICF247370-GMB253374-3bkblb111ok400000000/SIG-20250701_1559nii0n.jpeg", "SIG-20250701_1559nii0n.jpeg")</f>
        <v>SIG-20250701_1559nii0n.jpeg</v>
      </c>
      <c r="AR532" s="1" t="s">
        <v>1260</v>
      </c>
      <c r="AS532" s="3" t="str">
        <f>HYPERLINK("https://icf.clappia.com/app/GMB253374/submission/KBL37140543/ICF247370-GMB253374-48d85p493j9c00000000/SIG-20250701_155918dci1.jpeg", "SIG-20250701_155918dci1.jpeg")</f>
        <v>SIG-20250701_155918dci1.jpeg</v>
      </c>
      <c r="AT532" s="1" t="s">
        <v>2817</v>
      </c>
      <c r="AU532" s="3" t="str">
        <f>HYPERLINK("https://icf.clappia.com/app/GMB253374/submission/KBL37140543/ICF247370-GMB253374-k0me0h0koin20000000/SIG-20250701_16001aa8jp.jpeg", "SIG-20250701_16001aa8jp.jpeg")</f>
        <v>SIG-20250701_16001aa8jp.jpeg</v>
      </c>
      <c r="AV532" s="3" t="str">
        <f>HYPERLINK("https://www.google.com/maps/place/7.907985%2C-11.50592", "7.907985,-11.50592")</f>
        <v>7.907985,-11.50592</v>
      </c>
    </row>
    <row r="533" ht="15.75" customHeight="1">
      <c r="A533" s="1" t="s">
        <v>2818</v>
      </c>
      <c r="B533" s="1" t="s">
        <v>802</v>
      </c>
      <c r="C533" s="1" t="s">
        <v>2819</v>
      </c>
      <c r="D533" s="1" t="s">
        <v>2820</v>
      </c>
      <c r="E533" s="1" t="s">
        <v>2821</v>
      </c>
      <c r="F533" s="1" t="s">
        <v>64</v>
      </c>
      <c r="G533" s="1">
        <v>157.0</v>
      </c>
      <c r="H533" s="1" t="s">
        <v>50</v>
      </c>
      <c r="I533" s="1">
        <v>38.0</v>
      </c>
      <c r="J533" s="1">
        <v>30.0</v>
      </c>
      <c r="K533" s="1">
        <v>30.0</v>
      </c>
      <c r="L533" s="1">
        <v>8.0</v>
      </c>
      <c r="M533" s="1">
        <v>8.0</v>
      </c>
      <c r="N533" s="1" t="s">
        <v>51</v>
      </c>
      <c r="O533" s="1">
        <v>32.0</v>
      </c>
      <c r="P533" s="1">
        <v>20.0</v>
      </c>
      <c r="Q533" s="1">
        <v>20.0</v>
      </c>
      <c r="R533" s="1">
        <v>12.0</v>
      </c>
      <c r="S533" s="1">
        <v>12.0</v>
      </c>
      <c r="T533" s="1" t="s">
        <v>52</v>
      </c>
      <c r="U533" s="1">
        <v>45.0</v>
      </c>
      <c r="V533" s="1">
        <v>29.0</v>
      </c>
      <c r="W533" s="1">
        <v>29.0</v>
      </c>
      <c r="X533" s="1">
        <v>16.0</v>
      </c>
      <c r="Y533" s="1">
        <v>16.0</v>
      </c>
      <c r="Z533" s="1" t="s">
        <v>53</v>
      </c>
      <c r="AA533" s="1">
        <v>22.0</v>
      </c>
      <c r="AB533" s="1">
        <v>15.0</v>
      </c>
      <c r="AC533" s="1">
        <v>15.0</v>
      </c>
      <c r="AD533" s="1">
        <v>7.0</v>
      </c>
      <c r="AE533" s="1">
        <v>7.0</v>
      </c>
      <c r="AF533" s="1" t="s">
        <v>54</v>
      </c>
      <c r="AG533" s="1">
        <v>20.0</v>
      </c>
      <c r="AH533" s="1">
        <v>12.0</v>
      </c>
      <c r="AI533" s="1">
        <v>12.0</v>
      </c>
      <c r="AJ533" s="1">
        <v>8.0</v>
      </c>
      <c r="AK533" s="1">
        <v>8.0</v>
      </c>
      <c r="AL533" s="1">
        <v>157.0</v>
      </c>
      <c r="AM533" s="1" t="s">
        <v>55</v>
      </c>
      <c r="AN533" s="1" t="s">
        <v>55</v>
      </c>
      <c r="AO533" s="1" t="s">
        <v>55</v>
      </c>
      <c r="AP533" s="1" t="s">
        <v>1212</v>
      </c>
      <c r="AQ533" s="3" t="str">
        <f>HYPERLINK("https://icf.clappia.com/app/GMB253374/submission/BPD60449155/ICF247370-GMB253374-4dp6l5choemk00000000/SIG-20250701_103410h3b4.jpeg", "SIG-20250701_103410h3b4.jpeg")</f>
        <v>SIG-20250701_103410h3b4.jpeg</v>
      </c>
      <c r="AR533" s="1" t="s">
        <v>1213</v>
      </c>
      <c r="AS533" s="3" t="str">
        <f>HYPERLINK("https://icf.clappia.com/app/GMB253374/submission/BPD60449155/ICF247370-GMB253374-22582jieohjio0000000/SIG-20250701_1035afp9g.jpeg", "SIG-20250701_1035afp9g.jpeg")</f>
        <v>SIG-20250701_1035afp9g.jpeg</v>
      </c>
      <c r="AT533" s="1" t="s">
        <v>2822</v>
      </c>
      <c r="AU533" s="3" t="str">
        <f>HYPERLINK("https://icf.clappia.com/app/GMB253374/submission/BPD60449155/ICF247370-GMB253374-542p13875ki000000000/SIG-20250701_103519aej.jpeg", "SIG-20250701_103519aej.jpeg")</f>
        <v>SIG-20250701_103519aej.jpeg</v>
      </c>
      <c r="AV533" s="3" t="str">
        <f>HYPERLINK("https://www.google.com/maps/place/7.763185%2C-11.474515", "7.763185,-11.474515")</f>
        <v>7.763185,-11.474515</v>
      </c>
    </row>
    <row r="534" ht="15.75" customHeight="1">
      <c r="A534" s="1" t="s">
        <v>2823</v>
      </c>
      <c r="B534" s="1" t="s">
        <v>81</v>
      </c>
      <c r="C534" s="1" t="s">
        <v>2824</v>
      </c>
      <c r="D534" s="1" t="s">
        <v>2824</v>
      </c>
      <c r="E534" s="1" t="s">
        <v>2825</v>
      </c>
      <c r="F534" s="1" t="s">
        <v>64</v>
      </c>
      <c r="G534" s="1">
        <v>183.0</v>
      </c>
      <c r="H534" s="1" t="s">
        <v>50</v>
      </c>
      <c r="I534" s="1">
        <v>46.0</v>
      </c>
      <c r="J534" s="1">
        <v>25.0</v>
      </c>
      <c r="K534" s="1">
        <v>25.0</v>
      </c>
      <c r="L534" s="1">
        <v>21.0</v>
      </c>
      <c r="M534" s="1">
        <v>21.0</v>
      </c>
      <c r="N534" s="1" t="s">
        <v>51</v>
      </c>
      <c r="O534" s="1">
        <v>34.0</v>
      </c>
      <c r="P534" s="1">
        <v>19.0</v>
      </c>
      <c r="Q534" s="1">
        <v>19.0</v>
      </c>
      <c r="R534" s="1">
        <v>15.0</v>
      </c>
      <c r="S534" s="1">
        <v>15.0</v>
      </c>
      <c r="T534" s="1" t="s">
        <v>52</v>
      </c>
      <c r="U534" s="1">
        <v>31.0</v>
      </c>
      <c r="V534" s="1">
        <v>15.0</v>
      </c>
      <c r="W534" s="1">
        <v>15.0</v>
      </c>
      <c r="X534" s="1">
        <v>16.0</v>
      </c>
      <c r="Y534" s="1">
        <v>16.0</v>
      </c>
      <c r="Z534" s="1" t="s">
        <v>53</v>
      </c>
      <c r="AA534" s="1">
        <v>33.0</v>
      </c>
      <c r="AB534" s="1">
        <v>16.0</v>
      </c>
      <c r="AC534" s="1">
        <v>16.0</v>
      </c>
      <c r="AD534" s="1">
        <v>17.0</v>
      </c>
      <c r="AE534" s="1">
        <v>17.0</v>
      </c>
      <c r="AF534" s="1" t="s">
        <v>54</v>
      </c>
      <c r="AG534" s="1">
        <v>29.0</v>
      </c>
      <c r="AH534" s="1">
        <v>13.0</v>
      </c>
      <c r="AI534" s="1">
        <v>13.0</v>
      </c>
      <c r="AJ534" s="1">
        <v>16.0</v>
      </c>
      <c r="AK534" s="1">
        <v>16.0</v>
      </c>
      <c r="AL534" s="1">
        <v>173.0</v>
      </c>
      <c r="AM534" s="1">
        <v>10.0</v>
      </c>
      <c r="AN534" s="1" t="s">
        <v>55</v>
      </c>
      <c r="AO534" s="1" t="s">
        <v>55</v>
      </c>
      <c r="AP534" s="1" t="s">
        <v>2826</v>
      </c>
      <c r="AQ534" s="3" t="str">
        <f>HYPERLINK("https://icf.clappia.com/app/GMB253374/submission/QBG69993649/ICF247370-GMB253374-4f9aggjbn0co00000000/SIG-20250701_1554fm6k7.jpeg", "SIG-20250701_1554fm6k7.jpeg")</f>
        <v>SIG-20250701_1554fm6k7.jpeg</v>
      </c>
      <c r="AR534" s="1" t="s">
        <v>1497</v>
      </c>
      <c r="AS534" s="3" t="str">
        <f>HYPERLINK("https://icf.clappia.com/app/GMB253374/submission/QBG69993649/ICF247370-GMB253374-k7k95np1dl580000000/SIG-20250701_1555d01m.jpeg", "SIG-20250701_1555d01m.jpeg")</f>
        <v>SIG-20250701_1555d01m.jpeg</v>
      </c>
      <c r="AT534" s="1" t="s">
        <v>1498</v>
      </c>
      <c r="AU534" s="3" t="str">
        <f>HYPERLINK("https://icf.clappia.com/app/GMB253374/submission/QBG69993649/ICF247370-GMB253374-2k0nk3f7bcka0000000/SIG-20250701_155660n1e.jpeg", "SIG-20250701_155660n1e.jpeg")</f>
        <v>SIG-20250701_155660n1e.jpeg</v>
      </c>
      <c r="AV534" s="3" t="str">
        <f>HYPERLINK("https://www.google.com/maps/place/7.968652%2C-11.7273371", "7.968652,-11.7273371")</f>
        <v>7.968652,-11.7273371</v>
      </c>
    </row>
    <row r="535" ht="15.75" customHeight="1">
      <c r="A535" s="1" t="s">
        <v>2827</v>
      </c>
      <c r="B535" s="1" t="s">
        <v>81</v>
      </c>
      <c r="C535" s="1" t="s">
        <v>2828</v>
      </c>
      <c r="D535" s="1" t="s">
        <v>2828</v>
      </c>
      <c r="E535" s="1" t="s">
        <v>2829</v>
      </c>
      <c r="F535" s="1" t="s">
        <v>49</v>
      </c>
      <c r="G535" s="1">
        <v>169.0</v>
      </c>
      <c r="H535" s="1" t="s">
        <v>50</v>
      </c>
      <c r="I535" s="1">
        <v>28.0</v>
      </c>
      <c r="J535" s="1">
        <v>14.0</v>
      </c>
      <c r="K535" s="1">
        <v>14.0</v>
      </c>
      <c r="L535" s="1">
        <v>14.0</v>
      </c>
      <c r="M535" s="1">
        <v>14.0</v>
      </c>
      <c r="N535" s="1" t="s">
        <v>51</v>
      </c>
      <c r="O535" s="1">
        <v>27.0</v>
      </c>
      <c r="P535" s="1">
        <v>12.0</v>
      </c>
      <c r="Q535" s="1">
        <v>10.0</v>
      </c>
      <c r="R535" s="1">
        <v>15.0</v>
      </c>
      <c r="S535" s="1">
        <v>14.0</v>
      </c>
      <c r="T535" s="1" t="s">
        <v>52</v>
      </c>
      <c r="U535" s="1">
        <v>40.0</v>
      </c>
      <c r="V535" s="1">
        <v>22.0</v>
      </c>
      <c r="W535" s="1">
        <v>20.0</v>
      </c>
      <c r="X535" s="1">
        <v>18.0</v>
      </c>
      <c r="Y535" s="1">
        <v>17.0</v>
      </c>
      <c r="Z535" s="1" t="s">
        <v>53</v>
      </c>
      <c r="AA535" s="1">
        <v>30.0</v>
      </c>
      <c r="AB535" s="1">
        <v>16.0</v>
      </c>
      <c r="AC535" s="1">
        <v>14.0</v>
      </c>
      <c r="AD535" s="1">
        <v>14.0</v>
      </c>
      <c r="AE535" s="1">
        <v>11.0</v>
      </c>
      <c r="AF535" s="1" t="s">
        <v>54</v>
      </c>
      <c r="AG535" s="1">
        <v>44.0</v>
      </c>
      <c r="AH535" s="1">
        <v>20.0</v>
      </c>
      <c r="AI535" s="1">
        <v>15.0</v>
      </c>
      <c r="AJ535" s="1">
        <v>24.0</v>
      </c>
      <c r="AK535" s="1">
        <v>20.0</v>
      </c>
      <c r="AL535" s="1">
        <v>149.0</v>
      </c>
      <c r="AM535" s="1" t="s">
        <v>55</v>
      </c>
      <c r="AN535" s="1">
        <v>20.0</v>
      </c>
      <c r="AO535" s="1">
        <v>20.0</v>
      </c>
      <c r="AP535" s="1" t="s">
        <v>2830</v>
      </c>
      <c r="AQ535" s="3" t="str">
        <f>HYPERLINK("https://icf.clappia.com/app/GMB253374/submission/DRH80968453/ICF247370-GMB253374-pm16gd7afb5a0000000/SIG-20250701_1553o31m7.jpeg", "SIG-20250701_1553o31m7.jpeg")</f>
        <v>SIG-20250701_1553o31m7.jpeg</v>
      </c>
      <c r="AR535" s="1" t="s">
        <v>2831</v>
      </c>
      <c r="AS535" s="3" t="str">
        <f>HYPERLINK("https://icf.clappia.com/app/GMB253374/submission/DRH80968453/ICF247370-GMB253374-28f9gaoa2g50i0000000/SIG-20250701_1554lea93.jpeg", "SIG-20250701_1554lea93.jpeg")</f>
        <v>SIG-20250701_1554lea93.jpeg</v>
      </c>
      <c r="AT535" s="1" t="s">
        <v>577</v>
      </c>
      <c r="AU535" s="3" t="str">
        <f>HYPERLINK("https://icf.clappia.com/app/GMB253374/submission/DRH80968453/ICF247370-GMB253374-302cfp33igo200000000/SIG-20250701_1555ad28p.jpeg", "SIG-20250701_1555ad28p.jpeg")</f>
        <v>SIG-20250701_1555ad28p.jpeg</v>
      </c>
      <c r="AV535" s="3" t="str">
        <f>HYPERLINK("https://www.google.com/maps/place/7.9562471%2C-11.7607172", "7.9562471,-11.7607172")</f>
        <v>7.9562471,-11.7607172</v>
      </c>
    </row>
    <row r="536" ht="15.75" customHeight="1">
      <c r="A536" s="1" t="s">
        <v>2832</v>
      </c>
      <c r="B536" s="1" t="s">
        <v>60</v>
      </c>
      <c r="C536" s="1" t="s">
        <v>2833</v>
      </c>
      <c r="D536" s="1" t="s">
        <v>2833</v>
      </c>
      <c r="E536" s="1" t="s">
        <v>2834</v>
      </c>
      <c r="F536" s="1" t="s">
        <v>64</v>
      </c>
      <c r="G536" s="1">
        <v>300.0</v>
      </c>
      <c r="H536" s="1" t="s">
        <v>50</v>
      </c>
      <c r="I536" s="1">
        <v>76.0</v>
      </c>
      <c r="J536" s="1">
        <v>41.0</v>
      </c>
      <c r="K536" s="1">
        <v>36.0</v>
      </c>
      <c r="L536" s="1">
        <v>35.0</v>
      </c>
      <c r="M536" s="1">
        <v>35.0</v>
      </c>
      <c r="N536" s="1" t="s">
        <v>51</v>
      </c>
      <c r="O536" s="1">
        <v>70.0</v>
      </c>
      <c r="P536" s="1">
        <v>40.0</v>
      </c>
      <c r="Q536" s="1">
        <v>36.0</v>
      </c>
      <c r="R536" s="1">
        <v>30.0</v>
      </c>
      <c r="S536" s="1">
        <v>26.0</v>
      </c>
      <c r="T536" s="1" t="s">
        <v>52</v>
      </c>
      <c r="U536" s="1">
        <v>39.0</v>
      </c>
      <c r="V536" s="1">
        <v>20.0</v>
      </c>
      <c r="W536" s="1">
        <v>17.0</v>
      </c>
      <c r="X536" s="1">
        <v>19.0</v>
      </c>
      <c r="Y536" s="1">
        <v>18.0</v>
      </c>
      <c r="Z536" s="1" t="s">
        <v>53</v>
      </c>
      <c r="AA536" s="1">
        <v>51.0</v>
      </c>
      <c r="AB536" s="1">
        <v>30.0</v>
      </c>
      <c r="AC536" s="1">
        <v>27.0</v>
      </c>
      <c r="AD536" s="1">
        <v>21.0</v>
      </c>
      <c r="AE536" s="1">
        <v>21.0</v>
      </c>
      <c r="AF536" s="1" t="s">
        <v>54</v>
      </c>
      <c r="AG536" s="1">
        <v>50.0</v>
      </c>
      <c r="AH536" s="1">
        <v>32.0</v>
      </c>
      <c r="AI536" s="1">
        <v>28.0</v>
      </c>
      <c r="AJ536" s="1">
        <v>18.0</v>
      </c>
      <c r="AK536" s="1">
        <v>16.0</v>
      </c>
      <c r="AL536" s="1">
        <v>260.0</v>
      </c>
      <c r="AM536" s="1" t="s">
        <v>55</v>
      </c>
      <c r="AN536" s="1">
        <v>40.0</v>
      </c>
      <c r="AO536" s="1">
        <v>14.0</v>
      </c>
      <c r="AP536" s="1" t="s">
        <v>2835</v>
      </c>
      <c r="AQ536" s="3" t="str">
        <f>HYPERLINK("https://icf.clappia.com/app/GMB253374/submission/ZYT74001905/ICF247370-GMB253374-1lpa7608m7hl20000000/SIG-20250701_154718a37m.jpeg", "SIG-20250701_154718a37m.jpeg")</f>
        <v>SIG-20250701_154718a37m.jpeg</v>
      </c>
      <c r="AR536" s="1" t="s">
        <v>2836</v>
      </c>
      <c r="AS536" s="3" t="str">
        <f>HYPERLINK("https://icf.clappia.com/app/GMB253374/submission/ZYT74001905/ICF247370-GMB253374-3haiplk1f32400000000/SIG-20250701_15487c4hl.jpeg", "SIG-20250701_15487c4hl.jpeg")</f>
        <v>SIG-20250701_15487c4hl.jpeg</v>
      </c>
      <c r="AT536" s="1" t="s">
        <v>2837</v>
      </c>
      <c r="AU536" s="3" t="str">
        <f>HYPERLINK("https://icf.clappia.com/app/GMB253374/submission/ZYT74001905/ICF247370-GMB253374-1kd5dl469cfpa0000000/SIG-20250701_154914ik49.jpeg", "SIG-20250701_154914ik49.jpeg")</f>
        <v>SIG-20250701_154914ik49.jpeg</v>
      </c>
      <c r="AV536" s="3" t="str">
        <f>HYPERLINK("https://www.google.com/maps/place/9.1715883%2C-12.0607883", "9.1715883,-12.0607883")</f>
        <v>9.1715883,-12.0607883</v>
      </c>
    </row>
    <row r="537" ht="15.75" customHeight="1">
      <c r="A537" s="1" t="s">
        <v>2838</v>
      </c>
      <c r="B537" s="1" t="s">
        <v>528</v>
      </c>
      <c r="C537" s="1" t="s">
        <v>2839</v>
      </c>
      <c r="D537" s="1" t="s">
        <v>2840</v>
      </c>
      <c r="E537" s="1" t="s">
        <v>2841</v>
      </c>
      <c r="F537" s="1" t="s">
        <v>64</v>
      </c>
      <c r="G537" s="1">
        <v>100.0</v>
      </c>
      <c r="H537" s="1" t="s">
        <v>50</v>
      </c>
      <c r="I537" s="1">
        <v>37.0</v>
      </c>
      <c r="J537" s="1">
        <v>20.0</v>
      </c>
      <c r="K537" s="1">
        <v>20.0</v>
      </c>
      <c r="L537" s="1">
        <v>12.0</v>
      </c>
      <c r="M537" s="1">
        <v>12.0</v>
      </c>
      <c r="N537" s="1" t="s">
        <v>51</v>
      </c>
      <c r="O537" s="1">
        <v>13.0</v>
      </c>
      <c r="P537" s="1">
        <v>7.0</v>
      </c>
      <c r="Q537" s="1">
        <v>7.0</v>
      </c>
      <c r="R537" s="1">
        <v>6.0</v>
      </c>
      <c r="S537" s="1">
        <v>6.0</v>
      </c>
      <c r="T537" s="1" t="s">
        <v>52</v>
      </c>
      <c r="U537" s="1">
        <v>5.0</v>
      </c>
      <c r="V537" s="1">
        <v>3.0</v>
      </c>
      <c r="W537" s="1">
        <v>3.0</v>
      </c>
      <c r="X537" s="1">
        <v>2.0</v>
      </c>
      <c r="Y537" s="1">
        <v>2.0</v>
      </c>
      <c r="Z537" s="1" t="s">
        <v>53</v>
      </c>
      <c r="AA537" s="1">
        <v>8.0</v>
      </c>
      <c r="AB537" s="1">
        <v>5.0</v>
      </c>
      <c r="AC537" s="1">
        <v>5.0</v>
      </c>
      <c r="AD537" s="1">
        <v>3.0</v>
      </c>
      <c r="AE537" s="1">
        <v>3.0</v>
      </c>
      <c r="AF537" s="1" t="s">
        <v>54</v>
      </c>
      <c r="AG537" s="1">
        <v>16.0</v>
      </c>
      <c r="AH537" s="1">
        <v>7.0</v>
      </c>
      <c r="AI537" s="1">
        <v>7.0</v>
      </c>
      <c r="AJ537" s="1">
        <v>9.0</v>
      </c>
      <c r="AK537" s="1">
        <v>9.0</v>
      </c>
      <c r="AL537" s="1">
        <v>74.0</v>
      </c>
      <c r="AM537" s="1" t="s">
        <v>55</v>
      </c>
      <c r="AN537" s="1">
        <v>26.0</v>
      </c>
      <c r="AO537" s="1">
        <v>26.0</v>
      </c>
      <c r="AP537" s="1" t="s">
        <v>738</v>
      </c>
      <c r="AQ537" s="3" t="str">
        <f>HYPERLINK("https://icf.clappia.com/app/GMB253374/submission/WER68526425/ICF247370-GMB253374-1kihopdg76l0c0000000/SIG-20250701_1517kg4d8.jpeg", "SIG-20250701_1517kg4d8.jpeg")</f>
        <v>SIG-20250701_1517kg4d8.jpeg</v>
      </c>
      <c r="AR537" s="1" t="s">
        <v>739</v>
      </c>
      <c r="AS537" s="3" t="str">
        <f>HYPERLINK("https://icf.clappia.com/app/GMB253374/submission/WER68526425/ICF247370-GMB253374-5dp3mllp2oca00000000/SIG-20250701_1518ckf14.jpeg", "SIG-20250701_1518ckf14.jpeg")</f>
        <v>SIG-20250701_1518ckf14.jpeg</v>
      </c>
      <c r="AT537" s="1" t="s">
        <v>740</v>
      </c>
      <c r="AU537" s="3" t="str">
        <f>HYPERLINK("https://icf.clappia.com/app/GMB253374/submission/WER68526425/ICF247370-GMB253374-2hepjce0i7la00000000/SIG-20250701_1519196pjk.jpeg", "SIG-20250701_1519196pjk.jpeg")</f>
        <v>SIG-20250701_1519196pjk.jpeg</v>
      </c>
      <c r="AV537" s="3" t="str">
        <f>HYPERLINK("https://www.google.com/maps/place/7.8266783%2C-11.5077383", "7.8266783,-11.5077383")</f>
        <v>7.8266783,-11.5077383</v>
      </c>
    </row>
    <row r="538" ht="15.75" customHeight="1">
      <c r="A538" s="1" t="s">
        <v>2842</v>
      </c>
      <c r="B538" s="1" t="s">
        <v>60</v>
      </c>
      <c r="C538" s="1" t="s">
        <v>2843</v>
      </c>
      <c r="D538" s="1" t="s">
        <v>2843</v>
      </c>
      <c r="E538" s="1" t="s">
        <v>2844</v>
      </c>
      <c r="F538" s="1" t="s">
        <v>64</v>
      </c>
      <c r="G538" s="1">
        <v>100.0</v>
      </c>
      <c r="H538" s="1" t="s">
        <v>50</v>
      </c>
      <c r="I538" s="1">
        <v>17.0</v>
      </c>
      <c r="J538" s="1">
        <v>7.0</v>
      </c>
      <c r="K538" s="1">
        <v>7.0</v>
      </c>
      <c r="L538" s="1">
        <v>10.0</v>
      </c>
      <c r="M538" s="1">
        <v>10.0</v>
      </c>
      <c r="N538" s="1" t="s">
        <v>51</v>
      </c>
      <c r="O538" s="1">
        <v>16.0</v>
      </c>
      <c r="P538" s="1">
        <v>6.0</v>
      </c>
      <c r="Q538" s="1">
        <v>5.0</v>
      </c>
      <c r="R538" s="1">
        <v>10.0</v>
      </c>
      <c r="S538" s="1">
        <v>9.0</v>
      </c>
      <c r="T538" s="1" t="s">
        <v>52</v>
      </c>
      <c r="U538" s="1">
        <v>15.0</v>
      </c>
      <c r="V538" s="1">
        <v>7.0</v>
      </c>
      <c r="W538" s="1">
        <v>7.0</v>
      </c>
      <c r="X538" s="1">
        <v>8.0</v>
      </c>
      <c r="Y538" s="1">
        <v>8.0</v>
      </c>
      <c r="Z538" s="1" t="s">
        <v>53</v>
      </c>
      <c r="AA538" s="1">
        <v>13.0</v>
      </c>
      <c r="AB538" s="1">
        <v>5.0</v>
      </c>
      <c r="AC538" s="1">
        <v>5.0</v>
      </c>
      <c r="AD538" s="1">
        <v>8.0</v>
      </c>
      <c r="AE538" s="1">
        <v>7.0</v>
      </c>
      <c r="AF538" s="1" t="s">
        <v>54</v>
      </c>
      <c r="AG538" s="1">
        <v>16.0</v>
      </c>
      <c r="AH538" s="1">
        <v>7.0</v>
      </c>
      <c r="AI538" s="1">
        <v>7.0</v>
      </c>
      <c r="AJ538" s="1">
        <v>9.0</v>
      </c>
      <c r="AK538" s="1">
        <v>9.0</v>
      </c>
      <c r="AL538" s="1">
        <v>74.0</v>
      </c>
      <c r="AM538" s="1" t="s">
        <v>55</v>
      </c>
      <c r="AN538" s="1">
        <v>26.0</v>
      </c>
      <c r="AO538" s="1">
        <v>26.0</v>
      </c>
      <c r="AP538" s="1" t="s">
        <v>2845</v>
      </c>
      <c r="AQ538" s="3" t="str">
        <f>HYPERLINK("https://icf.clappia.com/app/GMB253374/submission/SZU89300289/ICF247370-GMB253374-33f4jdml6f3c00000000/SIG-20250701_154615ice2.jpeg", "SIG-20250701_154615ice2.jpeg")</f>
        <v>SIG-20250701_154615ice2.jpeg</v>
      </c>
      <c r="AR538" s="1" t="s">
        <v>2846</v>
      </c>
      <c r="AS538" s="3" t="str">
        <f>HYPERLINK("https://icf.clappia.com/app/GMB253374/submission/SZU89300289/ICF247370-GMB253374-4fffk7c464ko00000000/SIG-20250701_15453f7c.jpeg", "SIG-20250701_15453f7c.jpeg")</f>
        <v>SIG-20250701_15453f7c.jpeg</v>
      </c>
      <c r="AT538" s="1" t="s">
        <v>2847</v>
      </c>
      <c r="AU538" s="3" t="str">
        <f>HYPERLINK("https://icf.clappia.com/app/GMB253374/submission/SZU89300289/ICF247370-GMB253374-40g1el4mldo600000000/SIG-20250701_1545p6e4g.jpeg", "SIG-20250701_1545p6e4g.jpeg")</f>
        <v>SIG-20250701_1545p6e4g.jpeg</v>
      </c>
      <c r="AV538" s="3" t="str">
        <f>HYPERLINK("https://www.google.com/maps/place/9.1688592%2C-12.01488", "9.1688592,-12.01488")</f>
        <v>9.1688592,-12.01488</v>
      </c>
    </row>
    <row r="539" ht="15.75" customHeight="1">
      <c r="A539" s="1" t="s">
        <v>2848</v>
      </c>
      <c r="B539" s="1" t="s">
        <v>1521</v>
      </c>
      <c r="C539" s="1" t="s">
        <v>2843</v>
      </c>
      <c r="D539" s="1" t="s">
        <v>2843</v>
      </c>
      <c r="E539" s="1" t="s">
        <v>2849</v>
      </c>
      <c r="F539" s="1" t="s">
        <v>64</v>
      </c>
      <c r="G539" s="1">
        <v>200.0</v>
      </c>
      <c r="H539" s="1" t="s">
        <v>50</v>
      </c>
      <c r="I539" s="1">
        <v>67.0</v>
      </c>
      <c r="J539" s="1">
        <v>35.0</v>
      </c>
      <c r="K539" s="1">
        <v>34.0</v>
      </c>
      <c r="L539" s="1">
        <v>32.0</v>
      </c>
      <c r="M539" s="1">
        <v>31.0</v>
      </c>
      <c r="N539" s="1" t="s">
        <v>51</v>
      </c>
      <c r="O539" s="1">
        <v>44.0</v>
      </c>
      <c r="P539" s="1">
        <v>20.0</v>
      </c>
      <c r="Q539" s="1">
        <v>18.0</v>
      </c>
      <c r="R539" s="1">
        <v>24.0</v>
      </c>
      <c r="S539" s="1">
        <v>23.0</v>
      </c>
      <c r="T539" s="1" t="s">
        <v>52</v>
      </c>
      <c r="U539" s="1">
        <v>42.0</v>
      </c>
      <c r="V539" s="1">
        <v>20.0</v>
      </c>
      <c r="W539" s="1">
        <v>20.0</v>
      </c>
      <c r="X539" s="1">
        <v>22.0</v>
      </c>
      <c r="Y539" s="1">
        <v>21.0</v>
      </c>
      <c r="Z539" s="1" t="s">
        <v>53</v>
      </c>
      <c r="AA539" s="1">
        <v>30.0</v>
      </c>
      <c r="AB539" s="1">
        <v>14.0</v>
      </c>
      <c r="AC539" s="1">
        <v>14.0</v>
      </c>
      <c r="AD539" s="1">
        <v>16.0</v>
      </c>
      <c r="AE539" s="1">
        <v>15.0</v>
      </c>
      <c r="AF539" s="1" t="s">
        <v>54</v>
      </c>
      <c r="AG539" s="1">
        <v>17.0</v>
      </c>
      <c r="AH539" s="1">
        <v>6.0</v>
      </c>
      <c r="AI539" s="1">
        <v>6.0</v>
      </c>
      <c r="AJ539" s="1">
        <v>11.0</v>
      </c>
      <c r="AK539" s="1">
        <v>11.0</v>
      </c>
      <c r="AL539" s="1">
        <v>193.0</v>
      </c>
      <c r="AM539" s="1">
        <v>7.0</v>
      </c>
      <c r="AN539" s="1" t="s">
        <v>55</v>
      </c>
      <c r="AO539" s="1" t="s">
        <v>55</v>
      </c>
      <c r="AP539" s="1" t="s">
        <v>1525</v>
      </c>
      <c r="AQ539" s="3" t="str">
        <f>HYPERLINK("https://icf.clappia.com/app/GMB253374/submission/DUQ98023176/ICF247370-GMB253374-3mg8m6050jka00000000/SIG-20250701_142719fpn1.jpeg", "SIG-20250701_142719fpn1.jpeg")</f>
        <v>SIG-20250701_142719fpn1.jpeg</v>
      </c>
      <c r="AR539" s="1" t="s">
        <v>1524</v>
      </c>
      <c r="AS539" s="3" t="str">
        <f>HYPERLINK("https://icf.clappia.com/app/GMB253374/submission/DUQ98023176/ICF247370-GMB253374-4dbh1782lh1i00000000/SIG-20250701_14291450hc.jpeg", "SIG-20250701_14291450hc.jpeg")</f>
        <v>SIG-20250701_14291450hc.jpeg</v>
      </c>
      <c r="AT539" s="1" t="s">
        <v>1526</v>
      </c>
      <c r="AU539" s="3" t="str">
        <f>HYPERLINK("https://icf.clappia.com/app/GMB253374/submission/DUQ98023176/ICF247370-GMB253374-80ddghdk04io0000000/SIG-20250701_14294nae1.jpeg", "SIG-20250701_14294nae1.jpeg")</f>
        <v>SIG-20250701_14294nae1.jpeg</v>
      </c>
      <c r="AV539" s="3" t="str">
        <f>HYPERLINK("https://www.google.com/maps/place/8.0869442%2C-11.8319779", "8.0869442,-11.8319779")</f>
        <v>8.0869442,-11.8319779</v>
      </c>
    </row>
    <row r="540" ht="15.75" customHeight="1">
      <c r="A540" s="1" t="s">
        <v>2850</v>
      </c>
      <c r="B540" s="1" t="s">
        <v>142</v>
      </c>
      <c r="C540" s="1" t="s">
        <v>2851</v>
      </c>
      <c r="D540" s="1" t="s">
        <v>2843</v>
      </c>
      <c r="E540" s="1" t="s">
        <v>2852</v>
      </c>
      <c r="F540" s="1" t="s">
        <v>64</v>
      </c>
      <c r="G540" s="1">
        <v>79.0</v>
      </c>
      <c r="H540" s="1" t="s">
        <v>50</v>
      </c>
      <c r="I540" s="1">
        <v>26.0</v>
      </c>
      <c r="J540" s="1">
        <v>12.0</v>
      </c>
      <c r="K540" s="1">
        <v>10.0</v>
      </c>
      <c r="L540" s="1">
        <v>14.0</v>
      </c>
      <c r="M540" s="1">
        <v>9.0</v>
      </c>
      <c r="N540" s="1" t="s">
        <v>51</v>
      </c>
      <c r="O540" s="1">
        <v>19.0</v>
      </c>
      <c r="P540" s="1">
        <v>9.0</v>
      </c>
      <c r="Q540" s="1">
        <v>6.0</v>
      </c>
      <c r="R540" s="1">
        <v>10.0</v>
      </c>
      <c r="S540" s="1">
        <v>10.0</v>
      </c>
      <c r="T540" s="1" t="s">
        <v>52</v>
      </c>
      <c r="U540" s="1">
        <v>22.0</v>
      </c>
      <c r="V540" s="1">
        <v>12.0</v>
      </c>
      <c r="W540" s="1">
        <v>12.0</v>
      </c>
      <c r="X540" s="1">
        <v>10.0</v>
      </c>
      <c r="Y540" s="1">
        <v>10.0</v>
      </c>
      <c r="Z540" s="1" t="s">
        <v>53</v>
      </c>
      <c r="AA540" s="1">
        <v>6.0</v>
      </c>
      <c r="AB540" s="1">
        <v>4.0</v>
      </c>
      <c r="AC540" s="1">
        <v>4.0</v>
      </c>
      <c r="AD540" s="1">
        <v>2.0</v>
      </c>
      <c r="AE540" s="1">
        <v>2.0</v>
      </c>
      <c r="AF540" s="1" t="s">
        <v>54</v>
      </c>
      <c r="AG540" s="1">
        <v>6.0</v>
      </c>
      <c r="AH540" s="1">
        <v>5.0</v>
      </c>
      <c r="AI540" s="1">
        <v>5.0</v>
      </c>
      <c r="AJ540" s="1">
        <v>1.0</v>
      </c>
      <c r="AK540" s="1">
        <v>1.0</v>
      </c>
      <c r="AL540" s="1">
        <v>69.0</v>
      </c>
      <c r="AM540" s="1">
        <v>10.0</v>
      </c>
      <c r="AN540" s="1" t="s">
        <v>55</v>
      </c>
      <c r="AO540" s="1" t="s">
        <v>55</v>
      </c>
      <c r="AP540" s="1" t="s">
        <v>977</v>
      </c>
      <c r="AQ540" s="3" t="str">
        <f>HYPERLINK("https://icf.clappia.com/app/GMB253374/submission/UYK17473243/ICF247370-GMB253374-2kb67a8fg53a00000000/SIG-20250701_1144g9m67.jpeg", "SIG-20250701_1144g9m67.jpeg")</f>
        <v>SIG-20250701_1144g9m67.jpeg</v>
      </c>
      <c r="AR540" s="1" t="s">
        <v>2853</v>
      </c>
      <c r="AS540" s="3" t="str">
        <f>HYPERLINK("https://icf.clappia.com/app/GMB253374/submission/UYK17473243/ICF247370-GMB253374-16p9e7pbinip60000000/SIG-20250701_1146i2phj.jpeg", "SIG-20250701_1146i2phj.jpeg")</f>
        <v>SIG-20250701_1146i2phj.jpeg</v>
      </c>
      <c r="AT540" s="1" t="s">
        <v>979</v>
      </c>
      <c r="AU540" s="3" t="str">
        <f>HYPERLINK("https://icf.clappia.com/app/GMB253374/submission/UYK17473243/ICF247370-GMB253374-3l509d65h2bm00000000/SIG-20250701_114613163i.jpeg", "SIG-20250701_114613163i.jpeg")</f>
        <v>SIG-20250701_114613163i.jpeg</v>
      </c>
      <c r="AV540" s="3" t="str">
        <f>HYPERLINK("https://www.google.com/maps/place/7.8919317%2C-11.97771", "7.8919317,-11.97771")</f>
        <v>7.8919317,-11.97771</v>
      </c>
    </row>
    <row r="541" ht="15.75" customHeight="1">
      <c r="A541" s="1" t="s">
        <v>2854</v>
      </c>
      <c r="B541" s="1" t="s">
        <v>142</v>
      </c>
      <c r="C541" s="1" t="s">
        <v>2855</v>
      </c>
      <c r="D541" s="1" t="s">
        <v>2843</v>
      </c>
      <c r="E541" s="1" t="s">
        <v>2856</v>
      </c>
      <c r="F541" s="1" t="s">
        <v>64</v>
      </c>
      <c r="G541" s="1">
        <v>128.0</v>
      </c>
      <c r="H541" s="1" t="s">
        <v>50</v>
      </c>
      <c r="I541" s="1">
        <v>50.0</v>
      </c>
      <c r="J541" s="1">
        <v>30.0</v>
      </c>
      <c r="K541" s="1">
        <v>27.0</v>
      </c>
      <c r="L541" s="1">
        <v>20.0</v>
      </c>
      <c r="M541" s="1">
        <v>18.0</v>
      </c>
      <c r="N541" s="1" t="s">
        <v>51</v>
      </c>
      <c r="O541" s="1">
        <v>33.0</v>
      </c>
      <c r="P541" s="1">
        <v>14.0</v>
      </c>
      <c r="Q541" s="1">
        <v>13.0</v>
      </c>
      <c r="R541" s="1">
        <v>19.0</v>
      </c>
      <c r="S541" s="1">
        <v>17.0</v>
      </c>
      <c r="T541" s="1" t="s">
        <v>52</v>
      </c>
      <c r="U541" s="1">
        <v>22.0</v>
      </c>
      <c r="V541" s="1">
        <v>12.0</v>
      </c>
      <c r="W541" s="1">
        <v>12.0</v>
      </c>
      <c r="X541" s="1">
        <v>10.0</v>
      </c>
      <c r="Y541" s="1">
        <v>7.0</v>
      </c>
      <c r="Z541" s="1" t="s">
        <v>53</v>
      </c>
      <c r="AA541" s="1">
        <v>15.0</v>
      </c>
      <c r="AB541" s="1">
        <v>7.0</v>
      </c>
      <c r="AC541" s="1">
        <v>7.0</v>
      </c>
      <c r="AD541" s="1">
        <v>8.0</v>
      </c>
      <c r="AE541" s="1">
        <v>8.0</v>
      </c>
      <c r="AF541" s="1" t="s">
        <v>54</v>
      </c>
      <c r="AG541" s="1">
        <v>8.0</v>
      </c>
      <c r="AH541" s="1">
        <v>7.0</v>
      </c>
      <c r="AI541" s="1">
        <v>7.0</v>
      </c>
      <c r="AJ541" s="1">
        <v>1.0</v>
      </c>
      <c r="AK541" s="1">
        <v>1.0</v>
      </c>
      <c r="AL541" s="1">
        <v>117.0</v>
      </c>
      <c r="AM541" s="1">
        <v>7.0</v>
      </c>
      <c r="AN541" s="1">
        <v>4.0</v>
      </c>
      <c r="AO541" s="1" t="s">
        <v>55</v>
      </c>
      <c r="AP541" s="1" t="s">
        <v>977</v>
      </c>
      <c r="AQ541" s="3" t="str">
        <f>HYPERLINK("https://icf.clappia.com/app/GMB253374/submission/CJJ48486402/ICF247370-GMB253374-49b6ba0n62p200000000/SIG-20250630_1229105po6.jpeg", "SIG-20250630_1229105po6.jpeg")</f>
        <v>SIG-20250630_1229105po6.jpeg</v>
      </c>
      <c r="AR541" s="1" t="s">
        <v>2853</v>
      </c>
      <c r="AS541" s="3" t="str">
        <f>HYPERLINK("https://icf.clappia.com/app/GMB253374/submission/CJJ48486402/ICF247370-GMB253374-1fcego37350a40000000/SIG-20250630_1230hokln.jpeg", "SIG-20250630_1230hokln.jpeg")</f>
        <v>SIG-20250630_1230hokln.jpeg</v>
      </c>
      <c r="AT541" s="1" t="s">
        <v>2857</v>
      </c>
      <c r="AU541" s="3" t="str">
        <f>HYPERLINK("https://icf.clappia.com/app/GMB253374/submission/CJJ48486402/ICF247370-GMB253374-5p757n2fb92o00000000/SIG-20250630_122010ipb7.jpeg", "SIG-20250630_122010ipb7.jpeg")</f>
        <v>SIG-20250630_122010ipb7.jpeg</v>
      </c>
      <c r="AV541" s="3" t="str">
        <f>HYPERLINK("https://www.google.com/maps/place/7.88982%2C-11.9031717", "7.88982,-11.9031717")</f>
        <v>7.88982,-11.9031717</v>
      </c>
    </row>
    <row r="542" ht="15.75" customHeight="1">
      <c r="A542" s="1" t="s">
        <v>2858</v>
      </c>
      <c r="B542" s="1" t="s">
        <v>802</v>
      </c>
      <c r="C542" s="1" t="s">
        <v>2859</v>
      </c>
      <c r="D542" s="1" t="s">
        <v>2859</v>
      </c>
      <c r="E542" s="1" t="s">
        <v>2860</v>
      </c>
      <c r="F542" s="1" t="s">
        <v>64</v>
      </c>
      <c r="G542" s="1">
        <v>42.0</v>
      </c>
      <c r="H542" s="1" t="s">
        <v>50</v>
      </c>
      <c r="I542" s="1">
        <v>10.0</v>
      </c>
      <c r="J542" s="1">
        <v>4.0</v>
      </c>
      <c r="K542" s="1">
        <v>4.0</v>
      </c>
      <c r="L542" s="1">
        <v>6.0</v>
      </c>
      <c r="M542" s="1">
        <v>6.0</v>
      </c>
      <c r="N542" s="1" t="s">
        <v>51</v>
      </c>
      <c r="O542" s="1">
        <v>8.0</v>
      </c>
      <c r="P542" s="1">
        <v>3.0</v>
      </c>
      <c r="Q542" s="1">
        <v>3.0</v>
      </c>
      <c r="R542" s="1">
        <v>5.0</v>
      </c>
      <c r="S542" s="1">
        <v>5.0</v>
      </c>
      <c r="T542" s="1" t="s">
        <v>52</v>
      </c>
      <c r="U542" s="1">
        <v>10.0</v>
      </c>
      <c r="V542" s="1">
        <v>3.0</v>
      </c>
      <c r="W542" s="1">
        <v>3.0</v>
      </c>
      <c r="X542" s="1">
        <v>7.0</v>
      </c>
      <c r="Y542" s="1">
        <v>7.0</v>
      </c>
      <c r="Z542" s="1" t="s">
        <v>53</v>
      </c>
      <c r="AA542" s="1">
        <v>10.0</v>
      </c>
      <c r="AB542" s="1">
        <v>4.0</v>
      </c>
      <c r="AC542" s="1">
        <v>4.0</v>
      </c>
      <c r="AD542" s="1">
        <v>6.0</v>
      </c>
      <c r="AE542" s="1">
        <v>6.0</v>
      </c>
      <c r="AF542" s="1" t="s">
        <v>54</v>
      </c>
      <c r="AG542" s="1">
        <v>4.0</v>
      </c>
      <c r="AH542" s="1">
        <v>1.0</v>
      </c>
      <c r="AI542" s="1">
        <v>1.0</v>
      </c>
      <c r="AJ542" s="1">
        <v>3.0</v>
      </c>
      <c r="AK542" s="1">
        <v>3.0</v>
      </c>
      <c r="AL542" s="1">
        <v>42.0</v>
      </c>
      <c r="AM542" s="1" t="s">
        <v>55</v>
      </c>
      <c r="AN542" s="1" t="s">
        <v>55</v>
      </c>
      <c r="AO542" s="1" t="s">
        <v>55</v>
      </c>
      <c r="AP542" s="1" t="s">
        <v>806</v>
      </c>
      <c r="AQ542" s="3" t="str">
        <f>HYPERLINK("https://icf.clappia.com/app/GMB253374/submission/IAU18123895/ICF247370-GMB253374-2c7m7dja7m2800000000/SIG-20250701_1415c45ph.jpeg", "SIG-20250701_1415c45ph.jpeg")</f>
        <v>SIG-20250701_1415c45ph.jpeg</v>
      </c>
      <c r="AR542" s="1" t="s">
        <v>807</v>
      </c>
      <c r="AS542" s="3" t="str">
        <f>HYPERLINK("https://icf.clappia.com/app/GMB253374/submission/IAU18123895/ICF247370-GMB253374-43378mo6420e00000000/SIG-20250701_141615153k.jpeg", "SIG-20250701_141615153k.jpeg")</f>
        <v>SIG-20250701_141615153k.jpeg</v>
      </c>
      <c r="AT542" s="1" t="s">
        <v>808</v>
      </c>
      <c r="AU542" s="3" t="str">
        <f>HYPERLINK("https://icf.clappia.com/app/GMB253374/submission/IAU18123895/ICF247370-GMB253374-49eg15kel07e00000000/SIG-20250701_1416k14c.jpeg", "SIG-20250701_1416k14c.jpeg")</f>
        <v>SIG-20250701_1416k14c.jpeg</v>
      </c>
      <c r="AV542" s="3" t="str">
        <f>HYPERLINK("https://www.google.com/maps/place/7.634435%2C-11.6728133", "7.634435,-11.6728133")</f>
        <v>7.634435,-11.6728133</v>
      </c>
    </row>
    <row r="543" ht="15.75" customHeight="1">
      <c r="A543" s="1" t="s">
        <v>2861</v>
      </c>
      <c r="B543" s="1" t="s">
        <v>94</v>
      </c>
      <c r="C543" s="1" t="s">
        <v>2862</v>
      </c>
      <c r="D543" s="1" t="s">
        <v>2863</v>
      </c>
      <c r="E543" s="1" t="s">
        <v>2864</v>
      </c>
      <c r="F543" s="1" t="s">
        <v>64</v>
      </c>
      <c r="G543" s="1">
        <v>100.0</v>
      </c>
      <c r="H543" s="1" t="s">
        <v>50</v>
      </c>
      <c r="I543" s="1">
        <v>23.0</v>
      </c>
      <c r="J543" s="1">
        <v>11.0</v>
      </c>
      <c r="K543" s="1">
        <v>11.0</v>
      </c>
      <c r="L543" s="1">
        <v>12.0</v>
      </c>
      <c r="M543" s="1">
        <v>12.0</v>
      </c>
      <c r="N543" s="1" t="s">
        <v>51</v>
      </c>
      <c r="O543" s="1">
        <v>14.0</v>
      </c>
      <c r="P543" s="1">
        <v>11.0</v>
      </c>
      <c r="Q543" s="1">
        <v>11.0</v>
      </c>
      <c r="R543" s="1" t="s">
        <v>2865</v>
      </c>
      <c r="S543" s="1" t="s">
        <v>2865</v>
      </c>
      <c r="T543" s="1" t="s">
        <v>52</v>
      </c>
      <c r="U543" s="1">
        <v>15.0</v>
      </c>
      <c r="V543" s="1">
        <v>9.0</v>
      </c>
      <c r="W543" s="1">
        <v>9.0</v>
      </c>
      <c r="X543" s="1">
        <v>6.0</v>
      </c>
      <c r="Y543" s="1">
        <v>6.0</v>
      </c>
      <c r="Z543" s="1" t="s">
        <v>53</v>
      </c>
      <c r="AA543" s="1" t="s">
        <v>55</v>
      </c>
      <c r="AB543" s="1" t="s">
        <v>55</v>
      </c>
      <c r="AC543" s="1" t="s">
        <v>55</v>
      </c>
      <c r="AD543" s="1" t="s">
        <v>55</v>
      </c>
      <c r="AE543" s="1" t="s">
        <v>55</v>
      </c>
      <c r="AF543" s="1" t="s">
        <v>54</v>
      </c>
      <c r="AG543" s="1" t="s">
        <v>55</v>
      </c>
      <c r="AH543" s="1" t="s">
        <v>55</v>
      </c>
      <c r="AI543" s="1" t="s">
        <v>55</v>
      </c>
      <c r="AJ543" s="1" t="s">
        <v>55</v>
      </c>
      <c r="AK543" s="1" t="s">
        <v>55</v>
      </c>
      <c r="AL543" s="1">
        <v>52.0</v>
      </c>
      <c r="AM543" s="1" t="s">
        <v>55</v>
      </c>
      <c r="AN543" s="1">
        <v>48.0</v>
      </c>
      <c r="AO543" s="1">
        <v>48.0</v>
      </c>
      <c r="AP543" s="1" t="s">
        <v>2866</v>
      </c>
      <c r="AQ543" s="3" t="str">
        <f>HYPERLINK("https://icf.clappia.com/app/GMB253374/submission/OZF39733145/ICF247370-GMB253374-2foap4phnkb600000000/SIG-20250630_15248jb3a.jpeg", "SIG-20250630_15248jb3a.jpeg")</f>
        <v>SIG-20250630_15248jb3a.jpeg</v>
      </c>
      <c r="AR543" s="1" t="s">
        <v>2246</v>
      </c>
      <c r="AS543" s="3" t="str">
        <f>HYPERLINK("https://icf.clappia.com/app/GMB253374/submission/OZF39733145/ICF247370-GMB253374-2dknm74e30i800000000/SIG-20250630_151619a5ed.jpeg", "SIG-20250630_151619a5ed.jpeg")</f>
        <v>SIG-20250630_151619a5ed.jpeg</v>
      </c>
      <c r="AT543" s="1" t="s">
        <v>2247</v>
      </c>
      <c r="AU543" s="3" t="str">
        <f>HYPERLINK("https://icf.clappia.com/app/GMB253374/submission/OZF39733145/ICF247370-GMB253374-1akh815p7p6co0000000/SIG-20250630_1526pe1l4.jpeg", "SIG-20250630_1526pe1l4.jpeg")</f>
        <v>SIG-20250630_1526pe1l4.jpeg</v>
      </c>
      <c r="AV543" s="3" t="str">
        <f>HYPERLINK("https://www.google.com/maps/place/7.7452417%2C-11.7823067", "7.7452417,-11.7823067")</f>
        <v>7.7452417,-11.7823067</v>
      </c>
    </row>
    <row r="544" ht="15.75" customHeight="1">
      <c r="A544" s="1" t="s">
        <v>2867</v>
      </c>
      <c r="B544" s="1" t="s">
        <v>528</v>
      </c>
      <c r="C544" s="1" t="s">
        <v>2868</v>
      </c>
      <c r="D544" s="1" t="s">
        <v>2868</v>
      </c>
      <c r="E544" s="1" t="s">
        <v>2869</v>
      </c>
      <c r="F544" s="1" t="s">
        <v>64</v>
      </c>
      <c r="G544" s="1">
        <v>150.0</v>
      </c>
      <c r="H544" s="1" t="s">
        <v>50</v>
      </c>
      <c r="I544" s="1">
        <v>56.0</v>
      </c>
      <c r="J544" s="1">
        <v>30.0</v>
      </c>
      <c r="K544" s="1">
        <v>30.0</v>
      </c>
      <c r="L544" s="1">
        <v>26.0</v>
      </c>
      <c r="M544" s="1">
        <v>26.0</v>
      </c>
      <c r="N544" s="1" t="s">
        <v>51</v>
      </c>
      <c r="O544" s="1">
        <v>7.0</v>
      </c>
      <c r="P544" s="1">
        <v>3.0</v>
      </c>
      <c r="Q544" s="1">
        <v>3.0</v>
      </c>
      <c r="R544" s="1">
        <v>4.0</v>
      </c>
      <c r="S544" s="1">
        <v>4.0</v>
      </c>
      <c r="T544" s="1" t="s">
        <v>52</v>
      </c>
      <c r="U544" s="1">
        <v>11.0</v>
      </c>
      <c r="V544" s="1">
        <v>6.0</v>
      </c>
      <c r="W544" s="1">
        <v>6.0</v>
      </c>
      <c r="X544" s="1">
        <v>5.0</v>
      </c>
      <c r="Y544" s="1">
        <v>5.0</v>
      </c>
      <c r="Z544" s="1" t="s">
        <v>53</v>
      </c>
      <c r="AA544" s="1">
        <v>11.0</v>
      </c>
      <c r="AB544" s="1">
        <v>7.0</v>
      </c>
      <c r="AC544" s="1">
        <v>7.0</v>
      </c>
      <c r="AD544" s="1">
        <v>4.0</v>
      </c>
      <c r="AE544" s="1">
        <v>4.0</v>
      </c>
      <c r="AF544" s="1" t="s">
        <v>54</v>
      </c>
      <c r="AG544" s="1">
        <v>15.0</v>
      </c>
      <c r="AH544" s="1">
        <v>8.0</v>
      </c>
      <c r="AI544" s="1">
        <v>8.0</v>
      </c>
      <c r="AJ544" s="1">
        <v>7.0</v>
      </c>
      <c r="AK544" s="1">
        <v>7.0</v>
      </c>
      <c r="AL544" s="1">
        <v>100.0</v>
      </c>
      <c r="AM544" s="1" t="s">
        <v>55</v>
      </c>
      <c r="AN544" s="1">
        <v>50.0</v>
      </c>
      <c r="AO544" s="1">
        <v>50.0</v>
      </c>
      <c r="AP544" s="1" t="s">
        <v>1640</v>
      </c>
      <c r="AQ544" s="3" t="str">
        <f>HYPERLINK("https://icf.clappia.com/app/GMB253374/submission/OLZ55133975/ICF247370-GMB253374-3p4gpihnne1400000000/SIG-20250701_153040oog.jpeg", "SIG-20250701_153040oog.jpeg")</f>
        <v>SIG-20250701_153040oog.jpeg</v>
      </c>
      <c r="AR544" s="1" t="s">
        <v>1641</v>
      </c>
      <c r="AS544" s="3" t="str">
        <f>HYPERLINK("https://icf.clappia.com/app/GMB253374/submission/OLZ55133975/ICF247370-GMB253374-3kmm6n63ifl200000000/SIG-20250701_1530gm13j.jpeg", "SIG-20250701_1530gm13j.jpeg")</f>
        <v>SIG-20250701_1530gm13j.jpeg</v>
      </c>
      <c r="AT544" s="1" t="s">
        <v>1642</v>
      </c>
      <c r="AU544" s="3" t="str">
        <f>HYPERLINK("https://icf.clappia.com/app/GMB253374/submission/OLZ55133975/ICF247370-GMB253374-1feli7f1g49kk0000000/SIG-20250701_153111im50.jpeg", "SIG-20250701_153111im50.jpeg")</f>
        <v>SIG-20250701_153111im50.jpeg</v>
      </c>
      <c r="AV544" s="3" t="str">
        <f>HYPERLINK("https://www.google.com/maps/place/7.7113711%2C-11.6942423", "7.7113711,-11.6942423")</f>
        <v>7.7113711,-11.6942423</v>
      </c>
    </row>
    <row r="545" ht="15.75" customHeight="1">
      <c r="A545" s="1" t="s">
        <v>2870</v>
      </c>
      <c r="B545" s="1" t="s">
        <v>356</v>
      </c>
      <c r="C545" s="1" t="s">
        <v>2868</v>
      </c>
      <c r="D545" s="1" t="s">
        <v>2868</v>
      </c>
      <c r="E545" s="1" t="s">
        <v>2871</v>
      </c>
      <c r="F545" s="1" t="s">
        <v>64</v>
      </c>
      <c r="G545" s="1">
        <v>190.0</v>
      </c>
      <c r="H545" s="1" t="s">
        <v>50</v>
      </c>
      <c r="I545" s="1">
        <v>55.0</v>
      </c>
      <c r="J545" s="1">
        <v>30.0</v>
      </c>
      <c r="K545" s="1">
        <v>11.0</v>
      </c>
      <c r="L545" s="1">
        <v>25.0</v>
      </c>
      <c r="M545" s="1">
        <v>8.0</v>
      </c>
      <c r="N545" s="1" t="s">
        <v>51</v>
      </c>
      <c r="O545" s="1">
        <v>55.0</v>
      </c>
      <c r="P545" s="1">
        <v>25.0</v>
      </c>
      <c r="Q545" s="1">
        <v>17.0</v>
      </c>
      <c r="R545" s="1">
        <v>30.0</v>
      </c>
      <c r="S545" s="1">
        <v>12.0</v>
      </c>
      <c r="T545" s="1" t="s">
        <v>52</v>
      </c>
      <c r="U545" s="1">
        <v>31.0</v>
      </c>
      <c r="V545" s="1">
        <v>20.0</v>
      </c>
      <c r="W545" s="1">
        <v>12.0</v>
      </c>
      <c r="X545" s="1">
        <v>11.0</v>
      </c>
      <c r="Y545" s="1">
        <v>9.0</v>
      </c>
      <c r="Z545" s="1" t="s">
        <v>53</v>
      </c>
      <c r="AA545" s="1">
        <v>43.0</v>
      </c>
      <c r="AB545" s="1">
        <v>18.0</v>
      </c>
      <c r="AC545" s="1">
        <v>8.0</v>
      </c>
      <c r="AD545" s="1">
        <v>25.0</v>
      </c>
      <c r="AE545" s="1">
        <v>8.0</v>
      </c>
      <c r="AF545" s="1" t="s">
        <v>54</v>
      </c>
      <c r="AG545" s="1">
        <v>41.0</v>
      </c>
      <c r="AH545" s="1">
        <v>16.0</v>
      </c>
      <c r="AI545" s="1">
        <v>12.0</v>
      </c>
      <c r="AJ545" s="1">
        <v>25.0</v>
      </c>
      <c r="AK545" s="1">
        <v>13.0</v>
      </c>
      <c r="AL545" s="1">
        <v>110.0</v>
      </c>
      <c r="AM545" s="1">
        <v>10.0</v>
      </c>
      <c r="AN545" s="1">
        <v>70.0</v>
      </c>
      <c r="AO545" s="1">
        <v>70.0</v>
      </c>
      <c r="AP545" s="1" t="s">
        <v>2872</v>
      </c>
      <c r="AQ545" s="3" t="str">
        <f>HYPERLINK("https://icf.clappia.com/app/GMB253374/submission/WRE78644089/ICF247370-GMB253374-33206739e2ji00000000/SIG-20250701_1337i6ip2.jpeg", "SIG-20250701_1337i6ip2.jpeg")</f>
        <v>SIG-20250701_1337i6ip2.jpeg</v>
      </c>
      <c r="AR545" s="1" t="s">
        <v>1374</v>
      </c>
      <c r="AS545" s="3" t="str">
        <f>HYPERLINK("https://icf.clappia.com/app/GMB253374/submission/WRE78644089/ICF247370-GMB253374-4dkgn71738l000000000/SIG-20250701_1337fk5c7.jpeg", "SIG-20250701_1337fk5c7.jpeg")</f>
        <v>SIG-20250701_1337fk5c7.jpeg</v>
      </c>
      <c r="AT545" s="1" t="s">
        <v>1375</v>
      </c>
      <c r="AU545" s="3" t="str">
        <f>HYPERLINK("https://icf.clappia.com/app/GMB253374/submission/WRE78644089/ICF247370-GMB253374-4n26d77bcbm400000000/SIG-20250701_133717ho64.jpeg", "SIG-20250701_133717ho64.jpeg")</f>
        <v>SIG-20250701_133717ho64.jpeg</v>
      </c>
      <c r="AV545" s="3" t="str">
        <f>HYPERLINK("https://www.google.com/maps/place/8.3303233%2C-11.6980317", "8.3303233,-11.6980317")</f>
        <v>8.3303233,-11.6980317</v>
      </c>
    </row>
    <row r="546" ht="15.75" customHeight="1">
      <c r="A546" s="1" t="s">
        <v>2873</v>
      </c>
      <c r="B546" s="1" t="s">
        <v>167</v>
      </c>
      <c r="C546" s="1" t="s">
        <v>2874</v>
      </c>
      <c r="D546" s="1" t="s">
        <v>2874</v>
      </c>
      <c r="E546" s="1" t="s">
        <v>2875</v>
      </c>
      <c r="F546" s="1" t="s">
        <v>64</v>
      </c>
      <c r="G546" s="1">
        <v>43.0</v>
      </c>
      <c r="H546" s="1" t="s">
        <v>50</v>
      </c>
      <c r="I546" s="1">
        <v>10.0</v>
      </c>
      <c r="J546" s="1">
        <v>5.0</v>
      </c>
      <c r="K546" s="1">
        <v>5.0</v>
      </c>
      <c r="L546" s="1">
        <v>5.0</v>
      </c>
      <c r="M546" s="1">
        <v>5.0</v>
      </c>
      <c r="N546" s="1" t="s">
        <v>51</v>
      </c>
      <c r="O546" s="1">
        <v>11.0</v>
      </c>
      <c r="P546" s="1">
        <v>4.0</v>
      </c>
      <c r="Q546" s="1">
        <v>4.0</v>
      </c>
      <c r="R546" s="1">
        <v>7.0</v>
      </c>
      <c r="S546" s="1">
        <v>7.0</v>
      </c>
      <c r="T546" s="1" t="s">
        <v>52</v>
      </c>
      <c r="U546" s="1">
        <v>10.0</v>
      </c>
      <c r="V546" s="1">
        <v>6.0</v>
      </c>
      <c r="W546" s="1">
        <v>6.0</v>
      </c>
      <c r="X546" s="1">
        <v>4.0</v>
      </c>
      <c r="Y546" s="1">
        <v>4.0</v>
      </c>
      <c r="Z546" s="1" t="s">
        <v>53</v>
      </c>
      <c r="AA546" s="1">
        <v>5.0</v>
      </c>
      <c r="AB546" s="1">
        <v>2.0</v>
      </c>
      <c r="AC546" s="1">
        <v>2.0</v>
      </c>
      <c r="AD546" s="1">
        <v>3.0</v>
      </c>
      <c r="AE546" s="1">
        <v>3.0</v>
      </c>
      <c r="AF546" s="1" t="s">
        <v>54</v>
      </c>
      <c r="AG546" s="1">
        <v>7.0</v>
      </c>
      <c r="AH546" s="1">
        <v>3.0</v>
      </c>
      <c r="AI546" s="1">
        <v>3.0</v>
      </c>
      <c r="AJ546" s="1">
        <v>4.0</v>
      </c>
      <c r="AK546" s="1">
        <v>4.0</v>
      </c>
      <c r="AL546" s="1">
        <v>43.0</v>
      </c>
      <c r="AM546" s="1" t="s">
        <v>55</v>
      </c>
      <c r="AN546" s="1" t="s">
        <v>55</v>
      </c>
      <c r="AO546" s="1" t="s">
        <v>55</v>
      </c>
      <c r="AP546" s="1" t="s">
        <v>181</v>
      </c>
      <c r="AQ546" s="3" t="str">
        <f>HYPERLINK("https://icf.clappia.com/app/GMB253374/submission/BRT77597493/ICF247370-GMB253374-5cibdj9p8bkk00000000/SIG-20250701_151754h53.jpeg", "SIG-20250701_151754h53.jpeg")</f>
        <v>SIG-20250701_151754h53.jpeg</v>
      </c>
      <c r="AR546" s="1" t="s">
        <v>152</v>
      </c>
      <c r="AS546" s="3" t="str">
        <f>HYPERLINK("https://icf.clappia.com/app/GMB253374/submission/BRT77597493/ICF247370-GMB253374-4m34o003c9e200000000/SIG-20250701_152210082m.jpeg", "SIG-20250701_152210082m.jpeg")</f>
        <v>SIG-20250701_152210082m.jpeg</v>
      </c>
      <c r="AT546" s="1" t="s">
        <v>153</v>
      </c>
      <c r="AU546" s="3" t="str">
        <f>HYPERLINK("https://icf.clappia.com/app/GMB253374/submission/BRT77597493/ICF247370-GMB253374-3gfna84n8kd200000000/SIG-20250701_1519k7llh.jpeg", "SIG-20250701_1519k7llh.jpeg")</f>
        <v>SIG-20250701_1519k7llh.jpeg</v>
      </c>
      <c r="AV546" s="3" t="str">
        <f>HYPERLINK("https://www.google.com/maps/place/7.8215483%2C-11.8765433", "7.8215483,-11.8765433")</f>
        <v>7.8215483,-11.8765433</v>
      </c>
    </row>
    <row r="547" ht="15.75" customHeight="1">
      <c r="A547" s="1" t="s">
        <v>2876</v>
      </c>
      <c r="B547" s="1" t="s">
        <v>356</v>
      </c>
      <c r="C547" s="1" t="s">
        <v>2877</v>
      </c>
      <c r="D547" s="1" t="s">
        <v>2877</v>
      </c>
      <c r="E547" s="1" t="s">
        <v>2878</v>
      </c>
      <c r="F547" s="1" t="s">
        <v>64</v>
      </c>
      <c r="G547" s="1">
        <v>200.0</v>
      </c>
      <c r="H547" s="1" t="s">
        <v>50</v>
      </c>
      <c r="I547" s="1">
        <v>44.0</v>
      </c>
      <c r="J547" s="1">
        <v>20.0</v>
      </c>
      <c r="K547" s="1">
        <v>19.0</v>
      </c>
      <c r="L547" s="1">
        <v>24.0</v>
      </c>
      <c r="M547" s="1">
        <v>22.0</v>
      </c>
      <c r="N547" s="1" t="s">
        <v>51</v>
      </c>
      <c r="O547" s="1">
        <v>41.0</v>
      </c>
      <c r="P547" s="1">
        <v>19.0</v>
      </c>
      <c r="Q547" s="1">
        <v>17.0</v>
      </c>
      <c r="R547" s="1">
        <v>22.0</v>
      </c>
      <c r="S547" s="1">
        <v>22.0</v>
      </c>
      <c r="T547" s="1" t="s">
        <v>52</v>
      </c>
      <c r="U547" s="1">
        <v>38.0</v>
      </c>
      <c r="V547" s="1">
        <v>18.0</v>
      </c>
      <c r="W547" s="1">
        <v>18.0</v>
      </c>
      <c r="X547" s="1">
        <v>20.0</v>
      </c>
      <c r="Y547" s="1">
        <v>20.0</v>
      </c>
      <c r="Z547" s="1" t="s">
        <v>53</v>
      </c>
      <c r="AA547" s="1">
        <v>21.0</v>
      </c>
      <c r="AB547" s="1">
        <v>10.0</v>
      </c>
      <c r="AC547" s="1">
        <v>7.0</v>
      </c>
      <c r="AD547" s="1">
        <v>11.0</v>
      </c>
      <c r="AE547" s="1">
        <v>11.0</v>
      </c>
      <c r="AF547" s="1" t="s">
        <v>54</v>
      </c>
      <c r="AG547" s="1">
        <v>53.0</v>
      </c>
      <c r="AH547" s="1">
        <v>25.0</v>
      </c>
      <c r="AI547" s="1">
        <v>24.0</v>
      </c>
      <c r="AJ547" s="1">
        <v>28.0</v>
      </c>
      <c r="AK547" s="1">
        <v>27.0</v>
      </c>
      <c r="AL547" s="1">
        <v>187.0</v>
      </c>
      <c r="AM547" s="1">
        <v>10.0</v>
      </c>
      <c r="AN547" s="1">
        <v>3.0</v>
      </c>
      <c r="AO547" s="1">
        <v>3.0</v>
      </c>
      <c r="AP547" s="1" t="s">
        <v>2879</v>
      </c>
      <c r="AQ547" s="3" t="str">
        <f>HYPERLINK("https://icf.clappia.com/app/GMB253374/submission/PVF47288466/ICF247370-GMB253374-63lk0jei14jm00000000/SIG-20250701_0942l41g5.jpeg", "SIG-20250701_0942l41g5.jpeg")</f>
        <v>SIG-20250701_0942l41g5.jpeg</v>
      </c>
      <c r="AR547" s="1" t="s">
        <v>2880</v>
      </c>
      <c r="AS547" s="3" t="str">
        <f>HYPERLINK("https://icf.clappia.com/app/GMB253374/submission/PVF47288466/ICF247370-GMB253374-3mnc1f5fm59200000000/SIG-20250701_094214ne65.jpeg", "SIG-20250701_094214ne65.jpeg")</f>
        <v>SIG-20250701_094214ne65.jpeg</v>
      </c>
      <c r="AT547" s="1" t="s">
        <v>1923</v>
      </c>
      <c r="AU547" s="3" t="str">
        <f>HYPERLINK("https://icf.clappia.com/app/GMB253374/submission/PVF47288466/ICF247370-GMB253374-59i8a5m3a7gk00000000/SIG-20250701_0942e48cd.jpeg", "SIG-20250701_0942e48cd.jpeg")</f>
        <v>SIG-20250701_0942e48cd.jpeg</v>
      </c>
      <c r="AV547" s="3" t="str">
        <f>HYPERLINK("https://www.google.com/maps/place/8.238075%2C-11.69092", "8.238075,-11.69092")</f>
        <v>8.238075,-11.69092</v>
      </c>
    </row>
    <row r="548" ht="15.75" customHeight="1">
      <c r="A548" s="1" t="s">
        <v>2881</v>
      </c>
      <c r="B548" s="1" t="s">
        <v>1521</v>
      </c>
      <c r="C548" s="1" t="s">
        <v>2882</v>
      </c>
      <c r="D548" s="1" t="s">
        <v>2882</v>
      </c>
      <c r="E548" s="1" t="s">
        <v>2883</v>
      </c>
      <c r="F548" s="1" t="s">
        <v>64</v>
      </c>
      <c r="G548" s="1">
        <v>250.0</v>
      </c>
      <c r="H548" s="1" t="s">
        <v>50</v>
      </c>
      <c r="I548" s="1">
        <v>23.0</v>
      </c>
      <c r="J548" s="1">
        <v>11.0</v>
      </c>
      <c r="K548" s="1">
        <v>11.0</v>
      </c>
      <c r="L548" s="1">
        <v>12.0</v>
      </c>
      <c r="M548" s="1">
        <v>12.0</v>
      </c>
      <c r="N548" s="1" t="s">
        <v>51</v>
      </c>
      <c r="O548" s="1">
        <v>8.0</v>
      </c>
      <c r="P548" s="1">
        <v>5.0</v>
      </c>
      <c r="Q548" s="1">
        <v>5.0</v>
      </c>
      <c r="R548" s="1">
        <v>3.0</v>
      </c>
      <c r="S548" s="1">
        <v>1.0</v>
      </c>
      <c r="T548" s="1" t="s">
        <v>52</v>
      </c>
      <c r="U548" s="1">
        <v>18.0</v>
      </c>
      <c r="V548" s="1">
        <v>10.0</v>
      </c>
      <c r="W548" s="1">
        <v>2.0</v>
      </c>
      <c r="X548" s="1">
        <v>8.0</v>
      </c>
      <c r="Y548" s="1">
        <v>3.0</v>
      </c>
      <c r="Z548" s="1" t="s">
        <v>53</v>
      </c>
      <c r="AA548" s="1">
        <v>4.0</v>
      </c>
      <c r="AB548" s="1">
        <v>2.0</v>
      </c>
      <c r="AC548" s="1">
        <v>2.0</v>
      </c>
      <c r="AD548" s="1">
        <v>2.0</v>
      </c>
      <c r="AE548" s="1">
        <v>2.0</v>
      </c>
      <c r="AF548" s="1" t="s">
        <v>54</v>
      </c>
      <c r="AG548" s="1">
        <v>14.0</v>
      </c>
      <c r="AH548" s="1">
        <v>11.0</v>
      </c>
      <c r="AI548" s="1">
        <v>11.0</v>
      </c>
      <c r="AJ548" s="1">
        <v>3.0</v>
      </c>
      <c r="AK548" s="1">
        <v>3.0</v>
      </c>
      <c r="AL548" s="1">
        <v>52.0</v>
      </c>
      <c r="AM548" s="1" t="s">
        <v>55</v>
      </c>
      <c r="AN548" s="1">
        <v>198.0</v>
      </c>
      <c r="AO548" s="1">
        <v>148.0</v>
      </c>
      <c r="AP548" s="1" t="s">
        <v>2108</v>
      </c>
      <c r="AQ548" s="3" t="str">
        <f>HYPERLINK("https://icf.clappia.com/app/GMB253374/submission/WNV63369790/ICF247370-GMB253374-3ebjjo542okg00000000/SIG-20250701_1515lg7ik.jpeg", "SIG-20250701_1515lg7ik.jpeg")</f>
        <v>SIG-20250701_1515lg7ik.jpeg</v>
      </c>
      <c r="AR548" s="1" t="s">
        <v>2109</v>
      </c>
      <c r="AS548" s="3" t="str">
        <f>HYPERLINK("https://icf.clappia.com/app/GMB253374/submission/WNV63369790/ICF247370-GMB253374-63cghdnhi2gk0000000/SIG-20250701_151664ka9.jpeg", "SIG-20250701_151664ka9.jpeg")</f>
        <v>SIG-20250701_151664ka9.jpeg</v>
      </c>
      <c r="AT548" s="1" t="s">
        <v>2884</v>
      </c>
      <c r="AU548" s="3" t="str">
        <f>HYPERLINK("https://icf.clappia.com/app/GMB253374/submission/WNV63369790/ICF247370-GMB253374-4n5gjll2027g00000000/SIG-20250701_151724ml5.jpeg", "SIG-20250701_151724ml5.jpeg")</f>
        <v>SIG-20250701_151724ml5.jpeg</v>
      </c>
      <c r="AV548" s="3" t="str">
        <f>HYPERLINK("https://www.google.com/maps/place/8.1166818%2C-11.8576313", "8.1166818,-11.8576313")</f>
        <v>8.1166818,-11.8576313</v>
      </c>
    </row>
    <row r="549" ht="15.75" customHeight="1">
      <c r="A549" s="1" t="s">
        <v>2885</v>
      </c>
      <c r="B549" s="1" t="s">
        <v>94</v>
      </c>
      <c r="C549" s="1" t="s">
        <v>2886</v>
      </c>
      <c r="D549" s="1" t="s">
        <v>2887</v>
      </c>
      <c r="E549" s="1" t="s">
        <v>2888</v>
      </c>
      <c r="F549" s="1" t="s">
        <v>64</v>
      </c>
      <c r="G549" s="1">
        <v>142.0</v>
      </c>
      <c r="H549" s="1" t="s">
        <v>50</v>
      </c>
      <c r="I549" s="1">
        <v>65.0</v>
      </c>
      <c r="J549" s="1">
        <v>27.0</v>
      </c>
      <c r="K549" s="1">
        <v>27.0</v>
      </c>
      <c r="L549" s="1">
        <v>38.0</v>
      </c>
      <c r="M549" s="1">
        <v>38.0</v>
      </c>
      <c r="N549" s="1" t="s">
        <v>51</v>
      </c>
      <c r="O549" s="1">
        <v>11.0</v>
      </c>
      <c r="P549" s="1">
        <v>7.0</v>
      </c>
      <c r="Q549" s="1">
        <v>7.0</v>
      </c>
      <c r="R549" s="1">
        <v>4.0</v>
      </c>
      <c r="S549" s="1">
        <v>4.0</v>
      </c>
      <c r="T549" s="1" t="s">
        <v>52</v>
      </c>
      <c r="U549" s="1">
        <v>27.0</v>
      </c>
      <c r="V549" s="1">
        <v>14.0</v>
      </c>
      <c r="W549" s="1">
        <v>14.0</v>
      </c>
      <c r="X549" s="1">
        <v>13.0</v>
      </c>
      <c r="Y549" s="1">
        <v>13.0</v>
      </c>
      <c r="Z549" s="1" t="s">
        <v>53</v>
      </c>
      <c r="AA549" s="1">
        <v>19.0</v>
      </c>
      <c r="AB549" s="1">
        <v>10.0</v>
      </c>
      <c r="AC549" s="1">
        <v>10.0</v>
      </c>
      <c r="AD549" s="1">
        <v>9.0</v>
      </c>
      <c r="AE549" s="1">
        <v>9.0</v>
      </c>
      <c r="AF549" s="1" t="s">
        <v>54</v>
      </c>
      <c r="AG549" s="1">
        <v>20.0</v>
      </c>
      <c r="AH549" s="1">
        <v>12.0</v>
      </c>
      <c r="AI549" s="1">
        <v>12.0</v>
      </c>
      <c r="AJ549" s="1">
        <v>8.0</v>
      </c>
      <c r="AK549" s="1">
        <v>8.0</v>
      </c>
      <c r="AL549" s="1">
        <v>142.0</v>
      </c>
      <c r="AM549" s="1" t="s">
        <v>55</v>
      </c>
      <c r="AN549" s="1" t="s">
        <v>55</v>
      </c>
      <c r="AO549" s="1" t="s">
        <v>55</v>
      </c>
      <c r="AP549" s="1" t="s">
        <v>2889</v>
      </c>
      <c r="AQ549" s="3" t="str">
        <f>HYPERLINK("https://icf.clappia.com/app/GMB253374/submission/TWD79133876/ICF247370-GMB253374-5j4lacb0h16e00000000/SIG-20250701_1314nicf2.jpeg", "SIG-20250701_1314nicf2.jpeg")</f>
        <v>SIG-20250701_1314nicf2.jpeg</v>
      </c>
      <c r="AR549" s="1" t="s">
        <v>2890</v>
      </c>
      <c r="AS549" s="3" t="str">
        <f>HYPERLINK("https://icf.clappia.com/app/GMB253374/submission/TWD79133876/ICF247370-GMB253374-31pg6483epji00000000/SIG-20250701_14571a2dk8.jpeg", "SIG-20250701_14571a2dk8.jpeg")</f>
        <v>SIG-20250701_14571a2dk8.jpeg</v>
      </c>
      <c r="AT549" s="1" t="s">
        <v>2891</v>
      </c>
      <c r="AU549" s="3" t="str">
        <f>HYPERLINK("https://icf.clappia.com/app/GMB253374/submission/TWD79133876/ICF247370-GMB253374-4oa0cobficc000000000/SIG-20250701_1457cknnf.jpeg", "SIG-20250701_1457cknnf.jpeg")</f>
        <v>SIG-20250701_1457cknnf.jpeg</v>
      </c>
      <c r="AV549" s="3" t="str">
        <f t="shared" ref="AV549:AV550" si="3">HYPERLINK("https://www.google.com/maps/place/8.8094711%2C-10.9048807", "8.8094711,-10.9048807")</f>
        <v>8.8094711,-10.9048807</v>
      </c>
    </row>
    <row r="550" ht="15.75" customHeight="1">
      <c r="A550" s="1" t="s">
        <v>2892</v>
      </c>
      <c r="B550" s="1" t="s">
        <v>94</v>
      </c>
      <c r="C550" s="1" t="s">
        <v>1597</v>
      </c>
      <c r="D550" s="1" t="s">
        <v>2887</v>
      </c>
      <c r="E550" s="1" t="s">
        <v>2893</v>
      </c>
      <c r="F550" s="1" t="s">
        <v>64</v>
      </c>
      <c r="G550" s="1">
        <v>207.0</v>
      </c>
      <c r="H550" s="1" t="s">
        <v>50</v>
      </c>
      <c r="I550" s="1">
        <v>75.0</v>
      </c>
      <c r="J550" s="1">
        <v>40.0</v>
      </c>
      <c r="K550" s="1">
        <v>39.0</v>
      </c>
      <c r="L550" s="1">
        <v>35.0</v>
      </c>
      <c r="M550" s="1">
        <v>35.0</v>
      </c>
      <c r="N550" s="1" t="s">
        <v>51</v>
      </c>
      <c r="O550" s="1">
        <v>44.0</v>
      </c>
      <c r="P550" s="1">
        <v>19.0</v>
      </c>
      <c r="Q550" s="1">
        <v>19.0</v>
      </c>
      <c r="R550" s="1">
        <v>25.0</v>
      </c>
      <c r="S550" s="1">
        <v>25.0</v>
      </c>
      <c r="T550" s="1" t="s">
        <v>52</v>
      </c>
      <c r="U550" s="1">
        <v>39.0</v>
      </c>
      <c r="V550" s="1">
        <v>17.0</v>
      </c>
      <c r="W550" s="1">
        <v>17.0</v>
      </c>
      <c r="X550" s="1">
        <v>22.0</v>
      </c>
      <c r="Y550" s="1">
        <v>22.0</v>
      </c>
      <c r="Z550" s="1" t="s">
        <v>53</v>
      </c>
      <c r="AA550" s="1">
        <v>26.0</v>
      </c>
      <c r="AB550" s="1">
        <v>12.0</v>
      </c>
      <c r="AC550" s="1">
        <v>12.0</v>
      </c>
      <c r="AD550" s="1">
        <v>14.0</v>
      </c>
      <c r="AE550" s="1">
        <v>14.0</v>
      </c>
      <c r="AF550" s="1" t="s">
        <v>54</v>
      </c>
      <c r="AG550" s="1">
        <v>24.0</v>
      </c>
      <c r="AH550" s="1">
        <v>14.0</v>
      </c>
      <c r="AI550" s="1">
        <v>14.0</v>
      </c>
      <c r="AJ550" s="1">
        <v>10.0</v>
      </c>
      <c r="AK550" s="1">
        <v>10.0</v>
      </c>
      <c r="AL550" s="1">
        <v>207.0</v>
      </c>
      <c r="AM550" s="1" t="s">
        <v>55</v>
      </c>
      <c r="AN550" s="1" t="s">
        <v>55</v>
      </c>
      <c r="AO550" s="1" t="s">
        <v>55</v>
      </c>
      <c r="AP550" s="1" t="s">
        <v>2889</v>
      </c>
      <c r="AQ550" s="3" t="str">
        <f>HYPERLINK("https://icf.clappia.com/app/GMB253374/submission/PAW42121511/ICF247370-GMB253374-5lafmnf5hdim00000000/SIG-20250630_154012hl9j.jpeg", "SIG-20250630_154012hl9j.jpeg")</f>
        <v>SIG-20250630_154012hl9j.jpeg</v>
      </c>
      <c r="AR550" s="1" t="s">
        <v>55</v>
      </c>
      <c r="AS550" s="3" t="str">
        <f>HYPERLINK("https://icf.clappia.com/app/GMB253374/submission/PAW42121511/ICF247370-GMB253374-4bofg8g809ek00000000/SIG-20250630_15401626p8.jpeg", "SIG-20250630_15401626p8.jpeg")</f>
        <v>SIG-20250630_15401626p8.jpeg</v>
      </c>
      <c r="AT550" s="1" t="s">
        <v>55</v>
      </c>
      <c r="AU550" s="3" t="str">
        <f>HYPERLINK("https://icf.clappia.com/app/GMB253374/submission/PAW42121511/ICF247370-GMB253374-68hppf3knm4g00000000/SIG-20250630_1540c8c06.jpeg", "SIG-20250630_1540c8c06.jpeg")</f>
        <v>SIG-20250630_1540c8c06.jpeg</v>
      </c>
      <c r="AV550" s="3" t="str">
        <f t="shared" si="3"/>
        <v>8.8094711,-10.9048807</v>
      </c>
    </row>
    <row r="551" ht="15.75" customHeight="1">
      <c r="A551" s="1" t="s">
        <v>2894</v>
      </c>
      <c r="B551" s="1" t="s">
        <v>528</v>
      </c>
      <c r="C551" s="1" t="s">
        <v>2895</v>
      </c>
      <c r="D551" s="1" t="s">
        <v>2895</v>
      </c>
      <c r="E551" s="1" t="s">
        <v>2896</v>
      </c>
      <c r="F551" s="1" t="s">
        <v>49</v>
      </c>
      <c r="G551" s="1">
        <v>112.0</v>
      </c>
      <c r="H551" s="1" t="s">
        <v>50</v>
      </c>
      <c r="I551" s="1">
        <v>60.0</v>
      </c>
      <c r="J551" s="1">
        <v>28.0</v>
      </c>
      <c r="K551" s="1">
        <v>28.0</v>
      </c>
      <c r="L551" s="1">
        <v>32.0</v>
      </c>
      <c r="M551" s="1">
        <v>32.0</v>
      </c>
      <c r="N551" s="1" t="s">
        <v>51</v>
      </c>
      <c r="O551" s="1">
        <v>20.0</v>
      </c>
      <c r="P551" s="1">
        <v>10.0</v>
      </c>
      <c r="Q551" s="1">
        <v>10.0</v>
      </c>
      <c r="R551" s="1">
        <v>10.0</v>
      </c>
      <c r="S551" s="1">
        <v>10.0</v>
      </c>
      <c r="T551" s="1" t="s">
        <v>52</v>
      </c>
      <c r="U551" s="1">
        <v>12.0</v>
      </c>
      <c r="V551" s="1">
        <v>8.0</v>
      </c>
      <c r="W551" s="1">
        <v>8.0</v>
      </c>
      <c r="X551" s="1">
        <v>4.0</v>
      </c>
      <c r="Y551" s="1">
        <v>4.0</v>
      </c>
      <c r="Z551" s="1" t="s">
        <v>53</v>
      </c>
      <c r="AA551" s="1">
        <v>13.0</v>
      </c>
      <c r="AB551" s="1">
        <v>8.0</v>
      </c>
      <c r="AC551" s="1">
        <v>8.0</v>
      </c>
      <c r="AD551" s="1">
        <v>5.0</v>
      </c>
      <c r="AE551" s="1">
        <v>5.0</v>
      </c>
      <c r="AF551" s="1" t="s">
        <v>54</v>
      </c>
      <c r="AG551" s="1">
        <v>7.0</v>
      </c>
      <c r="AH551" s="1">
        <v>5.0</v>
      </c>
      <c r="AI551" s="1">
        <v>5.0</v>
      </c>
      <c r="AJ551" s="1">
        <v>2.0</v>
      </c>
      <c r="AK551" s="1">
        <v>2.0</v>
      </c>
      <c r="AL551" s="1">
        <v>112.0</v>
      </c>
      <c r="AM551" s="1" t="s">
        <v>55</v>
      </c>
      <c r="AN551" s="1" t="s">
        <v>55</v>
      </c>
      <c r="AO551" s="1" t="s">
        <v>55</v>
      </c>
      <c r="AP551" s="1" t="s">
        <v>2897</v>
      </c>
      <c r="AQ551" s="3" t="str">
        <f>HYPERLINK("https://icf.clappia.com/app/GMB253374/submission/LUT94013675/ICF247370-GMB253374-3al4ih25naa800000000/SIG-20250701_1517b3gcn.jpeg", "SIG-20250701_1517b3gcn.jpeg")</f>
        <v>SIG-20250701_1517b3gcn.jpeg</v>
      </c>
      <c r="AR551" s="1" t="s">
        <v>2898</v>
      </c>
      <c r="AS551" s="3" t="str">
        <f>HYPERLINK("https://icf.clappia.com/app/GMB253374/submission/LUT94013675/ICF247370-GMB253374-7d83bak4k0c40000000/SIG-20250701_1517e78pk.jpeg", "SIG-20250701_1517e78pk.jpeg")</f>
        <v>SIG-20250701_1517e78pk.jpeg</v>
      </c>
      <c r="AT551" s="1" t="s">
        <v>2899</v>
      </c>
      <c r="AU551" s="3" t="str">
        <f>HYPERLINK("https://icf.clappia.com/app/GMB253374/submission/LUT94013675/ICF247370-GMB253374-aoj6jg39dm5e0000000/SIG-20250701_1518cmj43.jpeg", "SIG-20250701_1518cmj43.jpeg")</f>
        <v>SIG-20250701_1518cmj43.jpeg</v>
      </c>
      <c r="AV551" s="3" t="str">
        <f>HYPERLINK("https://www.google.com/maps/place/7.7399766%2C-11.6997283", "7.7399766,-11.6997283")</f>
        <v>7.7399766,-11.6997283</v>
      </c>
    </row>
    <row r="552" ht="15.75" customHeight="1">
      <c r="A552" s="1" t="s">
        <v>2900</v>
      </c>
      <c r="B552" s="1" t="s">
        <v>189</v>
      </c>
      <c r="C552" s="1" t="s">
        <v>2901</v>
      </c>
      <c r="D552" s="1" t="s">
        <v>2895</v>
      </c>
      <c r="E552" s="1" t="s">
        <v>2902</v>
      </c>
      <c r="F552" s="1" t="s">
        <v>64</v>
      </c>
      <c r="G552" s="1">
        <v>342.0</v>
      </c>
      <c r="H552" s="1" t="s">
        <v>50</v>
      </c>
      <c r="I552" s="1" t="s">
        <v>55</v>
      </c>
      <c r="J552" s="1" t="s">
        <v>55</v>
      </c>
      <c r="K552" s="1" t="s">
        <v>55</v>
      </c>
      <c r="L552" s="1" t="s">
        <v>55</v>
      </c>
      <c r="M552" s="1" t="s">
        <v>55</v>
      </c>
      <c r="N552" s="1" t="s">
        <v>51</v>
      </c>
      <c r="O552" s="1" t="s">
        <v>55</v>
      </c>
      <c r="P552" s="1" t="s">
        <v>55</v>
      </c>
      <c r="Q552" s="1" t="s">
        <v>55</v>
      </c>
      <c r="R552" s="1" t="s">
        <v>55</v>
      </c>
      <c r="S552" s="1" t="s">
        <v>55</v>
      </c>
      <c r="T552" s="1" t="s">
        <v>52</v>
      </c>
      <c r="U552" s="1" t="s">
        <v>55</v>
      </c>
      <c r="V552" s="1" t="s">
        <v>55</v>
      </c>
      <c r="W552" s="1" t="s">
        <v>55</v>
      </c>
      <c r="X552" s="1" t="s">
        <v>55</v>
      </c>
      <c r="Y552" s="1" t="s">
        <v>55</v>
      </c>
      <c r="Z552" s="1" t="s">
        <v>53</v>
      </c>
      <c r="AA552" s="1">
        <v>200.0</v>
      </c>
      <c r="AB552" s="1">
        <v>200.0</v>
      </c>
      <c r="AC552" s="1">
        <v>180.0</v>
      </c>
      <c r="AD552" s="1" t="s">
        <v>55</v>
      </c>
      <c r="AE552" s="1" t="s">
        <v>55</v>
      </c>
      <c r="AF552" s="1" t="s">
        <v>54</v>
      </c>
      <c r="AG552" s="1">
        <v>182.0</v>
      </c>
      <c r="AH552" s="1">
        <v>182.0</v>
      </c>
      <c r="AI552" s="1">
        <v>158.0</v>
      </c>
      <c r="AJ552" s="1" t="s">
        <v>55</v>
      </c>
      <c r="AK552" s="1" t="s">
        <v>55</v>
      </c>
      <c r="AL552" s="1">
        <v>338.0</v>
      </c>
      <c r="AM552" s="1" t="s">
        <v>55</v>
      </c>
      <c r="AN552" s="1">
        <v>4.0</v>
      </c>
      <c r="AO552" s="1">
        <v>4.0</v>
      </c>
      <c r="AP552" s="1" t="s">
        <v>2080</v>
      </c>
      <c r="AQ552" s="3" t="str">
        <f>HYPERLINK("https://icf.clappia.com/app/GMB253374/submission/ISI64219772/ICF247370-GMB253374-3me3ee2j9mgo00000000/SIG-20250701_15161o6co.jpeg", "SIG-20250701_15161o6co.jpeg")</f>
        <v>SIG-20250701_15161o6co.jpeg</v>
      </c>
      <c r="AR552" s="1" t="s">
        <v>2081</v>
      </c>
      <c r="AS552" s="3" t="str">
        <f>HYPERLINK("https://icf.clappia.com/app/GMB253374/submission/ISI64219772/ICF247370-GMB253374-4ck85en443io00000000/SIG-20250701_15165dh65.jpeg", "SIG-20250701_15165dh65.jpeg")</f>
        <v>SIG-20250701_15165dh65.jpeg</v>
      </c>
      <c r="AT552" s="1" t="s">
        <v>2903</v>
      </c>
      <c r="AU552" s="3" t="str">
        <f>HYPERLINK("https://icf.clappia.com/app/GMB253374/submission/ISI64219772/ICF247370-GMB253374-1ge97aiglfh360000000/SIG-20250701_1516fphfj.jpeg", "SIG-20250701_1516fphfj.jpeg")</f>
        <v>SIG-20250701_1516fphfj.jpeg</v>
      </c>
      <c r="AV552" s="3" t="str">
        <f>HYPERLINK("https://www.google.com/maps/place/8.8913062%2C-12.062693", "8.8913062,-12.062693")</f>
        <v>8.8913062,-12.062693</v>
      </c>
    </row>
    <row r="553" ht="15.75" customHeight="1">
      <c r="A553" s="1" t="s">
        <v>2904</v>
      </c>
      <c r="B553" s="1" t="s">
        <v>356</v>
      </c>
      <c r="C553" s="1" t="s">
        <v>2895</v>
      </c>
      <c r="D553" s="1" t="s">
        <v>2895</v>
      </c>
      <c r="E553" s="1" t="s">
        <v>2905</v>
      </c>
      <c r="F553" s="1" t="s">
        <v>64</v>
      </c>
      <c r="G553" s="1">
        <v>200.0</v>
      </c>
      <c r="H553" s="1" t="s">
        <v>50</v>
      </c>
      <c r="I553" s="1">
        <v>42.0</v>
      </c>
      <c r="J553" s="1">
        <v>23.0</v>
      </c>
      <c r="K553" s="1">
        <v>23.0</v>
      </c>
      <c r="L553" s="1">
        <v>19.0</v>
      </c>
      <c r="M553" s="1">
        <v>19.0</v>
      </c>
      <c r="N553" s="1" t="s">
        <v>51</v>
      </c>
      <c r="O553" s="1">
        <v>41.0</v>
      </c>
      <c r="P553" s="1">
        <v>19.0</v>
      </c>
      <c r="Q553" s="1">
        <v>19.0</v>
      </c>
      <c r="R553" s="1">
        <v>22.0</v>
      </c>
      <c r="S553" s="1">
        <v>22.0</v>
      </c>
      <c r="T553" s="1" t="s">
        <v>52</v>
      </c>
      <c r="U553" s="1">
        <v>43.0</v>
      </c>
      <c r="V553" s="1">
        <v>21.0</v>
      </c>
      <c r="W553" s="1">
        <v>21.0</v>
      </c>
      <c r="X553" s="1">
        <v>22.0</v>
      </c>
      <c r="Y553" s="1">
        <v>22.0</v>
      </c>
      <c r="Z553" s="1" t="s">
        <v>53</v>
      </c>
      <c r="AA553" s="1">
        <v>41.0</v>
      </c>
      <c r="AB553" s="1">
        <v>20.0</v>
      </c>
      <c r="AC553" s="1">
        <v>20.0</v>
      </c>
      <c r="AD553" s="1">
        <v>21.0</v>
      </c>
      <c r="AE553" s="1">
        <v>21.0</v>
      </c>
      <c r="AF553" s="1" t="s">
        <v>54</v>
      </c>
      <c r="AG553" s="1">
        <v>24.0</v>
      </c>
      <c r="AH553" s="1">
        <v>12.0</v>
      </c>
      <c r="AI553" s="1">
        <v>8.0</v>
      </c>
      <c r="AJ553" s="1">
        <v>12.0</v>
      </c>
      <c r="AK553" s="1">
        <v>12.0</v>
      </c>
      <c r="AL553" s="1">
        <v>187.0</v>
      </c>
      <c r="AM553" s="1">
        <v>4.0</v>
      </c>
      <c r="AN553" s="1">
        <v>9.0</v>
      </c>
      <c r="AO553" s="1">
        <v>9.0</v>
      </c>
      <c r="AP553" s="1" t="s">
        <v>1710</v>
      </c>
      <c r="AQ553" s="3" t="str">
        <f>HYPERLINK("https://icf.clappia.com/app/GMB253374/submission/DLA71494277/ICF247370-GMB253374-41lfd4d74cl20000000/SIG-20250701_1510al9pn.jpeg", "SIG-20250701_1510al9pn.jpeg")</f>
        <v>SIG-20250701_1510al9pn.jpeg</v>
      </c>
      <c r="AR553" s="1" t="s">
        <v>2906</v>
      </c>
      <c r="AS553" s="3" t="str">
        <f>HYPERLINK("https://icf.clappia.com/app/GMB253374/submission/DLA71494277/ICF247370-GMB253374-da6ofi530jeo0000000/SIG-20250701_151145fko.jpeg", "SIG-20250701_151145fko.jpeg")</f>
        <v>SIG-20250701_151145fko.jpeg</v>
      </c>
      <c r="AT553" s="1" t="s">
        <v>2907</v>
      </c>
      <c r="AU553" s="3" t="str">
        <f>HYPERLINK("https://icf.clappia.com/app/GMB253374/submission/DLA71494277/ICF247370-GMB253374-32i7d5436o4c00000000/SIG-20250701_1511j8doo.jpeg", "SIG-20250701_1511j8doo.jpeg")</f>
        <v>SIG-20250701_1511j8doo.jpeg</v>
      </c>
      <c r="AV553" s="3" t="str">
        <f>HYPERLINK("https://www.google.com/maps/place/8.2041217%2C-11.6868133", "8.2041217,-11.6868133")</f>
        <v>8.2041217,-11.6868133</v>
      </c>
    </row>
    <row r="554" ht="15.75" customHeight="1">
      <c r="A554" s="1" t="s">
        <v>2908</v>
      </c>
      <c r="B554" s="1" t="s">
        <v>81</v>
      </c>
      <c r="C554" s="1" t="s">
        <v>2002</v>
      </c>
      <c r="D554" s="1" t="s">
        <v>2002</v>
      </c>
      <c r="E554" s="1" t="s">
        <v>2909</v>
      </c>
      <c r="F554" s="1" t="s">
        <v>64</v>
      </c>
      <c r="G554" s="1">
        <v>442.0</v>
      </c>
      <c r="H554" s="1" t="s">
        <v>50</v>
      </c>
      <c r="I554" s="1">
        <v>55.0</v>
      </c>
      <c r="J554" s="1">
        <v>23.0</v>
      </c>
      <c r="K554" s="1">
        <v>23.0</v>
      </c>
      <c r="L554" s="1">
        <v>32.0</v>
      </c>
      <c r="M554" s="1">
        <v>27.0</v>
      </c>
      <c r="N554" s="1" t="s">
        <v>51</v>
      </c>
      <c r="O554" s="1">
        <v>80.0</v>
      </c>
      <c r="P554" s="1">
        <v>38.0</v>
      </c>
      <c r="Q554" s="1">
        <v>34.0</v>
      </c>
      <c r="R554" s="1">
        <v>42.0</v>
      </c>
      <c r="S554" s="1">
        <v>38.0</v>
      </c>
      <c r="T554" s="1" t="s">
        <v>52</v>
      </c>
      <c r="U554" s="1">
        <v>59.0</v>
      </c>
      <c r="V554" s="1">
        <v>30.0</v>
      </c>
      <c r="W554" s="1">
        <v>25.0</v>
      </c>
      <c r="X554" s="1">
        <v>29.0</v>
      </c>
      <c r="Y554" s="1">
        <v>25.0</v>
      </c>
      <c r="Z554" s="1" t="s">
        <v>53</v>
      </c>
      <c r="AA554" s="1">
        <v>170.0</v>
      </c>
      <c r="AB554" s="1">
        <v>75.0</v>
      </c>
      <c r="AC554" s="1">
        <v>63.0</v>
      </c>
      <c r="AD554" s="1">
        <v>95.0</v>
      </c>
      <c r="AE554" s="1">
        <v>70.0</v>
      </c>
      <c r="AF554" s="1" t="s">
        <v>54</v>
      </c>
      <c r="AG554" s="1">
        <v>65.0</v>
      </c>
      <c r="AH554" s="1">
        <v>35.0</v>
      </c>
      <c r="AI554" s="1">
        <v>20.0</v>
      </c>
      <c r="AJ554" s="1">
        <v>30.0</v>
      </c>
      <c r="AK554" s="1">
        <v>25.0</v>
      </c>
      <c r="AL554" s="1">
        <v>350.0</v>
      </c>
      <c r="AM554" s="1" t="s">
        <v>55</v>
      </c>
      <c r="AN554" s="1">
        <v>92.0</v>
      </c>
      <c r="AO554" s="1">
        <v>92.0</v>
      </c>
      <c r="AP554" s="1" t="s">
        <v>2910</v>
      </c>
      <c r="AQ554" s="3" t="str">
        <f>HYPERLINK("https://icf.clappia.com/app/GMB253374/submission/FHT49082043/ICF247370-GMB253374-481ecklpegj600000000/SIG-20250701_1509m08c3.jpeg", "SIG-20250701_1509m08c3.jpeg")</f>
        <v>SIG-20250701_1509m08c3.jpeg</v>
      </c>
      <c r="AR554" s="1" t="s">
        <v>2911</v>
      </c>
      <c r="AS554" s="3" t="str">
        <f>HYPERLINK("https://icf.clappia.com/app/GMB253374/submission/FHT49082043/ICF247370-GMB253374-2n4594eadg3i00000000/SIG-20250701_14573l4jn.jpeg", "SIG-20250701_14573l4jn.jpeg")</f>
        <v>SIG-20250701_14573l4jn.jpeg</v>
      </c>
      <c r="AT554" s="1" t="s">
        <v>2912</v>
      </c>
      <c r="AU554" s="3" t="str">
        <f>HYPERLINK("https://icf.clappia.com/app/GMB253374/submission/FHT49082043/ICF247370-GMB253374-40ilgllm98em00000000/SIG-20250701_14591l1mc.jpeg", "SIG-20250701_14591l1mc.jpeg")</f>
        <v>SIG-20250701_14591l1mc.jpeg</v>
      </c>
      <c r="AV554" s="3" t="str">
        <f>HYPERLINK("https://www.google.com/maps/place/7.9646764%2C-11.7304947", "7.9646764,-11.7304947")</f>
        <v>7.9646764,-11.7304947</v>
      </c>
    </row>
    <row r="555" ht="15.75" customHeight="1">
      <c r="A555" s="1" t="s">
        <v>2913</v>
      </c>
      <c r="B555" s="1" t="s">
        <v>60</v>
      </c>
      <c r="C555" s="1" t="s">
        <v>2914</v>
      </c>
      <c r="D555" s="1" t="s">
        <v>2914</v>
      </c>
      <c r="E555" s="1" t="s">
        <v>2915</v>
      </c>
      <c r="F555" s="1" t="s">
        <v>64</v>
      </c>
      <c r="G555" s="1">
        <v>638.0</v>
      </c>
      <c r="H555" s="1" t="s">
        <v>50</v>
      </c>
      <c r="I555" s="1">
        <v>163.0</v>
      </c>
      <c r="J555" s="1">
        <v>82.0</v>
      </c>
      <c r="K555" s="1">
        <v>82.0</v>
      </c>
      <c r="L555" s="1">
        <v>81.0</v>
      </c>
      <c r="M555" s="1">
        <v>81.0</v>
      </c>
      <c r="N555" s="1" t="s">
        <v>51</v>
      </c>
      <c r="O555" s="1">
        <v>130.0</v>
      </c>
      <c r="P555" s="1">
        <v>58.0</v>
      </c>
      <c r="Q555" s="1">
        <v>58.0</v>
      </c>
      <c r="R555" s="1">
        <v>58.0</v>
      </c>
      <c r="S555" s="1">
        <v>58.0</v>
      </c>
      <c r="T555" s="1" t="s">
        <v>52</v>
      </c>
      <c r="U555" s="1">
        <v>105.0</v>
      </c>
      <c r="V555" s="1">
        <v>55.0</v>
      </c>
      <c r="W555" s="1">
        <v>55.0</v>
      </c>
      <c r="X555" s="1">
        <v>40.0</v>
      </c>
      <c r="Y555" s="1">
        <v>40.0</v>
      </c>
      <c r="Z555" s="1" t="s">
        <v>53</v>
      </c>
      <c r="AA555" s="1">
        <v>140.0</v>
      </c>
      <c r="AB555" s="1">
        <v>58.0</v>
      </c>
      <c r="AC555" s="1">
        <v>58.0</v>
      </c>
      <c r="AD555" s="1">
        <v>77.0</v>
      </c>
      <c r="AE555" s="1">
        <v>77.0</v>
      </c>
      <c r="AF555" s="1" t="s">
        <v>54</v>
      </c>
      <c r="AG555" s="1">
        <v>134.0</v>
      </c>
      <c r="AH555" s="1">
        <v>64.0</v>
      </c>
      <c r="AI555" s="1">
        <v>64.0</v>
      </c>
      <c r="AJ555" s="1">
        <v>65.0</v>
      </c>
      <c r="AK555" s="1">
        <v>65.0</v>
      </c>
      <c r="AL555" s="1">
        <v>638.0</v>
      </c>
      <c r="AM555" s="1" t="s">
        <v>55</v>
      </c>
      <c r="AN555" s="1" t="s">
        <v>55</v>
      </c>
      <c r="AO555" s="1" t="s">
        <v>55</v>
      </c>
      <c r="AP555" s="1" t="s">
        <v>2215</v>
      </c>
      <c r="AQ555" s="3" t="str">
        <f>HYPERLINK("https://icf.clappia.com/app/GMB253374/submission/GTP05388304/ICF247370-GMB253374-68k12bg99dok00000000/SIG-20250701_15093ae9e.jpeg", "SIG-20250701_15093ae9e.jpeg")</f>
        <v>SIG-20250701_15093ae9e.jpeg</v>
      </c>
      <c r="AR555" s="1" t="s">
        <v>2216</v>
      </c>
      <c r="AS555" s="3" t="str">
        <f>HYPERLINK("https://icf.clappia.com/app/GMB253374/submission/GTP05388304/ICF247370-GMB253374-3dib06mb32ei00000000/SIG-20250701_151010kj55.jpeg", "SIG-20250701_151010kj55.jpeg")</f>
        <v>SIG-20250701_151010kj55.jpeg</v>
      </c>
      <c r="AT555" s="1" t="s">
        <v>2916</v>
      </c>
      <c r="AU555" s="3" t="str">
        <f>HYPERLINK("https://icf.clappia.com/app/GMB253374/submission/GTP05388304/ICF247370-GMB253374-52g173978agi00000000/SIG-20250701_1511mjokc.jpeg", "SIG-20250701_1511mjokc.jpeg")</f>
        <v>SIG-20250701_1511mjokc.jpeg</v>
      </c>
      <c r="AV555" s="3" t="str">
        <f>HYPERLINK("https://www.google.com/maps/place/8.8908455%2C-12.0625316", "8.8908455,-12.0625316")</f>
        <v>8.8908455,-12.0625316</v>
      </c>
    </row>
    <row r="556" ht="15.75" customHeight="1">
      <c r="A556" s="1" t="s">
        <v>2917</v>
      </c>
      <c r="B556" s="1" t="s">
        <v>81</v>
      </c>
      <c r="C556" s="1" t="s">
        <v>2918</v>
      </c>
      <c r="D556" s="1" t="s">
        <v>2918</v>
      </c>
      <c r="E556" s="1" t="s">
        <v>2919</v>
      </c>
      <c r="F556" s="1" t="s">
        <v>64</v>
      </c>
      <c r="G556" s="1">
        <v>100.0</v>
      </c>
      <c r="H556" s="1" t="s">
        <v>50</v>
      </c>
      <c r="I556" s="1">
        <v>30.0</v>
      </c>
      <c r="J556" s="1">
        <v>14.0</v>
      </c>
      <c r="K556" s="1">
        <v>12.0</v>
      </c>
      <c r="L556" s="1">
        <v>11.0</v>
      </c>
      <c r="M556" s="1">
        <v>11.0</v>
      </c>
      <c r="N556" s="1" t="s">
        <v>51</v>
      </c>
      <c r="O556" s="1">
        <v>22.0</v>
      </c>
      <c r="P556" s="1">
        <v>13.0</v>
      </c>
      <c r="Q556" s="1">
        <v>11.0</v>
      </c>
      <c r="R556" s="1">
        <v>9.0</v>
      </c>
      <c r="S556" s="1">
        <v>6.0</v>
      </c>
      <c r="T556" s="1" t="s">
        <v>52</v>
      </c>
      <c r="U556" s="1">
        <v>19.0</v>
      </c>
      <c r="V556" s="1">
        <v>10.0</v>
      </c>
      <c r="W556" s="1">
        <v>7.0</v>
      </c>
      <c r="X556" s="1">
        <v>9.0</v>
      </c>
      <c r="Y556" s="1">
        <v>9.0</v>
      </c>
      <c r="Z556" s="1" t="s">
        <v>53</v>
      </c>
      <c r="AA556" s="1">
        <v>14.0</v>
      </c>
      <c r="AB556" s="1">
        <v>7.0</v>
      </c>
      <c r="AC556" s="1">
        <v>7.0</v>
      </c>
      <c r="AD556" s="1">
        <v>7.0</v>
      </c>
      <c r="AE556" s="1">
        <v>5.0</v>
      </c>
      <c r="AF556" s="1" t="s">
        <v>54</v>
      </c>
      <c r="AG556" s="1">
        <v>19.0</v>
      </c>
      <c r="AH556" s="1">
        <v>6.0</v>
      </c>
      <c r="AI556" s="1">
        <v>4.0</v>
      </c>
      <c r="AJ556" s="1">
        <v>13.0</v>
      </c>
      <c r="AK556" s="1">
        <v>6.0</v>
      </c>
      <c r="AL556" s="1">
        <v>78.0</v>
      </c>
      <c r="AM556" s="1" t="s">
        <v>55</v>
      </c>
      <c r="AN556" s="1">
        <v>22.0</v>
      </c>
      <c r="AO556" s="1">
        <v>22.0</v>
      </c>
      <c r="AP556" s="1" t="s">
        <v>589</v>
      </c>
      <c r="AQ556" s="3" t="str">
        <f>HYPERLINK("https://icf.clappia.com/app/GMB253374/submission/EXH44027270/ICF247370-GMB253374-1jb0jn10158mc0000000/SIG-20250701_1115m61he.jpeg", "SIG-20250701_1115m61he.jpeg")</f>
        <v>SIG-20250701_1115m61he.jpeg</v>
      </c>
      <c r="AR556" s="1" t="s">
        <v>590</v>
      </c>
      <c r="AS556" s="3" t="str">
        <f>HYPERLINK("https://icf.clappia.com/app/GMB253374/submission/EXH44027270/ICF247370-GMB253374-37k1383i63bi00000000/SIG-20250701_1116i1a08.jpeg", "SIG-20250701_1116i1a08.jpeg")</f>
        <v>SIG-20250701_1116i1a08.jpeg</v>
      </c>
      <c r="AT556" s="1" t="s">
        <v>2384</v>
      </c>
      <c r="AU556" s="3" t="str">
        <f>HYPERLINK("https://icf.clappia.com/app/GMB253374/submission/EXH44027270/ICF247370-GMB253374-4ifk286h33aa00000000/SIG-20250701_11173nkmp.jpeg", "SIG-20250701_11173nkmp.jpeg")</f>
        <v>SIG-20250701_11173nkmp.jpeg</v>
      </c>
      <c r="AV556" s="3" t="str">
        <f>HYPERLINK("https://www.google.com/maps/place/7.9437524%2C-11.7320446", "7.9437524,-11.7320446")</f>
        <v>7.9437524,-11.7320446</v>
      </c>
    </row>
    <row r="557" ht="15.75" customHeight="1">
      <c r="A557" s="1" t="s">
        <v>2920</v>
      </c>
      <c r="B557" s="1" t="s">
        <v>167</v>
      </c>
      <c r="C557" s="1" t="s">
        <v>2918</v>
      </c>
      <c r="D557" s="1" t="s">
        <v>2918</v>
      </c>
      <c r="E557" s="1" t="s">
        <v>2921</v>
      </c>
      <c r="F557" s="1" t="s">
        <v>49</v>
      </c>
      <c r="G557" s="1">
        <v>230.0</v>
      </c>
      <c r="H557" s="1" t="s">
        <v>50</v>
      </c>
      <c r="I557" s="1">
        <v>40.0</v>
      </c>
      <c r="J557" s="1">
        <v>18.0</v>
      </c>
      <c r="K557" s="1">
        <v>18.0</v>
      </c>
      <c r="L557" s="1">
        <v>22.0</v>
      </c>
      <c r="M557" s="1">
        <v>22.0</v>
      </c>
      <c r="N557" s="1" t="s">
        <v>51</v>
      </c>
      <c r="O557" s="1">
        <v>45.0</v>
      </c>
      <c r="P557" s="1">
        <v>20.0</v>
      </c>
      <c r="Q557" s="1">
        <v>20.0</v>
      </c>
      <c r="R557" s="1">
        <v>25.0</v>
      </c>
      <c r="S557" s="1">
        <v>25.0</v>
      </c>
      <c r="T557" s="1" t="s">
        <v>52</v>
      </c>
      <c r="U557" s="1">
        <v>50.0</v>
      </c>
      <c r="V557" s="1">
        <v>28.0</v>
      </c>
      <c r="W557" s="1">
        <v>28.0</v>
      </c>
      <c r="X557" s="1">
        <v>22.0</v>
      </c>
      <c r="Y557" s="1">
        <v>22.0</v>
      </c>
      <c r="Z557" s="1" t="s">
        <v>53</v>
      </c>
      <c r="AA557" s="1">
        <v>55.0</v>
      </c>
      <c r="AB557" s="1">
        <v>25.0</v>
      </c>
      <c r="AC557" s="1">
        <v>25.0</v>
      </c>
      <c r="AD557" s="1">
        <v>30.0</v>
      </c>
      <c r="AE557" s="1">
        <v>30.0</v>
      </c>
      <c r="AF557" s="1" t="s">
        <v>54</v>
      </c>
      <c r="AG557" s="1">
        <v>40.0</v>
      </c>
      <c r="AH557" s="1">
        <v>25.0</v>
      </c>
      <c r="AI557" s="1">
        <v>25.0</v>
      </c>
      <c r="AJ557" s="1">
        <v>15.0</v>
      </c>
      <c r="AK557" s="1">
        <v>15.0</v>
      </c>
      <c r="AL557" s="1">
        <v>230.0</v>
      </c>
      <c r="AM557" s="1" t="s">
        <v>55</v>
      </c>
      <c r="AN557" s="1" t="s">
        <v>55</v>
      </c>
      <c r="AO557" s="1" t="s">
        <v>55</v>
      </c>
      <c r="AP557" s="1" t="s">
        <v>2388</v>
      </c>
      <c r="AQ557" s="3" t="str">
        <f>HYPERLINK("https://icf.clappia.com/app/GMB253374/submission/SGD19586650/ICF247370-GMB253374-40fbfj16324600000000/SIG-20250701_15076hi7d.jpeg", "SIG-20250701_15076hi7d.jpeg")</f>
        <v>SIG-20250701_15076hi7d.jpeg</v>
      </c>
      <c r="AR557" s="1" t="s">
        <v>2389</v>
      </c>
      <c r="AS557" s="3" t="str">
        <f>HYPERLINK("https://icf.clappia.com/app/GMB253374/submission/SGD19586650/ICF247370-GMB253374-1cb29oi36jnio0000000/SIG-20250701_1508gdbjk.jpeg", "SIG-20250701_1508gdbjk.jpeg")</f>
        <v>SIG-20250701_1508gdbjk.jpeg</v>
      </c>
      <c r="AT557" s="1" t="s">
        <v>2922</v>
      </c>
      <c r="AU557" s="3" t="str">
        <f>HYPERLINK("https://icf.clappia.com/app/GMB253374/submission/SGD19586650/ICF247370-GMB253374-3463jakpgkca00000000/SIG-20250701_15065bikb.jpeg", "SIG-20250701_15065bikb.jpeg")</f>
        <v>SIG-20250701_15065bikb.jpeg</v>
      </c>
      <c r="AV557" s="3" t="str">
        <f>HYPERLINK("https://www.google.com/maps/place/7.9525381%2C-11.7711848", "7.9525381,-11.7711848")</f>
        <v>7.9525381,-11.7711848</v>
      </c>
    </row>
    <row r="558" ht="15.75" customHeight="1">
      <c r="A558" s="1" t="s">
        <v>2923</v>
      </c>
      <c r="B558" s="1" t="s">
        <v>69</v>
      </c>
      <c r="C558" s="1" t="s">
        <v>2924</v>
      </c>
      <c r="D558" s="1" t="s">
        <v>2924</v>
      </c>
      <c r="E558" s="1" t="s">
        <v>2925</v>
      </c>
      <c r="F558" s="1" t="s">
        <v>64</v>
      </c>
      <c r="G558" s="1">
        <v>150.0</v>
      </c>
      <c r="H558" s="1" t="s">
        <v>50</v>
      </c>
      <c r="I558" s="1">
        <v>50.0</v>
      </c>
      <c r="J558" s="1">
        <v>16.0</v>
      </c>
      <c r="K558" s="1">
        <v>12.0</v>
      </c>
      <c r="L558" s="1">
        <v>30.0</v>
      </c>
      <c r="M558" s="1">
        <v>20.0</v>
      </c>
      <c r="N558" s="1" t="s">
        <v>51</v>
      </c>
      <c r="O558" s="1">
        <v>34.0</v>
      </c>
      <c r="P558" s="1">
        <v>15.0</v>
      </c>
      <c r="Q558" s="1">
        <v>14.0</v>
      </c>
      <c r="R558" s="1">
        <v>19.0</v>
      </c>
      <c r="S558" s="1">
        <v>15.0</v>
      </c>
      <c r="T558" s="1" t="s">
        <v>52</v>
      </c>
      <c r="U558" s="1">
        <v>30.0</v>
      </c>
      <c r="V558" s="1">
        <v>12.0</v>
      </c>
      <c r="W558" s="1">
        <v>12.0</v>
      </c>
      <c r="X558" s="1">
        <v>18.0</v>
      </c>
      <c r="Y558" s="1">
        <v>18.0</v>
      </c>
      <c r="Z558" s="1" t="s">
        <v>53</v>
      </c>
      <c r="AA558" s="1">
        <v>30.0</v>
      </c>
      <c r="AB558" s="1">
        <v>15.0</v>
      </c>
      <c r="AC558" s="1">
        <v>15.0</v>
      </c>
      <c r="AD558" s="1">
        <v>15.0</v>
      </c>
      <c r="AE558" s="1">
        <v>15.0</v>
      </c>
      <c r="AF558" s="1" t="s">
        <v>54</v>
      </c>
      <c r="AG558" s="1">
        <v>23.0</v>
      </c>
      <c r="AH558" s="1">
        <v>10.0</v>
      </c>
      <c r="AI558" s="1">
        <v>8.0</v>
      </c>
      <c r="AJ558" s="1">
        <v>13.0</v>
      </c>
      <c r="AK558" s="1">
        <v>11.0</v>
      </c>
      <c r="AL558" s="1">
        <v>140.0</v>
      </c>
      <c r="AM558" s="1">
        <v>10.0</v>
      </c>
      <c r="AN558" s="1" t="s">
        <v>55</v>
      </c>
      <c r="AO558" s="1" t="s">
        <v>55</v>
      </c>
      <c r="AP558" s="1" t="s">
        <v>2926</v>
      </c>
      <c r="AQ558" s="3" t="str">
        <f>HYPERLINK("https://icf.clappia.com/app/GMB253374/submission/YHX78589534/ICF247370-GMB253374-5p0neg8hk9ig00000000/SIG-20250701_1506897gh.jpeg", "SIG-20250701_1506897gh.jpeg")</f>
        <v>SIG-20250701_1506897gh.jpeg</v>
      </c>
      <c r="AR558" s="1" t="s">
        <v>2927</v>
      </c>
      <c r="AS558" s="3" t="str">
        <f>HYPERLINK("https://icf.clappia.com/app/GMB253374/submission/YHX78589534/ICF247370-GMB253374-40i9m8bc871600000000/SIG-20250701_15073hkj.jpeg", "SIG-20250701_15073hkj.jpeg")</f>
        <v>SIG-20250701_15073hkj.jpeg</v>
      </c>
      <c r="AT558" s="1" t="s">
        <v>2928</v>
      </c>
      <c r="AU558" s="3" t="str">
        <f>HYPERLINK("https://icf.clappia.com/app/GMB253374/submission/YHX78589534/ICF247370-GMB253374-49ge2j05ioe200000000/SIG-20250701_1508h5208.jpeg", "SIG-20250701_1508h5208.jpeg")</f>
        <v>SIG-20250701_1508h5208.jpeg</v>
      </c>
      <c r="AV558" s="3" t="str">
        <f>HYPERLINK("https://www.google.com/maps/place/8.87738%2C-12.108335", "8.87738,-12.108335")</f>
        <v>8.87738,-12.108335</v>
      </c>
    </row>
    <row r="559" ht="15.75" customHeight="1">
      <c r="A559" s="1" t="s">
        <v>2929</v>
      </c>
      <c r="B559" s="1" t="s">
        <v>60</v>
      </c>
      <c r="C559" s="1" t="s">
        <v>2930</v>
      </c>
      <c r="D559" s="1" t="s">
        <v>2930</v>
      </c>
      <c r="E559" s="1" t="s">
        <v>2931</v>
      </c>
      <c r="F559" s="1" t="s">
        <v>64</v>
      </c>
      <c r="G559" s="1">
        <v>270.0</v>
      </c>
      <c r="H559" s="1" t="s">
        <v>50</v>
      </c>
      <c r="I559" s="1">
        <v>70.0</v>
      </c>
      <c r="J559" s="1">
        <v>30.0</v>
      </c>
      <c r="K559" s="1">
        <v>29.0</v>
      </c>
      <c r="L559" s="1">
        <v>40.0</v>
      </c>
      <c r="M559" s="1">
        <v>38.0</v>
      </c>
      <c r="N559" s="1" t="s">
        <v>51</v>
      </c>
      <c r="O559" s="1">
        <v>64.0</v>
      </c>
      <c r="P559" s="1">
        <v>26.0</v>
      </c>
      <c r="Q559" s="1">
        <v>24.0</v>
      </c>
      <c r="R559" s="1">
        <v>38.0</v>
      </c>
      <c r="S559" s="1">
        <v>36.0</v>
      </c>
      <c r="T559" s="1" t="s">
        <v>52</v>
      </c>
      <c r="U559" s="1">
        <v>52.0</v>
      </c>
      <c r="V559" s="1">
        <v>22.0</v>
      </c>
      <c r="W559" s="1">
        <v>22.0</v>
      </c>
      <c r="X559" s="1">
        <v>30.0</v>
      </c>
      <c r="Y559" s="1">
        <v>29.0</v>
      </c>
      <c r="Z559" s="1" t="s">
        <v>53</v>
      </c>
      <c r="AA559" s="1">
        <v>51.0</v>
      </c>
      <c r="AB559" s="1">
        <v>26.0</v>
      </c>
      <c r="AC559" s="1">
        <v>26.0</v>
      </c>
      <c r="AD559" s="1">
        <v>25.0</v>
      </c>
      <c r="AE559" s="1">
        <v>25.0</v>
      </c>
      <c r="AF559" s="1" t="s">
        <v>54</v>
      </c>
      <c r="AG559" s="1">
        <v>33.0</v>
      </c>
      <c r="AH559" s="1">
        <v>16.0</v>
      </c>
      <c r="AI559" s="1">
        <v>16.0</v>
      </c>
      <c r="AJ559" s="1">
        <v>17.0</v>
      </c>
      <c r="AK559" s="1">
        <v>17.0</v>
      </c>
      <c r="AL559" s="1">
        <v>262.0</v>
      </c>
      <c r="AM559" s="1" t="s">
        <v>920</v>
      </c>
      <c r="AN559" s="1" t="s">
        <v>55</v>
      </c>
      <c r="AO559" s="1" t="s">
        <v>523</v>
      </c>
      <c r="AP559" s="1" t="s">
        <v>2845</v>
      </c>
      <c r="AQ559" s="3" t="str">
        <f>HYPERLINK("https://icf.clappia.com/app/GMB253374/submission/KDJ29706514/ICF247370-GMB253374-9inccpd39g1i0000000/SIG-20250701_1503iboae.jpeg", "SIG-20250701_1503iboae.jpeg")</f>
        <v>SIG-20250701_1503iboae.jpeg</v>
      </c>
      <c r="AR559" s="1" t="s">
        <v>2847</v>
      </c>
      <c r="AS559" s="3" t="str">
        <f>HYPERLINK("https://icf.clappia.com/app/GMB253374/submission/KDJ29706514/ICF247370-GMB253374-ama5b0dnbmpc0000000/SIG-20250701_1502faobj.jpeg", "SIG-20250701_1502faobj.jpeg")</f>
        <v>SIG-20250701_1502faobj.jpeg</v>
      </c>
      <c r="AT559" s="1" t="s">
        <v>2932</v>
      </c>
      <c r="AU559" s="3" t="str">
        <f>HYPERLINK("https://icf.clappia.com/app/GMB253374/submission/KDJ29706514/ICF247370-GMB253374-51f2h2la4pme00000000/SIG-20250701_1502191pkh.jpeg", "SIG-20250701_1502191pkh.jpeg")</f>
        <v>SIG-20250701_1502191pkh.jpeg</v>
      </c>
      <c r="AV559" s="3" t="str">
        <f>HYPERLINK("https://www.google.com/maps/place/9.1722721%2C-12.0141794", "9.1722721,-12.0141794")</f>
        <v>9.1722721,-12.0141794</v>
      </c>
    </row>
    <row r="560" ht="15.75" customHeight="1">
      <c r="A560" s="1" t="s">
        <v>2933</v>
      </c>
      <c r="B560" s="1" t="s">
        <v>1521</v>
      </c>
      <c r="C560" s="1" t="s">
        <v>2934</v>
      </c>
      <c r="D560" s="1" t="s">
        <v>2934</v>
      </c>
      <c r="E560" s="1" t="s">
        <v>2935</v>
      </c>
      <c r="F560" s="1" t="s">
        <v>64</v>
      </c>
      <c r="G560" s="1">
        <v>150.0</v>
      </c>
      <c r="H560" s="1" t="s">
        <v>50</v>
      </c>
      <c r="I560" s="1">
        <v>62.0</v>
      </c>
      <c r="J560" s="1">
        <v>33.0</v>
      </c>
      <c r="K560" s="1">
        <v>13.0</v>
      </c>
      <c r="L560" s="1">
        <v>29.0</v>
      </c>
      <c r="M560" s="1">
        <v>17.0</v>
      </c>
      <c r="N560" s="1" t="s">
        <v>51</v>
      </c>
      <c r="O560" s="1">
        <v>35.0</v>
      </c>
      <c r="P560" s="1">
        <v>15.0</v>
      </c>
      <c r="Q560" s="1">
        <v>8.0</v>
      </c>
      <c r="R560" s="1">
        <v>20.0</v>
      </c>
      <c r="S560" s="1">
        <v>10.0</v>
      </c>
      <c r="T560" s="1" t="s">
        <v>52</v>
      </c>
      <c r="U560" s="1">
        <v>25.0</v>
      </c>
      <c r="V560" s="1">
        <v>15.0</v>
      </c>
      <c r="W560" s="1">
        <v>5.0</v>
      </c>
      <c r="X560" s="1">
        <v>10.0</v>
      </c>
      <c r="Y560" s="1">
        <v>3.0</v>
      </c>
      <c r="Z560" s="1" t="s">
        <v>53</v>
      </c>
      <c r="AA560" s="1">
        <v>20.0</v>
      </c>
      <c r="AB560" s="1">
        <v>10.0</v>
      </c>
      <c r="AC560" s="1">
        <v>2.0</v>
      </c>
      <c r="AD560" s="1">
        <v>10.0</v>
      </c>
      <c r="AE560" s="1">
        <v>4.0</v>
      </c>
      <c r="AF560" s="1" t="s">
        <v>54</v>
      </c>
      <c r="AG560" s="1">
        <v>22.0</v>
      </c>
      <c r="AH560" s="1">
        <v>10.0</v>
      </c>
      <c r="AI560" s="1">
        <v>3.0</v>
      </c>
      <c r="AJ560" s="1">
        <v>12.0</v>
      </c>
      <c r="AK560" s="1">
        <v>8.0</v>
      </c>
      <c r="AL560" s="1">
        <v>73.0</v>
      </c>
      <c r="AM560" s="1" t="s">
        <v>55</v>
      </c>
      <c r="AN560" s="1">
        <v>77.0</v>
      </c>
      <c r="AO560" s="1">
        <v>72.0</v>
      </c>
      <c r="AP560" s="1" t="s">
        <v>1660</v>
      </c>
      <c r="AQ560" s="3" t="str">
        <f>HYPERLINK("https://icf.clappia.com/app/GMB253374/submission/CKO62016824/ICF247370-GMB253374-2hmgbj79pbnk00000000/SIG-20250701_1446km2cl.jpeg", "SIG-20250701_1446km2cl.jpeg")</f>
        <v>SIG-20250701_1446km2cl.jpeg</v>
      </c>
      <c r="AR560" s="1" t="s">
        <v>1661</v>
      </c>
      <c r="AS560" s="3" t="str">
        <f>HYPERLINK("https://icf.clappia.com/app/GMB253374/submission/CKO62016824/ICF247370-GMB253374-5k4ip5ie63pa00000000/SIG-20250701_1447bcp7.jpeg", "SIG-20250701_1447bcp7.jpeg")</f>
        <v>SIG-20250701_1447bcp7.jpeg</v>
      </c>
      <c r="AT560" s="1" t="s">
        <v>1662</v>
      </c>
      <c r="AU560" s="3" t="str">
        <f>HYPERLINK("https://icf.clappia.com/app/GMB253374/submission/CKO62016824/ICF247370-GMB253374-27nm46b47b3nm0000000/SIG-20250701_144914n33b.jpeg", "SIG-20250701_144914n33b.jpeg")</f>
        <v>SIG-20250701_144914n33b.jpeg</v>
      </c>
      <c r="AV560" s="3" t="str">
        <f>HYPERLINK("https://www.google.com/maps/place/8.0665772%2C-11.823004", "8.0665772,-11.823004")</f>
        <v>8.0665772,-11.823004</v>
      </c>
    </row>
    <row r="561" ht="15.75" customHeight="1">
      <c r="A561" s="1" t="s">
        <v>2936</v>
      </c>
      <c r="B561" s="1" t="s">
        <v>2054</v>
      </c>
      <c r="C561" s="1" t="s">
        <v>2886</v>
      </c>
      <c r="D561" s="1" t="s">
        <v>2937</v>
      </c>
      <c r="E561" s="1" t="s">
        <v>2938</v>
      </c>
      <c r="F561" s="1" t="s">
        <v>64</v>
      </c>
      <c r="G561" s="1">
        <v>139.0</v>
      </c>
      <c r="H561" s="1" t="s">
        <v>50</v>
      </c>
      <c r="I561" s="1">
        <v>36.0</v>
      </c>
      <c r="J561" s="1">
        <v>16.0</v>
      </c>
      <c r="K561" s="1">
        <v>14.0</v>
      </c>
      <c r="L561" s="1">
        <v>20.0</v>
      </c>
      <c r="M561" s="1">
        <v>20.0</v>
      </c>
      <c r="N561" s="1" t="s">
        <v>51</v>
      </c>
      <c r="O561" s="1">
        <v>17.0</v>
      </c>
      <c r="P561" s="1">
        <v>6.0</v>
      </c>
      <c r="Q561" s="1">
        <v>4.0</v>
      </c>
      <c r="R561" s="1">
        <v>11.0</v>
      </c>
      <c r="S561" s="1">
        <v>11.0</v>
      </c>
      <c r="T561" s="1" t="s">
        <v>52</v>
      </c>
      <c r="U561" s="1">
        <v>15.0</v>
      </c>
      <c r="V561" s="1">
        <v>12.0</v>
      </c>
      <c r="W561" s="1">
        <v>9.0</v>
      </c>
      <c r="X561" s="1">
        <v>3.0</v>
      </c>
      <c r="Y561" s="1">
        <v>3.0</v>
      </c>
      <c r="Z561" s="1" t="s">
        <v>53</v>
      </c>
      <c r="AA561" s="1">
        <v>16.0</v>
      </c>
      <c r="AB561" s="1">
        <v>8.0</v>
      </c>
      <c r="AC561" s="1">
        <v>8.0</v>
      </c>
      <c r="AD561" s="1">
        <v>8.0</v>
      </c>
      <c r="AE561" s="1">
        <v>7.0</v>
      </c>
      <c r="AF561" s="1" t="s">
        <v>54</v>
      </c>
      <c r="AG561" s="1">
        <v>14.0</v>
      </c>
      <c r="AH561" s="1">
        <v>8.0</v>
      </c>
      <c r="AI561" s="1">
        <v>7.0</v>
      </c>
      <c r="AJ561" s="1">
        <v>6.0</v>
      </c>
      <c r="AK561" s="1">
        <v>6.0</v>
      </c>
      <c r="AL561" s="1">
        <v>89.0</v>
      </c>
      <c r="AM561" s="1">
        <v>10.0</v>
      </c>
      <c r="AN561" s="1">
        <v>40.0</v>
      </c>
      <c r="AO561" s="1">
        <v>40.0</v>
      </c>
      <c r="AP561" s="1" t="s">
        <v>2188</v>
      </c>
      <c r="AQ561" s="3" t="str">
        <f>HYPERLINK("https://icf.clappia.com/app/GMB253374/submission/MFY61050367/ICF247370-GMB253374-5afl1g4jp5h600000000/SIG-20250701_122480agf.jpeg", "SIG-20250701_122480agf.jpeg")</f>
        <v>SIG-20250701_122480agf.jpeg</v>
      </c>
      <c r="AR561" s="1" t="s">
        <v>2189</v>
      </c>
      <c r="AS561" s="3" t="str">
        <f>HYPERLINK("https://icf.clappia.com/app/GMB253374/submission/MFY61050367/ICF247370-GMB253374-350m83c80gnm00000000/SIG-20250701_122416b27i.jpeg", "SIG-20250701_122416b27i.jpeg")</f>
        <v>SIG-20250701_122416b27i.jpeg</v>
      </c>
      <c r="AT561" s="1" t="s">
        <v>2190</v>
      </c>
      <c r="AU561" s="3" t="str">
        <f>HYPERLINK("https://icf.clappia.com/app/GMB253374/submission/MFY61050367/ICF247370-GMB253374-13i29k26297m00000000/SIG-20250701_122515kch.jpeg", "SIG-20250701_122515kch.jpeg")</f>
        <v>SIG-20250701_122515kch.jpeg</v>
      </c>
      <c r="AV561" s="3" t="str">
        <f>HYPERLINK("https://www.google.com/maps/place/8.2018933%2C-11.5096417", "8.2018933,-11.5096417")</f>
        <v>8.2018933,-11.5096417</v>
      </c>
    </row>
    <row r="562" ht="15.75" customHeight="1">
      <c r="A562" s="1" t="s">
        <v>2939</v>
      </c>
      <c r="B562" s="1" t="s">
        <v>60</v>
      </c>
      <c r="C562" s="1" t="s">
        <v>2886</v>
      </c>
      <c r="D562" s="1" t="s">
        <v>2886</v>
      </c>
      <c r="E562" s="1" t="s">
        <v>2940</v>
      </c>
      <c r="F562" s="1" t="s">
        <v>64</v>
      </c>
      <c r="G562" s="1">
        <v>61.0</v>
      </c>
      <c r="H562" s="1" t="s">
        <v>50</v>
      </c>
      <c r="I562" s="1">
        <v>20.0</v>
      </c>
      <c r="J562" s="1">
        <v>14.0</v>
      </c>
      <c r="K562" s="1">
        <v>14.0</v>
      </c>
      <c r="L562" s="1">
        <v>6.0</v>
      </c>
      <c r="M562" s="1">
        <v>6.0</v>
      </c>
      <c r="N562" s="1" t="s">
        <v>51</v>
      </c>
      <c r="O562" s="1">
        <v>15.0</v>
      </c>
      <c r="P562" s="1">
        <v>8.0</v>
      </c>
      <c r="Q562" s="1">
        <v>8.0</v>
      </c>
      <c r="R562" s="1">
        <v>7.0</v>
      </c>
      <c r="S562" s="1">
        <v>7.0</v>
      </c>
      <c r="T562" s="1" t="s">
        <v>52</v>
      </c>
      <c r="U562" s="1">
        <v>7.0</v>
      </c>
      <c r="V562" s="1">
        <v>3.0</v>
      </c>
      <c r="W562" s="1">
        <v>3.0</v>
      </c>
      <c r="X562" s="1">
        <v>4.0</v>
      </c>
      <c r="Y562" s="1">
        <v>2.0</v>
      </c>
      <c r="Z562" s="1" t="s">
        <v>53</v>
      </c>
      <c r="AA562" s="1">
        <v>11.0</v>
      </c>
      <c r="AB562" s="1">
        <v>7.0</v>
      </c>
      <c r="AC562" s="1">
        <v>5.0</v>
      </c>
      <c r="AD562" s="1">
        <v>4.0</v>
      </c>
      <c r="AE562" s="1">
        <v>2.0</v>
      </c>
      <c r="AF562" s="1" t="s">
        <v>54</v>
      </c>
      <c r="AG562" s="1">
        <v>8.0</v>
      </c>
      <c r="AH562" s="1">
        <v>4.0</v>
      </c>
      <c r="AI562" s="1">
        <v>3.0</v>
      </c>
      <c r="AJ562" s="1">
        <v>4.0</v>
      </c>
      <c r="AK562" s="1">
        <v>2.0</v>
      </c>
      <c r="AL562" s="1">
        <v>52.0</v>
      </c>
      <c r="AM562" s="1">
        <v>9.0</v>
      </c>
      <c r="AN562" s="1" t="s">
        <v>55</v>
      </c>
      <c r="AO562" s="1" t="s">
        <v>55</v>
      </c>
      <c r="AP562" s="1" t="s">
        <v>2074</v>
      </c>
      <c r="AQ562" s="3" t="str">
        <f>HYPERLINK("https://icf.clappia.com/app/GMB253374/submission/FXQ52181225/ICF247370-GMB253374-1mnmk0kc1faac0000000/SIG-20250701_144512g22k.jpeg", "SIG-20250701_144512g22k.jpeg")</f>
        <v>SIG-20250701_144512g22k.jpeg</v>
      </c>
      <c r="AR562" s="1" t="s">
        <v>2941</v>
      </c>
      <c r="AS562" s="3" t="str">
        <f>HYPERLINK("https://icf.clappia.com/app/GMB253374/submission/FXQ52181225/ICF247370-GMB253374-36gm5h7n22k400000000/SIG-20250701_1446ckko0.jpeg", "SIG-20250701_1446ckko0.jpeg")</f>
        <v>SIG-20250701_1446ckko0.jpeg</v>
      </c>
      <c r="AT562" s="1" t="s">
        <v>2076</v>
      </c>
      <c r="AU562" s="3" t="str">
        <f>HYPERLINK("https://icf.clappia.com/app/GMB253374/submission/FXQ52181225/ICF247370-GMB253374-20bbgg9hhc5280000000/SIG-20250701_1446el72l.jpeg", "SIG-20250701_1446el72l.jpeg")</f>
        <v>SIG-20250701_1446el72l.jpeg</v>
      </c>
      <c r="AV562" s="3" t="str">
        <f>HYPERLINK("https://www.google.com/maps/place/7.9363183%2C-12.0989433", "7.9363183,-12.0989433")</f>
        <v>7.9363183,-12.0989433</v>
      </c>
    </row>
    <row r="563" ht="15.75" customHeight="1">
      <c r="A563" s="1" t="s">
        <v>2942</v>
      </c>
      <c r="B563" s="1" t="s">
        <v>349</v>
      </c>
      <c r="C563" s="1" t="s">
        <v>2943</v>
      </c>
      <c r="D563" s="1" t="s">
        <v>2943</v>
      </c>
      <c r="E563" s="1" t="s">
        <v>2944</v>
      </c>
      <c r="F563" s="1" t="s">
        <v>64</v>
      </c>
      <c r="G563" s="1">
        <v>100.0</v>
      </c>
      <c r="H563" s="1" t="s">
        <v>50</v>
      </c>
      <c r="I563" s="1">
        <v>43.0</v>
      </c>
      <c r="J563" s="1">
        <v>20.0</v>
      </c>
      <c r="K563" s="1">
        <v>20.0</v>
      </c>
      <c r="L563" s="1">
        <v>23.0</v>
      </c>
      <c r="M563" s="1">
        <v>23.0</v>
      </c>
      <c r="N563" s="1" t="s">
        <v>51</v>
      </c>
      <c r="O563" s="1">
        <v>13.0</v>
      </c>
      <c r="P563" s="1">
        <v>10.0</v>
      </c>
      <c r="Q563" s="1">
        <v>10.0</v>
      </c>
      <c r="R563" s="1">
        <v>3.0</v>
      </c>
      <c r="S563" s="1">
        <v>3.0</v>
      </c>
      <c r="T563" s="1" t="s">
        <v>52</v>
      </c>
      <c r="U563" s="1">
        <v>12.0</v>
      </c>
      <c r="V563" s="1">
        <v>5.0</v>
      </c>
      <c r="W563" s="1">
        <v>5.0</v>
      </c>
      <c r="X563" s="1">
        <v>7.0</v>
      </c>
      <c r="Y563" s="1">
        <v>7.0</v>
      </c>
      <c r="Z563" s="1" t="s">
        <v>53</v>
      </c>
      <c r="AA563" s="1">
        <v>11.0</v>
      </c>
      <c r="AB563" s="1">
        <v>7.0</v>
      </c>
      <c r="AC563" s="1">
        <v>7.0</v>
      </c>
      <c r="AD563" s="1">
        <v>4.0</v>
      </c>
      <c r="AE563" s="1">
        <v>4.0</v>
      </c>
      <c r="AF563" s="1" t="s">
        <v>54</v>
      </c>
      <c r="AG563" s="1">
        <v>7.0</v>
      </c>
      <c r="AH563" s="1">
        <v>6.0</v>
      </c>
      <c r="AI563" s="1">
        <v>6.0</v>
      </c>
      <c r="AJ563" s="1">
        <v>1.0</v>
      </c>
      <c r="AK563" s="1">
        <v>1.0</v>
      </c>
      <c r="AL563" s="1">
        <v>86.0</v>
      </c>
      <c r="AM563" s="1" t="s">
        <v>55</v>
      </c>
      <c r="AN563" s="1">
        <v>14.0</v>
      </c>
      <c r="AO563" s="1">
        <v>14.0</v>
      </c>
      <c r="AP563" s="1" t="s">
        <v>424</v>
      </c>
      <c r="AQ563" s="3" t="str">
        <f>HYPERLINK("https://icf.clappia.com/app/GMB253374/submission/DOL87228310/ICF247370-GMB253374-31bdne29ip8o00000000/SIG-20250701_1450m5cpa.jpeg", "SIG-20250701_1450m5cpa.jpeg")</f>
        <v>SIG-20250701_1450m5cpa.jpeg</v>
      </c>
      <c r="AR563" s="1" t="s">
        <v>2945</v>
      </c>
      <c r="AS563" s="3" t="str">
        <f>HYPERLINK("https://icf.clappia.com/app/GMB253374/submission/DOL87228310/ICF247370-GMB253374-5694gjh2ffkg00000000/SIG-20250701_145423eb5.jpeg", "SIG-20250701_145423eb5.jpeg")</f>
        <v>SIG-20250701_145423eb5.jpeg</v>
      </c>
      <c r="AT563" s="1" t="s">
        <v>426</v>
      </c>
      <c r="AU563" s="3" t="str">
        <f>HYPERLINK("https://icf.clappia.com/app/GMB253374/submission/DOL87228310/ICF247370-GMB253374-3kg69e4g49j400000000/SIG-20250701_1455180jij.jpeg", "SIG-20250701_1455180jij.jpeg")</f>
        <v>SIG-20250701_1455180jij.jpeg</v>
      </c>
      <c r="AV563" s="3" t="str">
        <f>HYPERLINK("https://www.google.com/maps/place/9.0257467%2C-11.9880733", "9.0257467,-11.9880733")</f>
        <v>9.0257467,-11.9880733</v>
      </c>
    </row>
    <row r="564" ht="15.75" customHeight="1">
      <c r="A564" s="1" t="s">
        <v>2946</v>
      </c>
      <c r="B564" s="1" t="s">
        <v>60</v>
      </c>
      <c r="C564" s="1" t="s">
        <v>2943</v>
      </c>
      <c r="D564" s="1" t="s">
        <v>2943</v>
      </c>
      <c r="E564" s="1" t="s">
        <v>2947</v>
      </c>
      <c r="F564" s="1" t="s">
        <v>64</v>
      </c>
      <c r="G564" s="1">
        <v>260.0</v>
      </c>
      <c r="H564" s="1" t="s">
        <v>50</v>
      </c>
      <c r="I564" s="1">
        <v>68.0</v>
      </c>
      <c r="J564" s="1">
        <v>37.0</v>
      </c>
      <c r="K564" s="1">
        <v>37.0</v>
      </c>
      <c r="L564" s="1">
        <v>31.0</v>
      </c>
      <c r="M564" s="1">
        <v>31.0</v>
      </c>
      <c r="N564" s="1" t="s">
        <v>51</v>
      </c>
      <c r="O564" s="1">
        <v>58.0</v>
      </c>
      <c r="P564" s="1">
        <v>20.0</v>
      </c>
      <c r="Q564" s="1">
        <v>20.0</v>
      </c>
      <c r="R564" s="1">
        <v>38.0</v>
      </c>
      <c r="S564" s="1">
        <v>38.0</v>
      </c>
      <c r="T564" s="1" t="s">
        <v>52</v>
      </c>
      <c r="U564" s="1">
        <v>50.0</v>
      </c>
      <c r="V564" s="1">
        <v>24.0</v>
      </c>
      <c r="W564" s="1">
        <v>24.0</v>
      </c>
      <c r="X564" s="1">
        <v>26.0</v>
      </c>
      <c r="Y564" s="1">
        <v>26.0</v>
      </c>
      <c r="Z564" s="1" t="s">
        <v>53</v>
      </c>
      <c r="AA564" s="1">
        <v>45.0</v>
      </c>
      <c r="AB564" s="1">
        <v>16.0</v>
      </c>
      <c r="AC564" s="1">
        <v>14.0</v>
      </c>
      <c r="AD564" s="1">
        <v>29.0</v>
      </c>
      <c r="AE564" s="1">
        <v>26.0</v>
      </c>
      <c r="AF564" s="1" t="s">
        <v>54</v>
      </c>
      <c r="AG564" s="1">
        <v>39.0</v>
      </c>
      <c r="AH564" s="1">
        <v>20.0</v>
      </c>
      <c r="AI564" s="1">
        <v>19.0</v>
      </c>
      <c r="AJ564" s="1">
        <v>19.0</v>
      </c>
      <c r="AK564" s="1">
        <v>18.0</v>
      </c>
      <c r="AL564" s="1">
        <v>253.0</v>
      </c>
      <c r="AM564" s="1">
        <v>7.0</v>
      </c>
      <c r="AN564" s="1" t="s">
        <v>55</v>
      </c>
      <c r="AO564" s="1" t="s">
        <v>55</v>
      </c>
      <c r="AP564" s="1" t="s">
        <v>2948</v>
      </c>
      <c r="AQ564" s="3" t="str">
        <f>HYPERLINK("https://icf.clappia.com/app/GMB253374/submission/TZX09931820/ICF247370-GMB253374-4n3791fd31j600000000/SIG-20250701_1455findh.jpeg", "SIG-20250701_1455findh.jpeg")</f>
        <v>SIG-20250701_1455findh.jpeg</v>
      </c>
      <c r="AR564" s="1" t="s">
        <v>2222</v>
      </c>
      <c r="AS564" s="3" t="str">
        <f>HYPERLINK("https://icf.clappia.com/app/GMB253374/submission/TZX09931820/ICF247370-GMB253374-3464jcaghe0e00000000/SIG-20250701_1454bom80.jpeg", "SIG-20250701_1454bom80.jpeg")</f>
        <v>SIG-20250701_1454bom80.jpeg</v>
      </c>
      <c r="AT564" s="1" t="s">
        <v>2221</v>
      </c>
      <c r="AU564" s="3" t="str">
        <f>HYPERLINK("https://icf.clappia.com/app/GMB253374/submission/TZX09931820/ICF247370-GMB253374-135ld223o95360000000/SIG-20250701_1455h2cdl.jpeg", "SIG-20250701_1455h2cdl.jpeg")</f>
        <v>SIG-20250701_1455h2cdl.jpeg</v>
      </c>
      <c r="AV564" s="3" t="str">
        <f>HYPERLINK("https://www.google.com/maps/place/9.1646297%2C-12.0395196", "9.1646297,-12.0395196")</f>
        <v>9.1646297,-12.0395196</v>
      </c>
    </row>
    <row r="565" ht="15.75" customHeight="1">
      <c r="A565" s="1" t="s">
        <v>2949</v>
      </c>
      <c r="B565" s="1" t="s">
        <v>142</v>
      </c>
      <c r="C565" s="1" t="s">
        <v>2950</v>
      </c>
      <c r="D565" s="1" t="s">
        <v>2950</v>
      </c>
      <c r="E565" s="1" t="s">
        <v>2951</v>
      </c>
      <c r="F565" s="1" t="s">
        <v>64</v>
      </c>
      <c r="G565" s="1">
        <v>99.0</v>
      </c>
      <c r="H565" s="1" t="s">
        <v>50</v>
      </c>
      <c r="I565" s="1">
        <v>70.0</v>
      </c>
      <c r="J565" s="1">
        <v>35.0</v>
      </c>
      <c r="K565" s="1">
        <v>15.0</v>
      </c>
      <c r="L565" s="1">
        <v>35.0</v>
      </c>
      <c r="M565" s="1">
        <v>15.0</v>
      </c>
      <c r="N565" s="1" t="s">
        <v>51</v>
      </c>
      <c r="O565" s="1">
        <v>50.0</v>
      </c>
      <c r="P565" s="1">
        <v>25.0</v>
      </c>
      <c r="Q565" s="1">
        <v>2.0</v>
      </c>
      <c r="R565" s="1">
        <v>25.0</v>
      </c>
      <c r="S565" s="1">
        <v>7.0</v>
      </c>
      <c r="T565" s="1" t="s">
        <v>52</v>
      </c>
      <c r="U565" s="1">
        <v>40.0</v>
      </c>
      <c r="V565" s="1">
        <v>20.0</v>
      </c>
      <c r="W565" s="1">
        <v>4.0</v>
      </c>
      <c r="X565" s="1">
        <v>20.0</v>
      </c>
      <c r="Y565" s="1">
        <v>2.0</v>
      </c>
      <c r="Z565" s="1" t="s">
        <v>53</v>
      </c>
      <c r="AA565" s="1">
        <v>28.0</v>
      </c>
      <c r="AB565" s="1">
        <v>14.0</v>
      </c>
      <c r="AC565" s="1">
        <v>6.0</v>
      </c>
      <c r="AD565" s="1">
        <v>14.0</v>
      </c>
      <c r="AE565" s="1">
        <v>5.0</v>
      </c>
      <c r="AF565" s="1" t="s">
        <v>54</v>
      </c>
      <c r="AG565" s="1">
        <v>20.0</v>
      </c>
      <c r="AH565" s="1">
        <v>10.0</v>
      </c>
      <c r="AI565" s="1">
        <v>5.0</v>
      </c>
      <c r="AJ565" s="1">
        <v>10.0</v>
      </c>
      <c r="AK565" s="1">
        <v>4.0</v>
      </c>
      <c r="AL565" s="1">
        <v>65.0</v>
      </c>
      <c r="AM565" s="1" t="s">
        <v>55</v>
      </c>
      <c r="AN565" s="1">
        <v>34.0</v>
      </c>
      <c r="AO565" s="1">
        <v>34.0</v>
      </c>
      <c r="AP565" s="1" t="s">
        <v>2952</v>
      </c>
      <c r="AQ565" s="3" t="str">
        <f>HYPERLINK("https://icf.clappia.com/app/GMB253374/submission/MHY28373592/ICF247370-GMB253374-2a173fom02doi0000000/SIG-20250701_143514goh3.jpeg", "SIG-20250701_143514goh3.jpeg")</f>
        <v>SIG-20250701_143514goh3.jpeg</v>
      </c>
      <c r="AR565" s="1" t="s">
        <v>2953</v>
      </c>
      <c r="AS565" s="3" t="str">
        <f>HYPERLINK("https://icf.clappia.com/app/GMB253374/submission/MHY28373592/ICF247370-GMB253374-13262n9pen2mk0000000/SIG-20250701_143613jbh1.jpeg", "SIG-20250701_143613jbh1.jpeg")</f>
        <v>SIG-20250701_143613jbh1.jpeg</v>
      </c>
      <c r="AT565" s="1" t="s">
        <v>2954</v>
      </c>
      <c r="AU565" s="3" t="str">
        <f>HYPERLINK("https://icf.clappia.com/app/GMB253374/submission/MHY28373592/ICF247370-GMB253374-22koj1i3e8ck80000000/SIG-20250701_143714h11k.jpeg", "SIG-20250701_143714h11k.jpeg")</f>
        <v>SIG-20250701_143714h11k.jpeg</v>
      </c>
      <c r="AV565" s="3" t="str">
        <f>HYPERLINK("https://www.google.com/maps/place/7.8871431%2C-11.9289232", "7.8871431,-11.9289232")</f>
        <v>7.8871431,-11.9289232</v>
      </c>
    </row>
    <row r="566" ht="15.75" customHeight="1">
      <c r="A566" s="1" t="s">
        <v>2955</v>
      </c>
      <c r="B566" s="1" t="s">
        <v>94</v>
      </c>
      <c r="C566" s="1" t="s">
        <v>2956</v>
      </c>
      <c r="D566" s="1" t="s">
        <v>2957</v>
      </c>
      <c r="E566" s="1" t="s">
        <v>2958</v>
      </c>
      <c r="F566" s="1" t="s">
        <v>64</v>
      </c>
      <c r="G566" s="1">
        <v>113.0</v>
      </c>
      <c r="H566" s="1" t="s">
        <v>50</v>
      </c>
      <c r="I566" s="1">
        <v>55.0</v>
      </c>
      <c r="J566" s="1">
        <v>30.0</v>
      </c>
      <c r="K566" s="1">
        <v>25.0</v>
      </c>
      <c r="L566" s="1">
        <v>25.0</v>
      </c>
      <c r="M566" s="1">
        <v>23.0</v>
      </c>
      <c r="N566" s="1" t="s">
        <v>51</v>
      </c>
      <c r="O566" s="1">
        <v>29.0</v>
      </c>
      <c r="P566" s="1">
        <v>11.0</v>
      </c>
      <c r="Q566" s="1">
        <v>11.0</v>
      </c>
      <c r="R566" s="1">
        <v>8.0</v>
      </c>
      <c r="S566" s="1">
        <v>8.0</v>
      </c>
      <c r="T566" s="1" t="s">
        <v>52</v>
      </c>
      <c r="U566" s="1">
        <v>19.0</v>
      </c>
      <c r="V566" s="1">
        <v>10.0</v>
      </c>
      <c r="W566" s="1">
        <v>9.0</v>
      </c>
      <c r="X566" s="1">
        <v>9.0</v>
      </c>
      <c r="Y566" s="1">
        <v>9.0</v>
      </c>
      <c r="Z566" s="1" t="s">
        <v>53</v>
      </c>
      <c r="AA566" s="1">
        <v>22.0</v>
      </c>
      <c r="AB566" s="1">
        <v>10.0</v>
      </c>
      <c r="AC566" s="1">
        <v>8.0</v>
      </c>
      <c r="AD566" s="1">
        <v>12.0</v>
      </c>
      <c r="AE566" s="1">
        <v>10.0</v>
      </c>
      <c r="AF566" s="1" t="s">
        <v>54</v>
      </c>
      <c r="AG566" s="1">
        <v>11.0</v>
      </c>
      <c r="AH566" s="1">
        <v>4.0</v>
      </c>
      <c r="AI566" s="1">
        <v>4.0</v>
      </c>
      <c r="AJ566" s="1">
        <v>7.0</v>
      </c>
      <c r="AK566" s="1">
        <v>6.0</v>
      </c>
      <c r="AL566" s="1">
        <v>113.0</v>
      </c>
      <c r="AM566" s="1" t="s">
        <v>55</v>
      </c>
      <c r="AN566" s="1" t="s">
        <v>55</v>
      </c>
      <c r="AO566" s="1" t="s">
        <v>55</v>
      </c>
      <c r="AP566" s="1" t="s">
        <v>1791</v>
      </c>
      <c r="AQ566" s="3" t="str">
        <f>HYPERLINK("https://icf.clappia.com/app/GMB253374/submission/ORU51585275/ICF247370-GMB253374-4kmj8med0n1m00000000/SIG-20250701_1248382jh.jpeg", "SIG-20250701_1248382jh.jpeg")</f>
        <v>SIG-20250701_1248382jh.jpeg</v>
      </c>
      <c r="AR566" s="1" t="s">
        <v>55</v>
      </c>
      <c r="AS566" s="3" t="str">
        <f>HYPERLINK("https://icf.clappia.com/app/GMB253374/submission/ORU51585275/ICF247370-GMB253374-3nbp065c41480000000/SIG-20250701_12466jjgd.jpeg", "SIG-20250701_12466jjgd.jpeg")</f>
        <v>SIG-20250701_12466jjgd.jpeg</v>
      </c>
      <c r="AT566" s="1" t="s">
        <v>55</v>
      </c>
      <c r="AU566" s="3" t="str">
        <f>HYPERLINK("https://icf.clappia.com/app/GMB253374/submission/ORU51585275/ICF247370-GMB253374-674kmfcbg6fm00000000/SIG-20250701_12477d80a.jpeg", "SIG-20250701_12477d80a.jpeg")</f>
        <v>SIG-20250701_12477d80a.jpeg</v>
      </c>
      <c r="AV566" s="3" t="str">
        <f>HYPERLINK("https://www.google.com/maps/place/7.6806433%2C-11.9206932", "7.6806433,-11.9206932")</f>
        <v>7.6806433,-11.9206932</v>
      </c>
    </row>
    <row r="567" ht="15.75" customHeight="1">
      <c r="A567" s="1" t="s">
        <v>2959</v>
      </c>
      <c r="B567" s="1" t="s">
        <v>167</v>
      </c>
      <c r="C567" s="1" t="s">
        <v>2957</v>
      </c>
      <c r="D567" s="1" t="s">
        <v>2957</v>
      </c>
      <c r="E567" s="1" t="s">
        <v>2960</v>
      </c>
      <c r="F567" s="1" t="s">
        <v>64</v>
      </c>
      <c r="G567" s="1">
        <v>174.0</v>
      </c>
      <c r="H567" s="1" t="s">
        <v>50</v>
      </c>
      <c r="I567" s="1">
        <v>52.0</v>
      </c>
      <c r="J567" s="1">
        <v>30.0</v>
      </c>
      <c r="K567" s="1">
        <v>13.0</v>
      </c>
      <c r="L567" s="1">
        <v>22.0</v>
      </c>
      <c r="M567" s="1">
        <v>19.0</v>
      </c>
      <c r="N567" s="1" t="s">
        <v>51</v>
      </c>
      <c r="O567" s="1">
        <v>26.0</v>
      </c>
      <c r="P567" s="1">
        <v>14.0</v>
      </c>
      <c r="Q567" s="1">
        <v>12.0</v>
      </c>
      <c r="R567" s="1">
        <v>12.0</v>
      </c>
      <c r="S567" s="1">
        <v>7.0</v>
      </c>
      <c r="T567" s="1" t="s">
        <v>52</v>
      </c>
      <c r="U567" s="1">
        <v>41.0</v>
      </c>
      <c r="V567" s="1">
        <v>23.0</v>
      </c>
      <c r="W567" s="1">
        <v>13.0</v>
      </c>
      <c r="X567" s="1">
        <v>18.0</v>
      </c>
      <c r="Y567" s="1">
        <v>4.0</v>
      </c>
      <c r="Z567" s="1" t="s">
        <v>53</v>
      </c>
      <c r="AA567" s="1">
        <v>22.0</v>
      </c>
      <c r="AB567" s="1">
        <v>12.0</v>
      </c>
      <c r="AC567" s="1">
        <v>12.0</v>
      </c>
      <c r="AD567" s="1">
        <v>10.0</v>
      </c>
      <c r="AE567" s="1">
        <v>10.0</v>
      </c>
      <c r="AF567" s="1" t="s">
        <v>54</v>
      </c>
      <c r="AG567" s="1">
        <v>33.0</v>
      </c>
      <c r="AH567" s="1">
        <v>15.0</v>
      </c>
      <c r="AI567" s="1">
        <v>12.0</v>
      </c>
      <c r="AJ567" s="1">
        <v>18.0</v>
      </c>
      <c r="AK567" s="1">
        <v>10.0</v>
      </c>
      <c r="AL567" s="1">
        <v>112.0</v>
      </c>
      <c r="AM567" s="1" t="s">
        <v>55</v>
      </c>
      <c r="AN567" s="1">
        <v>62.0</v>
      </c>
      <c r="AO567" s="1">
        <v>62.0</v>
      </c>
      <c r="AP567" s="1" t="s">
        <v>2096</v>
      </c>
      <c r="AQ567" s="3" t="str">
        <f>HYPERLINK("https://icf.clappia.com/app/GMB253374/submission/QGG46917844/ICF247370-GMB253374-4gc77ima4blg00000000/SIG-20250701_14484enj6.jpeg", "SIG-20250701_14484enj6.jpeg")</f>
        <v>SIG-20250701_14484enj6.jpeg</v>
      </c>
      <c r="AR567" s="1" t="s">
        <v>2097</v>
      </c>
      <c r="AS567" s="3" t="str">
        <f>HYPERLINK("https://icf.clappia.com/app/GMB253374/submission/QGG46917844/ICF247370-GMB253374-4gklk8pje6co00000000/SIG-20250701_1448b8keh.jpeg", "SIG-20250701_1448b8keh.jpeg")</f>
        <v>SIG-20250701_1448b8keh.jpeg</v>
      </c>
      <c r="AT567" s="1" t="s">
        <v>2098</v>
      </c>
      <c r="AU567" s="3" t="str">
        <f>HYPERLINK("https://icf.clappia.com/app/GMB253374/submission/QGG46917844/ICF247370-GMB253374-2il2h3mpcl4m00000000/SIG-20250701_1449g0i8c.jpeg", "SIG-20250701_1449g0i8c.jpeg")</f>
        <v>SIG-20250701_1449g0i8c.jpeg</v>
      </c>
      <c r="AV567" s="3" t="str">
        <f>HYPERLINK("https://www.google.com/maps/place/7.9396903%2C-11.7427077", "7.9396903,-11.7427077")</f>
        <v>7.9396903,-11.7427077</v>
      </c>
    </row>
    <row r="568" ht="15.75" customHeight="1">
      <c r="A568" s="1" t="s">
        <v>2961</v>
      </c>
      <c r="B568" s="1" t="s">
        <v>2328</v>
      </c>
      <c r="C568" s="1" t="s">
        <v>2956</v>
      </c>
      <c r="D568" s="1" t="s">
        <v>2957</v>
      </c>
      <c r="E568" s="1" t="s">
        <v>2962</v>
      </c>
      <c r="F568" s="1" t="s">
        <v>64</v>
      </c>
      <c r="G568" s="1">
        <v>74.0</v>
      </c>
      <c r="H568" s="1" t="s">
        <v>50</v>
      </c>
      <c r="I568" s="1">
        <v>23.0</v>
      </c>
      <c r="J568" s="1">
        <v>10.0</v>
      </c>
      <c r="K568" s="1">
        <v>10.0</v>
      </c>
      <c r="L568" s="1">
        <v>13.0</v>
      </c>
      <c r="M568" s="1">
        <v>13.0</v>
      </c>
      <c r="N568" s="1" t="s">
        <v>51</v>
      </c>
      <c r="O568" s="1">
        <v>14.0</v>
      </c>
      <c r="P568" s="1">
        <v>8.0</v>
      </c>
      <c r="Q568" s="1">
        <v>7.0</v>
      </c>
      <c r="R568" s="1">
        <v>6.0</v>
      </c>
      <c r="S568" s="1">
        <v>6.0</v>
      </c>
      <c r="T568" s="1" t="s">
        <v>52</v>
      </c>
      <c r="U568" s="1">
        <v>13.0</v>
      </c>
      <c r="V568" s="1">
        <v>7.0</v>
      </c>
      <c r="W568" s="1">
        <v>7.0</v>
      </c>
      <c r="X568" s="1">
        <v>6.0</v>
      </c>
      <c r="Y568" s="1">
        <v>6.0</v>
      </c>
      <c r="Z568" s="1" t="s">
        <v>53</v>
      </c>
      <c r="AA568" s="1">
        <v>10.0</v>
      </c>
      <c r="AB568" s="1">
        <v>4.0</v>
      </c>
      <c r="AC568" s="1">
        <v>3.0</v>
      </c>
      <c r="AD568" s="1">
        <v>6.0</v>
      </c>
      <c r="AE568" s="1">
        <v>6.0</v>
      </c>
      <c r="AF568" s="1" t="s">
        <v>54</v>
      </c>
      <c r="AG568" s="1">
        <v>14.0</v>
      </c>
      <c r="AH568" s="1">
        <v>7.0</v>
      </c>
      <c r="AI568" s="1">
        <v>7.0</v>
      </c>
      <c r="AJ568" s="1">
        <v>7.0</v>
      </c>
      <c r="AK568" s="1">
        <v>7.0</v>
      </c>
      <c r="AL568" s="1">
        <v>72.0</v>
      </c>
      <c r="AM568" s="1">
        <v>2.0</v>
      </c>
      <c r="AN568" s="1" t="s">
        <v>55</v>
      </c>
      <c r="AO568" s="1" t="s">
        <v>55</v>
      </c>
      <c r="AP568" s="1" t="s">
        <v>2963</v>
      </c>
      <c r="AQ568" s="3" t="str">
        <f>HYPERLINK("https://icf.clappia.com/app/GMB253374/submission/LEY99957824/ICF247370-GMB253374-39jp0ai52jm200000000/SIG-20250701_1231n8i7i.jpeg", "SIG-20250701_1231n8i7i.jpeg")</f>
        <v>SIG-20250701_1231n8i7i.jpeg</v>
      </c>
      <c r="AR568" s="1" t="s">
        <v>2964</v>
      </c>
      <c r="AS568" s="3" t="str">
        <f>HYPERLINK("https://icf.clappia.com/app/GMB253374/submission/LEY99957824/ICF247370-GMB253374-22dfiabko0ona0000000/SIG-20250701_123112ja36.jpeg", "SIG-20250701_123112ja36.jpeg")</f>
        <v>SIG-20250701_123112ja36.jpeg</v>
      </c>
      <c r="AT568" s="1" t="s">
        <v>2965</v>
      </c>
      <c r="AU568" s="3" t="str">
        <f>HYPERLINK("https://icf.clappia.com/app/GMB253374/submission/LEY99957824/ICF247370-GMB253374-1c4j1eaoj132o0000000/SIG-20250701_1232166fp4.jpeg", "SIG-20250701_1232166fp4.jpeg")</f>
        <v>SIG-20250701_1232166fp4.jpeg</v>
      </c>
      <c r="AV568" s="3" t="str">
        <f>HYPERLINK("https://www.google.com/maps/place/8.1119299%2C-11.4287691", "8.1119299,-11.4287691")</f>
        <v>8.1119299,-11.4287691</v>
      </c>
    </row>
    <row r="569" ht="15.75" customHeight="1">
      <c r="A569" s="1" t="s">
        <v>2966</v>
      </c>
      <c r="B569" s="1" t="s">
        <v>60</v>
      </c>
      <c r="C569" s="1" t="s">
        <v>2956</v>
      </c>
      <c r="D569" s="1" t="s">
        <v>2956</v>
      </c>
      <c r="E569" s="1" t="s">
        <v>2967</v>
      </c>
      <c r="F569" s="1" t="s">
        <v>64</v>
      </c>
      <c r="G569" s="1">
        <v>162.0</v>
      </c>
      <c r="H569" s="1" t="s">
        <v>50</v>
      </c>
      <c r="I569" s="1">
        <v>39.0</v>
      </c>
      <c r="J569" s="1">
        <v>18.0</v>
      </c>
      <c r="K569" s="1">
        <v>18.0</v>
      </c>
      <c r="L569" s="1">
        <v>21.0</v>
      </c>
      <c r="M569" s="1">
        <v>21.0</v>
      </c>
      <c r="N569" s="1" t="s">
        <v>51</v>
      </c>
      <c r="O569" s="1">
        <v>21.0</v>
      </c>
      <c r="P569" s="1">
        <v>9.0</v>
      </c>
      <c r="Q569" s="1">
        <v>9.0</v>
      </c>
      <c r="R569" s="1">
        <v>12.0</v>
      </c>
      <c r="S569" s="1">
        <v>12.0</v>
      </c>
      <c r="T569" s="1" t="s">
        <v>52</v>
      </c>
      <c r="U569" s="1">
        <v>29.0</v>
      </c>
      <c r="V569" s="1">
        <v>12.0</v>
      </c>
      <c r="W569" s="1">
        <v>12.0</v>
      </c>
      <c r="X569" s="1">
        <v>17.0</v>
      </c>
      <c r="Y569" s="1">
        <v>16.0</v>
      </c>
      <c r="Z569" s="1" t="s">
        <v>53</v>
      </c>
      <c r="AA569" s="1">
        <v>24.0</v>
      </c>
      <c r="AB569" s="1">
        <v>11.0</v>
      </c>
      <c r="AC569" s="1">
        <v>10.0</v>
      </c>
      <c r="AD569" s="1">
        <v>13.0</v>
      </c>
      <c r="AE569" s="1">
        <v>13.0</v>
      </c>
      <c r="AF569" s="1" t="s">
        <v>54</v>
      </c>
      <c r="AG569" s="1">
        <v>30.0</v>
      </c>
      <c r="AH569" s="1">
        <v>13.0</v>
      </c>
      <c r="AI569" s="1">
        <v>12.0</v>
      </c>
      <c r="AJ569" s="1">
        <v>17.0</v>
      </c>
      <c r="AK569" s="1">
        <v>17.0</v>
      </c>
      <c r="AL569" s="1">
        <v>140.0</v>
      </c>
      <c r="AM569" s="1" t="s">
        <v>55</v>
      </c>
      <c r="AN569" s="1">
        <v>22.0</v>
      </c>
      <c r="AO569" s="1" t="s">
        <v>55</v>
      </c>
      <c r="AP569" s="1" t="s">
        <v>2968</v>
      </c>
      <c r="AQ569" s="3" t="str">
        <f>HYPERLINK("https://icf.clappia.com/app/GMB253374/submission/CHY76854567/ICF247370-GMB253374-n02l9nnac2a40000000/SIG-20250701_1442o031g.jpeg", "SIG-20250701_1442o031g.jpeg")</f>
        <v>SIG-20250701_1442o031g.jpeg</v>
      </c>
      <c r="AR569" s="1" t="s">
        <v>1683</v>
      </c>
      <c r="AS569" s="3" t="str">
        <f>HYPERLINK("https://icf.clappia.com/app/GMB253374/submission/CHY76854567/ICF247370-GMB253374-ffg43nn6jk5k0000000/SIG-20250701_1303keei6.jpeg", "SIG-20250701_1303keei6.jpeg")</f>
        <v>SIG-20250701_1303keei6.jpeg</v>
      </c>
      <c r="AT569" s="1" t="s">
        <v>1682</v>
      </c>
      <c r="AU569" s="3" t="str">
        <f>HYPERLINK("https://icf.clappia.com/app/GMB253374/submission/CHY76854567/ICF247370-GMB253374-2gb6g7jl0ofi00000000/SIG-20250701_1447180j7.jpeg", "SIG-20250701_1447180j7.jpeg")</f>
        <v>SIG-20250701_1447180j7.jpeg</v>
      </c>
      <c r="AV569" s="3" t="str">
        <f>HYPERLINK("https://www.google.com/maps/place/9.079015%2C-12.3156616", "9.079015,-12.3156616")</f>
        <v>9.079015,-12.3156616</v>
      </c>
    </row>
    <row r="570" ht="15.75" customHeight="1">
      <c r="A570" s="1" t="s">
        <v>2969</v>
      </c>
      <c r="B570" s="1" t="s">
        <v>81</v>
      </c>
      <c r="C570" s="1" t="s">
        <v>2970</v>
      </c>
      <c r="D570" s="1" t="s">
        <v>2970</v>
      </c>
      <c r="E570" s="1" t="s">
        <v>2971</v>
      </c>
      <c r="F570" s="1" t="s">
        <v>49</v>
      </c>
      <c r="G570" s="1">
        <v>84.0</v>
      </c>
      <c r="H570" s="1" t="s">
        <v>50</v>
      </c>
      <c r="I570" s="1">
        <v>15.0</v>
      </c>
      <c r="J570" s="1">
        <v>10.0</v>
      </c>
      <c r="K570" s="1">
        <v>10.0</v>
      </c>
      <c r="L570" s="1">
        <v>5.0</v>
      </c>
      <c r="M570" s="1">
        <v>5.0</v>
      </c>
      <c r="N570" s="1" t="s">
        <v>51</v>
      </c>
      <c r="O570" s="1">
        <v>16.0</v>
      </c>
      <c r="P570" s="1">
        <v>9.0</v>
      </c>
      <c r="Q570" s="1">
        <v>9.0</v>
      </c>
      <c r="R570" s="1">
        <v>7.0</v>
      </c>
      <c r="S570" s="1">
        <v>7.0</v>
      </c>
      <c r="T570" s="1" t="s">
        <v>52</v>
      </c>
      <c r="U570" s="1">
        <v>16.0</v>
      </c>
      <c r="V570" s="1">
        <v>6.0</v>
      </c>
      <c r="W570" s="1">
        <v>6.0</v>
      </c>
      <c r="X570" s="1">
        <v>10.0</v>
      </c>
      <c r="Y570" s="1">
        <v>10.0</v>
      </c>
      <c r="Z570" s="1" t="s">
        <v>53</v>
      </c>
      <c r="AA570" s="1">
        <v>19.0</v>
      </c>
      <c r="AB570" s="1">
        <v>4.0</v>
      </c>
      <c r="AC570" s="1">
        <v>4.0</v>
      </c>
      <c r="AD570" s="1">
        <v>15.0</v>
      </c>
      <c r="AE570" s="1">
        <v>13.0</v>
      </c>
      <c r="AF570" s="1" t="s">
        <v>54</v>
      </c>
      <c r="AG570" s="1">
        <v>18.0</v>
      </c>
      <c r="AH570" s="1">
        <v>10.0</v>
      </c>
      <c r="AI570" s="1">
        <v>8.0</v>
      </c>
      <c r="AJ570" s="1">
        <v>8.0</v>
      </c>
      <c r="AK570" s="1">
        <v>7.0</v>
      </c>
      <c r="AL570" s="1">
        <v>79.0</v>
      </c>
      <c r="AM570" s="1">
        <v>5.0</v>
      </c>
      <c r="AN570" s="1" t="s">
        <v>55</v>
      </c>
      <c r="AO570" s="1" t="s">
        <v>55</v>
      </c>
      <c r="AP570" s="1" t="s">
        <v>989</v>
      </c>
      <c r="AQ570" s="3" t="str">
        <f>HYPERLINK("https://icf.clappia.com/app/GMB253374/submission/WEE47238490/ICF247370-GMB253374-1pbggim1dna6k0000000/SIG-20250701_103818gl5j.jpeg", "SIG-20250701_103818gl5j.jpeg")</f>
        <v>SIG-20250701_103818gl5j.jpeg</v>
      </c>
      <c r="AR570" s="1" t="s">
        <v>2972</v>
      </c>
      <c r="AS570" s="3" t="str">
        <f>HYPERLINK("https://icf.clappia.com/app/GMB253374/submission/WEE47238490/ICF247370-GMB253374-420g2486mo1800000000/SIG-20250701_1057pcb6d.jpeg", "SIG-20250701_1057pcb6d.jpeg")</f>
        <v>SIG-20250701_1057pcb6d.jpeg</v>
      </c>
      <c r="AT570" s="1" t="s">
        <v>1419</v>
      </c>
      <c r="AU570" s="3" t="str">
        <f>HYPERLINK("https://icf.clappia.com/app/GMB253374/submission/WEE47238490/ICF247370-GMB253374-4aaj92hhb8bc00000000/SIG-20250701_1037ffed7.jpeg", "SIG-20250701_1037ffed7.jpeg")</f>
        <v>SIG-20250701_1037ffed7.jpeg</v>
      </c>
      <c r="AV570" s="3" t="str">
        <f>HYPERLINK("https://www.google.com/maps/place/7.9652922%2C-11.7675158", "7.9652922,-11.7675158")</f>
        <v>7.9652922,-11.7675158</v>
      </c>
    </row>
    <row r="571" ht="15.75" customHeight="1">
      <c r="A571" s="1" t="s">
        <v>2973</v>
      </c>
      <c r="B571" s="1" t="s">
        <v>161</v>
      </c>
      <c r="C571" s="1" t="s">
        <v>2970</v>
      </c>
      <c r="D571" s="1" t="s">
        <v>2970</v>
      </c>
      <c r="E571" s="1" t="s">
        <v>2974</v>
      </c>
      <c r="F571" s="1" t="s">
        <v>64</v>
      </c>
      <c r="G571" s="1">
        <v>232.0</v>
      </c>
      <c r="H571" s="1" t="s">
        <v>50</v>
      </c>
      <c r="I571" s="1">
        <v>78.0</v>
      </c>
      <c r="J571" s="1">
        <v>45.0</v>
      </c>
      <c r="K571" s="1">
        <v>15.0</v>
      </c>
      <c r="L571" s="1">
        <v>33.0</v>
      </c>
      <c r="M571" s="1">
        <v>4.0</v>
      </c>
      <c r="N571" s="1" t="s">
        <v>51</v>
      </c>
      <c r="O571" s="1">
        <v>38.0</v>
      </c>
      <c r="P571" s="1">
        <v>25.0</v>
      </c>
      <c r="Q571" s="1">
        <v>6.0</v>
      </c>
      <c r="R571" s="1">
        <v>13.0</v>
      </c>
      <c r="S571" s="1">
        <v>11.0</v>
      </c>
      <c r="T571" s="1" t="s">
        <v>52</v>
      </c>
      <c r="U571" s="1">
        <v>30.0</v>
      </c>
      <c r="V571" s="1">
        <v>18.0</v>
      </c>
      <c r="W571" s="1">
        <v>12.0</v>
      </c>
      <c r="X571" s="1">
        <v>12.0</v>
      </c>
      <c r="Y571" s="1">
        <v>10.0</v>
      </c>
      <c r="Z571" s="1" t="s">
        <v>53</v>
      </c>
      <c r="AA571" s="1">
        <v>34.0</v>
      </c>
      <c r="AB571" s="1">
        <v>24.0</v>
      </c>
      <c r="AC571" s="1">
        <v>10.0</v>
      </c>
      <c r="AD571" s="1">
        <v>10.0</v>
      </c>
      <c r="AE571" s="1">
        <v>9.0</v>
      </c>
      <c r="AF571" s="1" t="s">
        <v>54</v>
      </c>
      <c r="AG571" s="1">
        <v>25.0</v>
      </c>
      <c r="AH571" s="1">
        <v>13.0</v>
      </c>
      <c r="AI571" s="1">
        <v>4.0</v>
      </c>
      <c r="AJ571" s="1">
        <v>12.0</v>
      </c>
      <c r="AK571" s="1">
        <v>11.0</v>
      </c>
      <c r="AL571" s="1">
        <v>92.0</v>
      </c>
      <c r="AM571" s="1">
        <v>10.0</v>
      </c>
      <c r="AN571" s="1">
        <v>130.0</v>
      </c>
      <c r="AO571" s="1">
        <v>130.0</v>
      </c>
      <c r="AP571" s="1" t="s">
        <v>708</v>
      </c>
      <c r="AQ571" s="3" t="str">
        <f>HYPERLINK("https://icf.clappia.com/app/GMB253374/submission/OIX20717634/ICF247370-GMB253374-4hkj7hao7alc00000000/SIG-20250701_1442omblo.jpeg", "SIG-20250701_1442omblo.jpeg")</f>
        <v>SIG-20250701_1442omblo.jpeg</v>
      </c>
      <c r="AR571" s="1" t="s">
        <v>709</v>
      </c>
      <c r="AS571" s="3" t="str">
        <f>HYPERLINK("https://icf.clappia.com/app/GMB253374/submission/OIX20717634/ICF247370-GMB253374-518dpm52lia800000000/SIG-20250701_1445h2j23.jpeg", "SIG-20250701_1445h2j23.jpeg")</f>
        <v>SIG-20250701_1445h2j23.jpeg</v>
      </c>
      <c r="AT571" s="1" t="s">
        <v>710</v>
      </c>
      <c r="AU571" s="3" t="str">
        <f>HYPERLINK("https://icf.clappia.com/app/GMB253374/submission/OIX20717634/ICF247370-GMB253374-265icnkjmf98e0000000/SIG-20250701_1443ib0bl.jpeg", "SIG-20250701_1443ib0bl.jpeg")</f>
        <v>SIG-20250701_1443ib0bl.jpeg</v>
      </c>
      <c r="AV571" s="3" t="str">
        <f>HYPERLINK("https://www.google.com/maps/place/7.9453333%2C-11.708105", "7.9453333,-11.708105")</f>
        <v>7.9453333,-11.708105</v>
      </c>
    </row>
    <row r="572" ht="15.75" customHeight="1">
      <c r="A572" s="1" t="s">
        <v>2975</v>
      </c>
      <c r="B572" s="1" t="s">
        <v>167</v>
      </c>
      <c r="C572" s="1" t="s">
        <v>2976</v>
      </c>
      <c r="D572" s="1" t="s">
        <v>2976</v>
      </c>
      <c r="E572" s="1" t="s">
        <v>2977</v>
      </c>
      <c r="F572" s="1" t="s">
        <v>64</v>
      </c>
      <c r="G572" s="1">
        <v>196.0</v>
      </c>
      <c r="H572" s="1" t="s">
        <v>50</v>
      </c>
      <c r="I572" s="1">
        <v>42.0</v>
      </c>
      <c r="J572" s="1">
        <v>28.0</v>
      </c>
      <c r="K572" s="1">
        <v>28.0</v>
      </c>
      <c r="L572" s="1">
        <v>12.0</v>
      </c>
      <c r="M572" s="1">
        <v>12.0</v>
      </c>
      <c r="N572" s="1" t="s">
        <v>51</v>
      </c>
      <c r="O572" s="1">
        <v>23.0</v>
      </c>
      <c r="P572" s="1">
        <v>8.0</v>
      </c>
      <c r="Q572" s="1">
        <v>8.0</v>
      </c>
      <c r="R572" s="1">
        <v>12.0</v>
      </c>
      <c r="S572" s="1">
        <v>12.0</v>
      </c>
      <c r="T572" s="1" t="s">
        <v>52</v>
      </c>
      <c r="U572" s="1">
        <v>19.0</v>
      </c>
      <c r="V572" s="1">
        <v>8.0</v>
      </c>
      <c r="W572" s="1">
        <v>8.0</v>
      </c>
      <c r="X572" s="1">
        <v>10.0</v>
      </c>
      <c r="Y572" s="1">
        <v>10.0</v>
      </c>
      <c r="Z572" s="1" t="s">
        <v>53</v>
      </c>
      <c r="AA572" s="1">
        <v>18.0</v>
      </c>
      <c r="AB572" s="1">
        <v>10.0</v>
      </c>
      <c r="AC572" s="1">
        <v>10.0</v>
      </c>
      <c r="AD572" s="1">
        <v>6.0</v>
      </c>
      <c r="AE572" s="1">
        <v>6.0</v>
      </c>
      <c r="AF572" s="1" t="s">
        <v>54</v>
      </c>
      <c r="AG572" s="1">
        <v>14.0</v>
      </c>
      <c r="AH572" s="1">
        <v>6.0</v>
      </c>
      <c r="AI572" s="1">
        <v>6.0</v>
      </c>
      <c r="AJ572" s="1">
        <v>8.0</v>
      </c>
      <c r="AK572" s="1">
        <v>8.0</v>
      </c>
      <c r="AL572" s="1">
        <v>108.0</v>
      </c>
      <c r="AM572" s="1">
        <v>8.0</v>
      </c>
      <c r="AN572" s="1">
        <v>80.0</v>
      </c>
      <c r="AO572" s="1">
        <v>80.0</v>
      </c>
      <c r="AP572" s="1" t="s">
        <v>1475</v>
      </c>
      <c r="AQ572" s="3" t="str">
        <f>HYPERLINK("https://icf.clappia.com/app/GMB253374/submission/DMR35106964/ICF247370-GMB253374-4cm3fl85b6f800000000/SIG-20250701_143914e3cc.jpeg", "SIG-20250701_143914e3cc.jpeg")</f>
        <v>SIG-20250701_143914e3cc.jpeg</v>
      </c>
      <c r="AR572" s="1" t="s">
        <v>1476</v>
      </c>
      <c r="AS572" s="3" t="str">
        <f>HYPERLINK("https://icf.clappia.com/app/GMB253374/submission/DMR35106964/ICF247370-GMB253374-94ndnc2g4lo00000000/SIG-20250701_14399b984.jpeg", "SIG-20250701_14399b984.jpeg")</f>
        <v>SIG-20250701_14399b984.jpeg</v>
      </c>
      <c r="AT572" s="1" t="s">
        <v>1477</v>
      </c>
      <c r="AU572" s="3" t="str">
        <f>HYPERLINK("https://icf.clappia.com/app/GMB253374/submission/DMR35106964/ICF247370-GMB253374-55ba6d6gi80c00000000/SIG-20250701_1440k1pda.jpeg", "SIG-20250701_1440k1pda.jpeg")</f>
        <v>SIG-20250701_1440k1pda.jpeg</v>
      </c>
      <c r="AV572" s="3" t="str">
        <f>HYPERLINK("https://www.google.com/maps/place/7.8116767%2C-11.7933633", "7.8116767,-11.7933633")</f>
        <v>7.8116767,-11.7933633</v>
      </c>
    </row>
    <row r="573" ht="15.75" customHeight="1">
      <c r="A573" s="1" t="s">
        <v>2978</v>
      </c>
      <c r="B573" s="1" t="s">
        <v>60</v>
      </c>
      <c r="C573" s="1" t="s">
        <v>2979</v>
      </c>
      <c r="D573" s="1" t="s">
        <v>2979</v>
      </c>
      <c r="E573" s="1" t="s">
        <v>2980</v>
      </c>
      <c r="F573" s="1" t="s">
        <v>64</v>
      </c>
      <c r="G573" s="1">
        <v>310.0</v>
      </c>
      <c r="H573" s="1" t="s">
        <v>50</v>
      </c>
      <c r="I573" s="1">
        <v>65.0</v>
      </c>
      <c r="J573" s="1">
        <v>30.0</v>
      </c>
      <c r="K573" s="1">
        <v>20.0</v>
      </c>
      <c r="L573" s="1">
        <v>35.0</v>
      </c>
      <c r="M573" s="1">
        <v>25.0</v>
      </c>
      <c r="N573" s="1" t="s">
        <v>51</v>
      </c>
      <c r="O573" s="1">
        <v>58.0</v>
      </c>
      <c r="P573" s="1">
        <v>30.0</v>
      </c>
      <c r="Q573" s="1">
        <v>26.0</v>
      </c>
      <c r="R573" s="1">
        <v>28.0</v>
      </c>
      <c r="S573" s="1">
        <v>23.0</v>
      </c>
      <c r="T573" s="1" t="s">
        <v>52</v>
      </c>
      <c r="U573" s="1">
        <v>55.0</v>
      </c>
      <c r="V573" s="1">
        <v>30.0</v>
      </c>
      <c r="W573" s="1">
        <v>28.0</v>
      </c>
      <c r="X573" s="1">
        <v>25.0</v>
      </c>
      <c r="Y573" s="1">
        <v>25.0</v>
      </c>
      <c r="Z573" s="1" t="s">
        <v>53</v>
      </c>
      <c r="AA573" s="1">
        <v>59.0</v>
      </c>
      <c r="AB573" s="1">
        <v>31.0</v>
      </c>
      <c r="AC573" s="1">
        <v>30.0</v>
      </c>
      <c r="AD573" s="1">
        <v>28.0</v>
      </c>
      <c r="AE573" s="1">
        <v>26.0</v>
      </c>
      <c r="AF573" s="1" t="s">
        <v>54</v>
      </c>
      <c r="AG573" s="1">
        <v>73.0</v>
      </c>
      <c r="AH573" s="1">
        <v>35.0</v>
      </c>
      <c r="AI573" s="1">
        <v>30.0</v>
      </c>
      <c r="AJ573" s="1">
        <v>38.0</v>
      </c>
      <c r="AK573" s="1">
        <v>35.0</v>
      </c>
      <c r="AL573" s="1">
        <v>268.0</v>
      </c>
      <c r="AM573" s="1" t="s">
        <v>55</v>
      </c>
      <c r="AN573" s="1">
        <v>42.0</v>
      </c>
      <c r="AO573" s="1">
        <v>42.0</v>
      </c>
      <c r="AP573" s="1" t="s">
        <v>2713</v>
      </c>
      <c r="AQ573" s="3" t="str">
        <f>HYPERLINK("https://icf.clappia.com/app/GMB253374/submission/JJN10363706/ICF247370-GMB253374-1m7ipdcjbjoja0000000/SIG-20250701_143313m52g.jpeg", "SIG-20250701_143313m52g.jpeg")</f>
        <v>SIG-20250701_143313m52g.jpeg</v>
      </c>
      <c r="AR573" s="1" t="s">
        <v>2714</v>
      </c>
      <c r="AS573" s="3" t="str">
        <f>HYPERLINK("https://icf.clappia.com/app/GMB253374/submission/JJN10363706/ICF247370-GMB253374-1a8272g666mfi0000000/SIG-20250701_14333i10a.jpeg", "SIG-20250701_14333i10a.jpeg")</f>
        <v>SIG-20250701_14333i10a.jpeg</v>
      </c>
      <c r="AT573" s="1" t="s">
        <v>2715</v>
      </c>
      <c r="AU573" s="3" t="str">
        <f>HYPERLINK("https://icf.clappia.com/app/GMB253374/submission/JJN10363706/ICF247370-GMB253374-25dld07nh8p5a0000000/SIG-20250701_1434lbkm9.jpeg", "SIG-20250701_1434lbkm9.jpeg")</f>
        <v>SIG-20250701_1434lbkm9.jpeg</v>
      </c>
      <c r="AV573" s="3" t="str">
        <f>HYPERLINK("https://www.google.com/maps/place/7.9782617%2C-11.7354133", "7.9782617,-11.7354133")</f>
        <v>7.9782617,-11.7354133</v>
      </c>
    </row>
    <row r="574" ht="15.75" customHeight="1">
      <c r="A574" s="1" t="s">
        <v>2981</v>
      </c>
      <c r="B574" s="1" t="s">
        <v>60</v>
      </c>
      <c r="C574" s="1" t="s">
        <v>2979</v>
      </c>
      <c r="D574" s="1" t="s">
        <v>2979</v>
      </c>
      <c r="E574" s="1" t="s">
        <v>2982</v>
      </c>
      <c r="F574" s="1" t="s">
        <v>64</v>
      </c>
      <c r="G574" s="1">
        <v>250.0</v>
      </c>
      <c r="H574" s="1" t="s">
        <v>50</v>
      </c>
      <c r="I574" s="1">
        <v>100.0</v>
      </c>
      <c r="J574" s="1">
        <v>47.0</v>
      </c>
      <c r="K574" s="1">
        <v>46.0</v>
      </c>
      <c r="L574" s="1">
        <v>53.0</v>
      </c>
      <c r="M574" s="1">
        <v>52.0</v>
      </c>
      <c r="N574" s="1" t="s">
        <v>51</v>
      </c>
      <c r="O574" s="1">
        <v>35.0</v>
      </c>
      <c r="P574" s="1">
        <v>16.0</v>
      </c>
      <c r="Q574" s="1">
        <v>16.0</v>
      </c>
      <c r="R574" s="1">
        <v>19.0</v>
      </c>
      <c r="S574" s="1">
        <v>19.0</v>
      </c>
      <c r="T574" s="1" t="s">
        <v>52</v>
      </c>
      <c r="U574" s="1">
        <v>27.0</v>
      </c>
      <c r="V574" s="1">
        <v>15.0</v>
      </c>
      <c r="W574" s="1">
        <v>15.0</v>
      </c>
      <c r="X574" s="1">
        <v>12.0</v>
      </c>
      <c r="Y574" s="1">
        <v>12.0</v>
      </c>
      <c r="Z574" s="1" t="s">
        <v>53</v>
      </c>
      <c r="AA574" s="1">
        <v>40.0</v>
      </c>
      <c r="AB574" s="1">
        <v>22.0</v>
      </c>
      <c r="AC574" s="1">
        <v>22.0</v>
      </c>
      <c r="AD574" s="1">
        <v>18.0</v>
      </c>
      <c r="AE574" s="1">
        <v>15.0</v>
      </c>
      <c r="AF574" s="1" t="s">
        <v>54</v>
      </c>
      <c r="AG574" s="1">
        <v>27.0</v>
      </c>
      <c r="AH574" s="1">
        <v>12.0</v>
      </c>
      <c r="AI574" s="1">
        <v>11.0</v>
      </c>
      <c r="AJ574" s="1">
        <v>15.0</v>
      </c>
      <c r="AK574" s="1">
        <v>13.0</v>
      </c>
      <c r="AL574" s="1">
        <v>221.0</v>
      </c>
      <c r="AM574" s="1">
        <v>8.0</v>
      </c>
      <c r="AN574" s="1">
        <v>21.0</v>
      </c>
      <c r="AO574" s="1">
        <v>20.0</v>
      </c>
      <c r="AP574" s="1" t="s">
        <v>2983</v>
      </c>
      <c r="AQ574" s="3" t="str">
        <f>HYPERLINK("https://icf.clappia.com/app/GMB253374/submission/JBP93306959/ICF247370-GMB253374-4be31i3l4hpo0000000/SIG-20250701_13381g19j.jpeg", "SIG-20250701_13381g19j.jpeg")</f>
        <v>SIG-20250701_13381g19j.jpeg</v>
      </c>
      <c r="AR574" s="1" t="s">
        <v>2984</v>
      </c>
      <c r="AS574" s="3" t="str">
        <f>HYPERLINK("https://icf.clappia.com/app/GMB253374/submission/JBP93306959/ICF247370-GMB253374-15o1m9i7k4fe80000000/SIG-20250701_1234b6fko.jpeg", "SIG-20250701_1234b6fko.jpeg")</f>
        <v>SIG-20250701_1234b6fko.jpeg</v>
      </c>
      <c r="AT574" s="1" t="s">
        <v>2985</v>
      </c>
      <c r="AU574" s="3" t="str">
        <f>HYPERLINK("https://icf.clappia.com/app/GMB253374/submission/JBP93306959/ICF247370-GMB253374-25nm5mf67ogac0000000/SIG-20250701_1338e9pp7.jpeg", "SIG-20250701_1338e9pp7.jpeg")</f>
        <v>SIG-20250701_1338e9pp7.jpeg</v>
      </c>
      <c r="AV574" s="3" t="str">
        <f>HYPERLINK("https://www.google.com/maps/place/8.9153927%2C-12.2106692", "8.9153927,-12.2106692")</f>
        <v>8.9153927,-12.2106692</v>
      </c>
    </row>
    <row r="575" ht="15.75" customHeight="1">
      <c r="A575" s="1" t="s">
        <v>2986</v>
      </c>
      <c r="B575" s="1" t="s">
        <v>167</v>
      </c>
      <c r="C575" s="1" t="s">
        <v>2987</v>
      </c>
      <c r="D575" s="1" t="s">
        <v>2987</v>
      </c>
      <c r="E575" s="1" t="s">
        <v>2988</v>
      </c>
      <c r="F575" s="1" t="s">
        <v>64</v>
      </c>
      <c r="G575" s="1">
        <v>450.0</v>
      </c>
      <c r="H575" s="1" t="s">
        <v>50</v>
      </c>
      <c r="I575" s="1">
        <v>80.0</v>
      </c>
      <c r="J575" s="1">
        <v>32.0</v>
      </c>
      <c r="K575" s="1">
        <v>24.0</v>
      </c>
      <c r="L575" s="1">
        <v>48.0</v>
      </c>
      <c r="M575" s="1">
        <v>42.0</v>
      </c>
      <c r="N575" s="1" t="s">
        <v>51</v>
      </c>
      <c r="O575" s="1">
        <v>94.0</v>
      </c>
      <c r="P575" s="1">
        <v>48.0</v>
      </c>
      <c r="Q575" s="1">
        <v>45.0</v>
      </c>
      <c r="R575" s="1">
        <v>46.0</v>
      </c>
      <c r="S575" s="1">
        <v>42.0</v>
      </c>
      <c r="T575" s="1" t="s">
        <v>52</v>
      </c>
      <c r="U575" s="1">
        <v>94.0</v>
      </c>
      <c r="V575" s="1">
        <v>59.0</v>
      </c>
      <c r="W575" s="1">
        <v>59.0</v>
      </c>
      <c r="X575" s="1">
        <v>35.0</v>
      </c>
      <c r="Y575" s="1">
        <v>35.0</v>
      </c>
      <c r="Z575" s="1" t="s">
        <v>53</v>
      </c>
      <c r="AA575" s="1">
        <v>99.0</v>
      </c>
      <c r="AB575" s="1">
        <v>49.0</v>
      </c>
      <c r="AC575" s="1">
        <v>49.0</v>
      </c>
      <c r="AD575" s="1">
        <v>50.0</v>
      </c>
      <c r="AE575" s="1">
        <v>50.0</v>
      </c>
      <c r="AF575" s="1" t="s">
        <v>54</v>
      </c>
      <c r="AG575" s="1">
        <v>78.0</v>
      </c>
      <c r="AH575" s="1">
        <v>38.0</v>
      </c>
      <c r="AI575" s="1">
        <v>38.0</v>
      </c>
      <c r="AJ575" s="1">
        <v>40.0</v>
      </c>
      <c r="AK575" s="1">
        <v>40.0</v>
      </c>
      <c r="AL575" s="1">
        <v>424.0</v>
      </c>
      <c r="AM575" s="1">
        <v>8.0</v>
      </c>
      <c r="AN575" s="1">
        <v>18.0</v>
      </c>
      <c r="AO575" s="1" t="s">
        <v>55</v>
      </c>
      <c r="AP575" s="1" t="s">
        <v>2096</v>
      </c>
      <c r="AQ575" s="3" t="str">
        <f>HYPERLINK("https://icf.clappia.com/app/GMB253374/submission/ZHT89184387/ICF247370-GMB253374-14mjgbn6p1j6g0000000/SIG-20250701_141314cf8j.jpeg", "SIG-20250701_141314cf8j.jpeg")</f>
        <v>SIG-20250701_141314cf8j.jpeg</v>
      </c>
      <c r="AR575" s="1" t="s">
        <v>2989</v>
      </c>
      <c r="AS575" s="3" t="str">
        <f>HYPERLINK("https://icf.clappia.com/app/GMB253374/submission/ZHT89184387/ICF247370-GMB253374-5kg5gddn022400000000/SIG-20250701_141415j97n.jpeg", "SIG-20250701_141415j97n.jpeg")</f>
        <v>SIG-20250701_141415j97n.jpeg</v>
      </c>
      <c r="AT575" s="1" t="s">
        <v>2990</v>
      </c>
      <c r="AU575" s="3" t="str">
        <f>HYPERLINK("https://icf.clappia.com/app/GMB253374/submission/ZHT89184387/ICF247370-GMB253374-ndamc363l3eg0000000/SIG-20250701_1415150i43.jpeg", "SIG-20250701_1415150i43.jpeg")</f>
        <v>SIG-20250701_1415150i43.jpeg</v>
      </c>
      <c r="AV575" s="3" t="str">
        <f>HYPERLINK("https://www.google.com/maps/place/7.9407545%2C-11.7409317", "7.9407545,-11.7409317")</f>
        <v>7.9407545,-11.7409317</v>
      </c>
    </row>
    <row r="576" ht="15.75" customHeight="1">
      <c r="A576" s="1" t="s">
        <v>2991</v>
      </c>
      <c r="B576" s="1" t="s">
        <v>438</v>
      </c>
      <c r="C576" s="1" t="s">
        <v>2987</v>
      </c>
      <c r="D576" s="1" t="s">
        <v>2987</v>
      </c>
      <c r="E576" s="1" t="s">
        <v>2992</v>
      </c>
      <c r="F576" s="1" t="s">
        <v>64</v>
      </c>
      <c r="G576" s="1">
        <v>140.0</v>
      </c>
      <c r="H576" s="1" t="s">
        <v>50</v>
      </c>
      <c r="I576" s="1">
        <v>58.0</v>
      </c>
      <c r="J576" s="1">
        <v>30.0</v>
      </c>
      <c r="K576" s="1">
        <v>29.0</v>
      </c>
      <c r="L576" s="1">
        <v>28.0</v>
      </c>
      <c r="M576" s="1">
        <v>26.0</v>
      </c>
      <c r="N576" s="1" t="s">
        <v>51</v>
      </c>
      <c r="O576" s="1">
        <v>33.0</v>
      </c>
      <c r="P576" s="1">
        <v>15.0</v>
      </c>
      <c r="Q576" s="1">
        <v>15.0</v>
      </c>
      <c r="R576" s="1">
        <v>18.0</v>
      </c>
      <c r="S576" s="1">
        <v>16.0</v>
      </c>
      <c r="T576" s="1" t="s">
        <v>52</v>
      </c>
      <c r="U576" s="1">
        <v>40.0</v>
      </c>
      <c r="V576" s="1">
        <v>20.0</v>
      </c>
      <c r="W576" s="1">
        <v>18.0</v>
      </c>
      <c r="X576" s="1">
        <v>20.0</v>
      </c>
      <c r="Y576" s="1">
        <v>17.0</v>
      </c>
      <c r="Z576" s="1" t="s">
        <v>53</v>
      </c>
      <c r="AA576" s="1" t="s">
        <v>55</v>
      </c>
      <c r="AB576" s="1" t="s">
        <v>55</v>
      </c>
      <c r="AC576" s="1" t="s">
        <v>55</v>
      </c>
      <c r="AD576" s="1" t="s">
        <v>55</v>
      </c>
      <c r="AE576" s="1" t="s">
        <v>55</v>
      </c>
      <c r="AF576" s="1" t="s">
        <v>54</v>
      </c>
      <c r="AG576" s="1" t="s">
        <v>55</v>
      </c>
      <c r="AH576" s="1" t="s">
        <v>55</v>
      </c>
      <c r="AI576" s="1" t="s">
        <v>55</v>
      </c>
      <c r="AJ576" s="1" t="s">
        <v>55</v>
      </c>
      <c r="AK576" s="1" t="s">
        <v>55</v>
      </c>
      <c r="AL576" s="1">
        <v>121.0</v>
      </c>
      <c r="AM576" s="1" t="s">
        <v>55</v>
      </c>
      <c r="AN576" s="1">
        <v>19.0</v>
      </c>
      <c r="AO576" s="1">
        <v>19.0</v>
      </c>
      <c r="AP576" s="1" t="s">
        <v>1000</v>
      </c>
      <c r="AQ576" s="3" t="str">
        <f>HYPERLINK("https://icf.clappia.com/app/GMB253374/submission/RLN50140199/ICF247370-GMB253374-4lmf73ij9n5c00000000/SIG-20250701_1424lego1.jpeg", "SIG-20250701_1424lego1.jpeg")</f>
        <v>SIG-20250701_1424lego1.jpeg</v>
      </c>
      <c r="AR576" s="1" t="s">
        <v>2993</v>
      </c>
      <c r="AS576" s="3" t="str">
        <f>HYPERLINK("https://icf.clappia.com/app/GMB253374/submission/RLN50140199/ICF247370-GMB253374-4kl7am0l4p6k00000000/SIG-20250701_1426kfh10.jpeg", "SIG-20250701_1426kfh10.jpeg")</f>
        <v>SIG-20250701_1426kfh10.jpeg</v>
      </c>
      <c r="AT576" s="1" t="s">
        <v>1002</v>
      </c>
      <c r="AU576" s="3" t="str">
        <f>HYPERLINK("https://icf.clappia.com/app/GMB253374/submission/RLN50140199/ICF247370-GMB253374-66j022483ce800000000/SIG-20250701_1427l044g.jpeg", "SIG-20250701_1427l044g.jpeg")</f>
        <v>SIG-20250701_1427l044g.jpeg</v>
      </c>
      <c r="AV576" s="3" t="str">
        <f>HYPERLINK("https://www.google.com/maps/place/7.6116817%2C-11.8634633", "7.6116817,-11.8634633")</f>
        <v>7.6116817,-11.8634633</v>
      </c>
    </row>
    <row r="577" ht="15.75" customHeight="1">
      <c r="A577" s="1" t="s">
        <v>2994</v>
      </c>
      <c r="B577" s="1" t="s">
        <v>438</v>
      </c>
      <c r="C577" s="1" t="s">
        <v>2995</v>
      </c>
      <c r="D577" s="1" t="s">
        <v>2995</v>
      </c>
      <c r="E577" s="1" t="s">
        <v>2996</v>
      </c>
      <c r="F577" s="1" t="s">
        <v>64</v>
      </c>
      <c r="G577" s="1">
        <v>150.0</v>
      </c>
      <c r="H577" s="1" t="s">
        <v>50</v>
      </c>
      <c r="I577" s="1">
        <v>70.0</v>
      </c>
      <c r="J577" s="1">
        <v>25.0</v>
      </c>
      <c r="K577" s="1">
        <v>25.0</v>
      </c>
      <c r="L577" s="1">
        <v>45.0</v>
      </c>
      <c r="M577" s="1">
        <v>45.0</v>
      </c>
      <c r="N577" s="1" t="s">
        <v>51</v>
      </c>
      <c r="O577" s="1">
        <v>57.0</v>
      </c>
      <c r="P577" s="1">
        <v>32.0</v>
      </c>
      <c r="Q577" s="1">
        <v>32.0</v>
      </c>
      <c r="R577" s="1">
        <v>25.0</v>
      </c>
      <c r="S577" s="1">
        <v>25.0</v>
      </c>
      <c r="T577" s="1" t="s">
        <v>52</v>
      </c>
      <c r="U577" s="1">
        <v>64.0</v>
      </c>
      <c r="V577" s="1">
        <v>23.0</v>
      </c>
      <c r="W577" s="1">
        <v>23.0</v>
      </c>
      <c r="X577" s="1" t="s">
        <v>55</v>
      </c>
      <c r="Y577" s="1" t="s">
        <v>55</v>
      </c>
      <c r="Z577" s="1" t="s">
        <v>53</v>
      </c>
      <c r="AA577" s="1" t="s">
        <v>55</v>
      </c>
      <c r="AB577" s="1" t="s">
        <v>55</v>
      </c>
      <c r="AC577" s="1" t="s">
        <v>55</v>
      </c>
      <c r="AD577" s="1" t="s">
        <v>55</v>
      </c>
      <c r="AE577" s="1" t="s">
        <v>55</v>
      </c>
      <c r="AF577" s="1" t="s">
        <v>54</v>
      </c>
      <c r="AG577" s="1" t="s">
        <v>55</v>
      </c>
      <c r="AH577" s="1" t="s">
        <v>55</v>
      </c>
      <c r="AI577" s="1" t="s">
        <v>55</v>
      </c>
      <c r="AJ577" s="1" t="s">
        <v>55</v>
      </c>
      <c r="AK577" s="1" t="s">
        <v>55</v>
      </c>
      <c r="AL577" s="1">
        <v>150.0</v>
      </c>
      <c r="AM577" s="1" t="s">
        <v>55</v>
      </c>
      <c r="AN577" s="1" t="s">
        <v>55</v>
      </c>
      <c r="AO577" s="1" t="s">
        <v>55</v>
      </c>
      <c r="AP577" s="1" t="s">
        <v>2997</v>
      </c>
      <c r="AQ577" s="3" t="str">
        <f>HYPERLINK("https://icf.clappia.com/app/GMB253374/submission/QCH72376822/ICF247370-GMB253374-4ce3cfked58k00000000/SIG-20250630_1522eamei.jpeg", "SIG-20250630_1522eamei.jpeg")</f>
        <v>SIG-20250630_1522eamei.jpeg</v>
      </c>
      <c r="AR577" s="1" t="s">
        <v>2998</v>
      </c>
      <c r="AS577" s="3" t="str">
        <f>HYPERLINK("https://icf.clappia.com/app/GMB253374/submission/QCH72376822/ICF247370-GMB253374-484fiocb6h8c00000000/SIG-20250630_1526me4h7.jpeg", "SIG-20250630_1526me4h7.jpeg")</f>
        <v>SIG-20250630_1526me4h7.jpeg</v>
      </c>
      <c r="AT577" s="1" t="s">
        <v>2999</v>
      </c>
      <c r="AU577" s="3" t="str">
        <f>HYPERLINK("https://icf.clappia.com/app/GMB253374/submission/QCH72376822/ICF247370-GMB253374-36hi9cha162400000000/SIG-20250630_15221ahlo.jpeg", "SIG-20250630_15221ahlo.jpeg")</f>
        <v>SIG-20250630_15221ahlo.jpeg</v>
      </c>
      <c r="AV577" s="3" t="str">
        <f>HYPERLINK("https://www.google.com/maps/place/7.57687%2C-11.90254", "7.57687,-11.90254")</f>
        <v>7.57687,-11.90254</v>
      </c>
    </row>
    <row r="578" ht="15.75" customHeight="1">
      <c r="A578" s="1" t="s">
        <v>3000</v>
      </c>
      <c r="B578" s="1" t="s">
        <v>155</v>
      </c>
      <c r="C578" s="1" t="s">
        <v>3001</v>
      </c>
      <c r="D578" s="1" t="s">
        <v>3001</v>
      </c>
      <c r="E578" s="2" t="s">
        <v>3002</v>
      </c>
      <c r="F578" s="1" t="s">
        <v>64</v>
      </c>
      <c r="G578" s="1">
        <v>60.0</v>
      </c>
      <c r="H578" s="1" t="s">
        <v>50</v>
      </c>
      <c r="I578" s="1">
        <v>10.0</v>
      </c>
      <c r="J578" s="1">
        <v>4.0</v>
      </c>
      <c r="K578" s="1">
        <v>4.0</v>
      </c>
      <c r="L578" s="1">
        <v>6.0</v>
      </c>
      <c r="M578" s="1">
        <v>6.0</v>
      </c>
      <c r="N578" s="1" t="s">
        <v>51</v>
      </c>
      <c r="O578" s="1">
        <v>12.0</v>
      </c>
      <c r="P578" s="1">
        <v>7.0</v>
      </c>
      <c r="Q578" s="1">
        <v>7.0</v>
      </c>
      <c r="R578" s="1">
        <v>5.0</v>
      </c>
      <c r="S578" s="1">
        <v>5.0</v>
      </c>
      <c r="T578" s="1" t="s">
        <v>52</v>
      </c>
      <c r="U578" s="1">
        <v>7.0</v>
      </c>
      <c r="V578" s="1">
        <v>4.0</v>
      </c>
      <c r="W578" s="1">
        <v>4.0</v>
      </c>
      <c r="X578" s="1">
        <v>3.0</v>
      </c>
      <c r="Y578" s="1">
        <v>3.0</v>
      </c>
      <c r="Z578" s="1" t="s">
        <v>53</v>
      </c>
      <c r="AA578" s="1">
        <v>4.0</v>
      </c>
      <c r="AB578" s="1">
        <v>2.0</v>
      </c>
      <c r="AC578" s="1">
        <v>2.0</v>
      </c>
      <c r="AD578" s="1">
        <v>2.0</v>
      </c>
      <c r="AE578" s="1">
        <v>2.0</v>
      </c>
      <c r="AF578" s="1" t="s">
        <v>54</v>
      </c>
      <c r="AG578" s="1">
        <v>4.0</v>
      </c>
      <c r="AH578" s="1">
        <v>2.0</v>
      </c>
      <c r="AI578" s="1">
        <v>2.0</v>
      </c>
      <c r="AJ578" s="1">
        <v>2.0</v>
      </c>
      <c r="AK578" s="1">
        <v>2.0</v>
      </c>
      <c r="AL578" s="1">
        <v>37.0</v>
      </c>
      <c r="AM578" s="1" t="s">
        <v>55</v>
      </c>
      <c r="AN578" s="1">
        <v>23.0</v>
      </c>
      <c r="AO578" s="1">
        <v>23.0</v>
      </c>
      <c r="AP578" s="1" t="s">
        <v>3003</v>
      </c>
      <c r="AQ578" s="3" t="str">
        <f>HYPERLINK("https://icf.clappia.com/app/GMB253374/submission/UPC49246463/ICF247370-GMB253374-628k1ik1576000000000/SIG-20250701_1423np2f5.jpeg", "SIG-20250701_1423np2f5.jpeg")</f>
        <v>SIG-20250701_1423np2f5.jpeg</v>
      </c>
      <c r="AR578" s="1" t="s">
        <v>3004</v>
      </c>
      <c r="AS578" s="3" t="str">
        <f>HYPERLINK("https://icf.clappia.com/app/GMB253374/submission/UPC49246463/ICF247370-GMB253374-on93bfbb422k0000000/SIG-20250701_142416fbln.jpeg", "SIG-20250701_142416fbln.jpeg")</f>
        <v>SIG-20250701_142416fbln.jpeg</v>
      </c>
      <c r="AT578" s="1" t="s">
        <v>3005</v>
      </c>
      <c r="AU578" s="3" t="str">
        <f>HYPERLINK("https://icf.clappia.com/app/GMB253374/submission/UPC49246463/ICF247370-GMB253374-1djap1hlh7bck0000000/SIG-20250701_1424gbo6.jpeg", "SIG-20250701_1424gbo6.jpeg")</f>
        <v>SIG-20250701_1424gbo6.jpeg</v>
      </c>
      <c r="AV578" s="3" t="str">
        <f>HYPERLINK("https://www.google.com/maps/place/8.8478617%2C-11.9402733", "8.8478617,-11.9402733")</f>
        <v>8.8478617,-11.9402733</v>
      </c>
    </row>
    <row r="579" ht="15.75" customHeight="1">
      <c r="A579" s="1" t="s">
        <v>3006</v>
      </c>
      <c r="B579" s="1" t="s">
        <v>528</v>
      </c>
      <c r="C579" s="1" t="s">
        <v>3001</v>
      </c>
      <c r="D579" s="1" t="s">
        <v>3001</v>
      </c>
      <c r="E579" s="1" t="s">
        <v>3007</v>
      </c>
      <c r="F579" s="1" t="s">
        <v>64</v>
      </c>
      <c r="G579" s="1">
        <v>127.0</v>
      </c>
      <c r="H579" s="1" t="s">
        <v>50</v>
      </c>
      <c r="I579" s="1">
        <v>70.0</v>
      </c>
      <c r="J579" s="1">
        <v>30.0</v>
      </c>
      <c r="K579" s="1">
        <v>20.0</v>
      </c>
      <c r="L579" s="1">
        <v>40.0</v>
      </c>
      <c r="M579" s="1">
        <v>14.0</v>
      </c>
      <c r="N579" s="1" t="s">
        <v>51</v>
      </c>
      <c r="O579" s="1">
        <v>50.0</v>
      </c>
      <c r="P579" s="1">
        <v>20.0</v>
      </c>
      <c r="Q579" s="1">
        <v>6.0</v>
      </c>
      <c r="R579" s="1">
        <v>30.0</v>
      </c>
      <c r="S579" s="1">
        <v>6.0</v>
      </c>
      <c r="T579" s="1" t="s">
        <v>52</v>
      </c>
      <c r="U579" s="1">
        <v>41.0</v>
      </c>
      <c r="V579" s="1">
        <v>21.0</v>
      </c>
      <c r="W579" s="1">
        <v>6.0</v>
      </c>
      <c r="X579" s="1">
        <v>20.0</v>
      </c>
      <c r="Y579" s="1">
        <v>9.0</v>
      </c>
      <c r="Z579" s="1" t="s">
        <v>53</v>
      </c>
      <c r="AA579" s="1">
        <v>38.0</v>
      </c>
      <c r="AB579" s="1">
        <v>18.0</v>
      </c>
      <c r="AC579" s="1">
        <v>10.0</v>
      </c>
      <c r="AD579" s="1">
        <v>20.0</v>
      </c>
      <c r="AE579" s="1">
        <v>11.0</v>
      </c>
      <c r="AF579" s="1" t="s">
        <v>54</v>
      </c>
      <c r="AG579" s="1">
        <v>37.0</v>
      </c>
      <c r="AH579" s="1">
        <v>17.0</v>
      </c>
      <c r="AI579" s="1">
        <v>8.0</v>
      </c>
      <c r="AJ579" s="1">
        <v>20.0</v>
      </c>
      <c r="AK579" s="1">
        <v>10.0</v>
      </c>
      <c r="AL579" s="1">
        <v>100.0</v>
      </c>
      <c r="AM579" s="1">
        <v>10.0</v>
      </c>
      <c r="AN579" s="1">
        <v>17.0</v>
      </c>
      <c r="AO579" s="1">
        <v>17.0</v>
      </c>
      <c r="AP579" s="1" t="s">
        <v>1573</v>
      </c>
      <c r="AQ579" s="3" t="str">
        <f>HYPERLINK("https://icf.clappia.com/app/GMB253374/submission/XZL08594366/ICF247370-GMB253374-2if2poddccig00000000/SIG-20250701_1421112p3n.jpeg", "SIG-20250701_1421112p3n.jpeg")</f>
        <v>SIG-20250701_1421112p3n.jpeg</v>
      </c>
      <c r="AR579" s="1" t="s">
        <v>3008</v>
      </c>
      <c r="AS579" s="3" t="str">
        <f>HYPERLINK("https://icf.clappia.com/app/GMB253374/submission/XZL08594366/ICF247370-GMB253374-dmi19afa3mm40000000/SIG-20250701_142313gppa.jpeg", "SIG-20250701_142313gppa.jpeg")</f>
        <v>SIG-20250701_142313gppa.jpeg</v>
      </c>
      <c r="AT579" s="1" t="s">
        <v>1575</v>
      </c>
      <c r="AU579" s="3" t="str">
        <f>HYPERLINK("https://icf.clappia.com/app/GMB253374/submission/XZL08594366/ICF247370-GMB253374-3jmfilbo2ma600000000/SIG-20250701_142371fpj.jpeg", "SIG-20250701_142371fpj.jpeg")</f>
        <v>SIG-20250701_142371fpj.jpeg</v>
      </c>
      <c r="AV579" s="3" t="str">
        <f>HYPERLINK("https://www.google.com/maps/place/7.7113765%2C-11.6937519", "7.7113765,-11.6937519")</f>
        <v>7.7113765,-11.6937519</v>
      </c>
    </row>
    <row r="580" ht="15.75" customHeight="1">
      <c r="A580" s="1" t="s">
        <v>3009</v>
      </c>
      <c r="B580" s="1" t="s">
        <v>342</v>
      </c>
      <c r="C580" s="1" t="s">
        <v>3001</v>
      </c>
      <c r="D580" s="1" t="s">
        <v>3001</v>
      </c>
      <c r="E580" s="1" t="s">
        <v>3010</v>
      </c>
      <c r="F580" s="1" t="s">
        <v>64</v>
      </c>
      <c r="G580" s="1">
        <v>145.0</v>
      </c>
      <c r="H580" s="1" t="s">
        <v>50</v>
      </c>
      <c r="I580" s="1">
        <v>39.0</v>
      </c>
      <c r="J580" s="1">
        <v>18.0</v>
      </c>
      <c r="K580" s="1">
        <v>17.0</v>
      </c>
      <c r="L580" s="1">
        <v>21.0</v>
      </c>
      <c r="M580" s="1">
        <v>20.0</v>
      </c>
      <c r="N580" s="1" t="s">
        <v>51</v>
      </c>
      <c r="O580" s="1">
        <v>36.0</v>
      </c>
      <c r="P580" s="1">
        <v>15.0</v>
      </c>
      <c r="Q580" s="1">
        <v>15.0</v>
      </c>
      <c r="R580" s="1">
        <v>21.0</v>
      </c>
      <c r="S580" s="1">
        <v>19.0</v>
      </c>
      <c r="T580" s="1" t="s">
        <v>52</v>
      </c>
      <c r="U580" s="1">
        <v>24.0</v>
      </c>
      <c r="V580" s="1">
        <v>10.0</v>
      </c>
      <c r="W580" s="1">
        <v>10.0</v>
      </c>
      <c r="X580" s="1">
        <v>12.0</v>
      </c>
      <c r="Y580" s="1">
        <v>12.0</v>
      </c>
      <c r="Z580" s="1" t="s">
        <v>53</v>
      </c>
      <c r="AA580" s="1">
        <v>26.0</v>
      </c>
      <c r="AB580" s="1">
        <v>12.0</v>
      </c>
      <c r="AC580" s="1">
        <v>12.0</v>
      </c>
      <c r="AD580" s="1">
        <v>14.0</v>
      </c>
      <c r="AE580" s="1">
        <v>14.0</v>
      </c>
      <c r="AF580" s="1" t="s">
        <v>54</v>
      </c>
      <c r="AG580" s="1">
        <v>20.0</v>
      </c>
      <c r="AH580" s="1">
        <v>12.0</v>
      </c>
      <c r="AI580" s="1">
        <v>11.0</v>
      </c>
      <c r="AJ580" s="1">
        <v>8.0</v>
      </c>
      <c r="AK580" s="1">
        <v>8.0</v>
      </c>
      <c r="AL580" s="1">
        <v>138.0</v>
      </c>
      <c r="AM580" s="1">
        <v>7.0</v>
      </c>
      <c r="AN580" s="1" t="s">
        <v>55</v>
      </c>
      <c r="AO580" s="1" t="s">
        <v>55</v>
      </c>
      <c r="AP580" s="1" t="s">
        <v>345</v>
      </c>
      <c r="AQ580" s="3" t="str">
        <f>HYPERLINK("https://icf.clappia.com/app/GMB253374/submission/HZP11065098/ICF247370-GMB253374-2noek7215jni00000000/SIG-20250701_1421156ifg.jpeg", "SIG-20250701_1421156ifg.jpeg")</f>
        <v>SIG-20250701_1421156ifg.jpeg</v>
      </c>
      <c r="AR580" s="1" t="s">
        <v>346</v>
      </c>
      <c r="AS580" s="3" t="str">
        <f>HYPERLINK("https://icf.clappia.com/app/GMB253374/submission/HZP11065098/ICF247370-GMB253374-37llan8l0j7c00000000/SIG-20250701_1423k62fc.jpeg", "SIG-20250701_1423k62fc.jpeg")</f>
        <v>SIG-20250701_1423k62fc.jpeg</v>
      </c>
      <c r="AT580" s="1" t="s">
        <v>3011</v>
      </c>
      <c r="AU580" s="3" t="str">
        <f>HYPERLINK("https://icf.clappia.com/app/GMB253374/submission/HZP11065098/ICF247370-GMB253374-376fffh82k2c00000000/SIG-20250701_1423c0c34.jpeg", "SIG-20250701_1423c0c34.jpeg")</f>
        <v>SIG-20250701_1423c0c34.jpeg</v>
      </c>
      <c r="AV580" s="3" t="str">
        <f>HYPERLINK("https://www.google.com/maps/place/9.1189012%2C-12.1108013", "9.1189012,-12.1108013")</f>
        <v>9.1189012,-12.1108013</v>
      </c>
    </row>
    <row r="581" ht="15.75" customHeight="1">
      <c r="A581" s="1" t="s">
        <v>3012</v>
      </c>
      <c r="B581" s="1" t="s">
        <v>167</v>
      </c>
      <c r="C581" s="1" t="s">
        <v>3013</v>
      </c>
      <c r="D581" s="1" t="s">
        <v>3013</v>
      </c>
      <c r="E581" s="1" t="s">
        <v>3014</v>
      </c>
      <c r="F581" s="1" t="s">
        <v>64</v>
      </c>
      <c r="G581" s="1">
        <v>179.0</v>
      </c>
      <c r="H581" s="1" t="s">
        <v>50</v>
      </c>
      <c r="I581" s="1">
        <v>47.0</v>
      </c>
      <c r="J581" s="1">
        <v>22.0</v>
      </c>
      <c r="K581" s="1">
        <v>22.0</v>
      </c>
      <c r="L581" s="1">
        <v>25.0</v>
      </c>
      <c r="M581" s="1">
        <v>25.0</v>
      </c>
      <c r="N581" s="1" t="s">
        <v>51</v>
      </c>
      <c r="O581" s="1">
        <v>32.0</v>
      </c>
      <c r="P581" s="1">
        <v>17.0</v>
      </c>
      <c r="Q581" s="1">
        <v>17.0</v>
      </c>
      <c r="R581" s="1">
        <v>15.0</v>
      </c>
      <c r="S581" s="1">
        <v>15.0</v>
      </c>
      <c r="T581" s="1" t="s">
        <v>52</v>
      </c>
      <c r="U581" s="1">
        <v>28.0</v>
      </c>
      <c r="V581" s="1">
        <v>13.0</v>
      </c>
      <c r="W581" s="1">
        <v>13.0</v>
      </c>
      <c r="X581" s="1">
        <v>15.0</v>
      </c>
      <c r="Y581" s="1">
        <v>15.0</v>
      </c>
      <c r="Z581" s="1" t="s">
        <v>53</v>
      </c>
      <c r="AA581" s="1">
        <v>27.0</v>
      </c>
      <c r="AB581" s="1">
        <v>14.0</v>
      </c>
      <c r="AC581" s="1">
        <v>14.0</v>
      </c>
      <c r="AD581" s="1">
        <v>13.0</v>
      </c>
      <c r="AE581" s="1">
        <v>13.0</v>
      </c>
      <c r="AF581" s="1" t="s">
        <v>54</v>
      </c>
      <c r="AG581" s="1">
        <v>29.0</v>
      </c>
      <c r="AH581" s="1">
        <v>12.0</v>
      </c>
      <c r="AI581" s="1">
        <v>12.0</v>
      </c>
      <c r="AJ581" s="1">
        <v>17.0</v>
      </c>
      <c r="AK581" s="1">
        <v>17.0</v>
      </c>
      <c r="AL581" s="1">
        <v>163.0</v>
      </c>
      <c r="AM581" s="1" t="s">
        <v>55</v>
      </c>
      <c r="AN581" s="1">
        <v>16.0</v>
      </c>
      <c r="AO581" s="1">
        <v>16.0</v>
      </c>
      <c r="AP581" s="1" t="s">
        <v>3015</v>
      </c>
      <c r="AQ581" s="3" t="str">
        <f>HYPERLINK("https://icf.clappia.com/app/GMB253374/submission/NWX69209985/ICF247370-GMB253374-5ghhg64naoc400000000/SIG-20250701_14131pbjo.jpeg", "SIG-20250701_14131pbjo.jpeg")</f>
        <v>SIG-20250701_14131pbjo.jpeg</v>
      </c>
      <c r="AR581" s="1" t="s">
        <v>1568</v>
      </c>
      <c r="AS581" s="3" t="str">
        <f>HYPERLINK("https://icf.clappia.com/app/GMB253374/submission/NWX69209985/ICF247370-GMB253374-3d9pe9b2n6jc00000000/SIG-20250701_1414jdgj5.jpeg", "SIG-20250701_1414jdgj5.jpeg")</f>
        <v>SIG-20250701_1414jdgj5.jpeg</v>
      </c>
      <c r="AT581" s="1" t="s">
        <v>1581</v>
      </c>
      <c r="AU581" s="3" t="str">
        <f>HYPERLINK("https://icf.clappia.com/app/GMB253374/submission/NWX69209985/ICF247370-GMB253374-8ah6d2hn7g88000000/SIG-20250701_1419gc04a.jpeg", "SIG-20250701_1419gc04a.jpeg")</f>
        <v>SIG-20250701_1419gc04a.jpeg</v>
      </c>
      <c r="AV581" s="3" t="str">
        <f>HYPERLINK("https://www.google.com/maps/place/7.8422667%2C-11.730745", "7.8422667,-11.730745")</f>
        <v>7.8422667,-11.730745</v>
      </c>
    </row>
    <row r="582" ht="15.75" customHeight="1">
      <c r="A582" s="1" t="s">
        <v>3016</v>
      </c>
      <c r="B582" s="1" t="s">
        <v>161</v>
      </c>
      <c r="C582" s="1" t="s">
        <v>3017</v>
      </c>
      <c r="D582" s="1" t="s">
        <v>3017</v>
      </c>
      <c r="E582" s="1" t="s">
        <v>3018</v>
      </c>
      <c r="F582" s="1" t="s">
        <v>64</v>
      </c>
      <c r="G582" s="1">
        <v>309.0</v>
      </c>
      <c r="H582" s="1" t="s">
        <v>50</v>
      </c>
      <c r="I582" s="1">
        <v>65.0</v>
      </c>
      <c r="J582" s="1">
        <v>32.0</v>
      </c>
      <c r="K582" s="1">
        <v>31.0</v>
      </c>
      <c r="L582" s="1">
        <v>33.0</v>
      </c>
      <c r="M582" s="1">
        <v>30.0</v>
      </c>
      <c r="N582" s="1" t="s">
        <v>51</v>
      </c>
      <c r="O582" s="1">
        <v>65.0</v>
      </c>
      <c r="P582" s="1">
        <v>35.0</v>
      </c>
      <c r="Q582" s="1">
        <v>35.0</v>
      </c>
      <c r="R582" s="1">
        <v>30.0</v>
      </c>
      <c r="S582" s="1">
        <v>30.0</v>
      </c>
      <c r="T582" s="1" t="s">
        <v>52</v>
      </c>
      <c r="U582" s="1">
        <v>58.0</v>
      </c>
      <c r="V582" s="1">
        <v>28.0</v>
      </c>
      <c r="W582" s="1">
        <v>28.0</v>
      </c>
      <c r="X582" s="1">
        <v>30.0</v>
      </c>
      <c r="Y582" s="1">
        <v>30.0</v>
      </c>
      <c r="Z582" s="1" t="s">
        <v>53</v>
      </c>
      <c r="AA582" s="1">
        <v>59.0</v>
      </c>
      <c r="AB582" s="1">
        <v>34.0</v>
      </c>
      <c r="AC582" s="1">
        <v>34.0</v>
      </c>
      <c r="AD582" s="1">
        <v>25.0</v>
      </c>
      <c r="AE582" s="1">
        <v>25.0</v>
      </c>
      <c r="AF582" s="1" t="s">
        <v>54</v>
      </c>
      <c r="AG582" s="1">
        <v>62.0</v>
      </c>
      <c r="AH582" s="1">
        <v>30.0</v>
      </c>
      <c r="AI582" s="1">
        <v>30.0</v>
      </c>
      <c r="AJ582" s="1">
        <v>32.0</v>
      </c>
      <c r="AK582" s="1">
        <v>32.0</v>
      </c>
      <c r="AL582" s="1">
        <v>305.0</v>
      </c>
      <c r="AM582" s="1" t="s">
        <v>55</v>
      </c>
      <c r="AN582" s="1">
        <v>4.0</v>
      </c>
      <c r="AO582" s="1" t="s">
        <v>55</v>
      </c>
      <c r="AP582" s="1" t="s">
        <v>3019</v>
      </c>
      <c r="AQ582" s="3" t="str">
        <f>HYPERLINK("https://icf.clappia.com/app/GMB253374/submission/RCZ40236577/ICF247370-GMB253374-28j09moa5ncdm0000000/SIG-20250701_1353mbaee.jpeg", "SIG-20250701_1353mbaee.jpeg")</f>
        <v>SIG-20250701_1353mbaee.jpeg</v>
      </c>
      <c r="AR582" s="1" t="s">
        <v>794</v>
      </c>
      <c r="AS582" s="3" t="str">
        <f>HYPERLINK("https://icf.clappia.com/app/GMB253374/submission/RCZ40236577/ICF247370-GMB253374-2fpgaaa7aa4c00000000/SIG-20250701_1356hbiph.jpeg", "SIG-20250701_1356hbiph.jpeg")</f>
        <v>SIG-20250701_1356hbiph.jpeg</v>
      </c>
      <c r="AT582" s="1" t="s">
        <v>3020</v>
      </c>
      <c r="AU582" s="3" t="str">
        <f>HYPERLINK("https://icf.clappia.com/app/GMB253374/submission/RCZ40236577/ICF247370-GMB253374-6707jgf5gd4c00000000/SIG-20250701_14155a4je.jpeg", "SIG-20250701_14155a4je.jpeg")</f>
        <v>SIG-20250701_14155a4je.jpeg</v>
      </c>
      <c r="AV582" s="3" t="str">
        <f>HYPERLINK("https://www.google.com/maps/place/7.9454403%2C-11.7022752", "7.9454403,-11.7022752")</f>
        <v>7.9454403,-11.7022752</v>
      </c>
    </row>
    <row r="583" ht="15.75" customHeight="1">
      <c r="A583" s="1" t="s">
        <v>3021</v>
      </c>
      <c r="B583" s="1" t="s">
        <v>167</v>
      </c>
      <c r="C583" s="1" t="s">
        <v>3022</v>
      </c>
      <c r="D583" s="1" t="s">
        <v>3022</v>
      </c>
      <c r="E583" s="1" t="s">
        <v>3023</v>
      </c>
      <c r="F583" s="1" t="s">
        <v>64</v>
      </c>
      <c r="G583" s="1">
        <v>250.0</v>
      </c>
      <c r="H583" s="1" t="s">
        <v>50</v>
      </c>
      <c r="I583" s="1">
        <v>67.0</v>
      </c>
      <c r="J583" s="1">
        <v>34.0</v>
      </c>
      <c r="K583" s="1">
        <v>25.0</v>
      </c>
      <c r="L583" s="1">
        <v>33.0</v>
      </c>
      <c r="M583" s="1">
        <v>27.0</v>
      </c>
      <c r="N583" s="1" t="s">
        <v>51</v>
      </c>
      <c r="O583" s="1">
        <v>40.0</v>
      </c>
      <c r="P583" s="1">
        <v>23.0</v>
      </c>
      <c r="Q583" s="1">
        <v>23.0</v>
      </c>
      <c r="R583" s="1">
        <v>17.0</v>
      </c>
      <c r="S583" s="1">
        <v>17.0</v>
      </c>
      <c r="T583" s="1" t="s">
        <v>52</v>
      </c>
      <c r="U583" s="1">
        <v>62.0</v>
      </c>
      <c r="V583" s="1">
        <v>26.0</v>
      </c>
      <c r="W583" s="1">
        <v>20.0</v>
      </c>
      <c r="X583" s="1">
        <v>36.0</v>
      </c>
      <c r="Y583" s="1">
        <v>30.0</v>
      </c>
      <c r="Z583" s="1" t="s">
        <v>53</v>
      </c>
      <c r="AA583" s="1">
        <v>55.0</v>
      </c>
      <c r="AB583" s="1">
        <v>25.0</v>
      </c>
      <c r="AC583" s="1">
        <v>17.0</v>
      </c>
      <c r="AD583" s="1">
        <v>30.0</v>
      </c>
      <c r="AE583" s="1">
        <v>30.0</v>
      </c>
      <c r="AF583" s="1" t="s">
        <v>54</v>
      </c>
      <c r="AG583" s="1">
        <v>36.0</v>
      </c>
      <c r="AH583" s="1">
        <v>10.0</v>
      </c>
      <c r="AI583" s="1">
        <v>10.0</v>
      </c>
      <c r="AJ583" s="1">
        <v>26.0</v>
      </c>
      <c r="AK583" s="1">
        <v>25.0</v>
      </c>
      <c r="AL583" s="1">
        <v>224.0</v>
      </c>
      <c r="AM583" s="1" t="s">
        <v>55</v>
      </c>
      <c r="AN583" s="1">
        <v>26.0</v>
      </c>
      <c r="AO583" s="1">
        <v>26.0</v>
      </c>
      <c r="AP583" s="1" t="s">
        <v>3024</v>
      </c>
      <c r="AQ583" s="3" t="str">
        <f>HYPERLINK("https://icf.clappia.com/app/GMB253374/submission/EYZ08890963/ICF247370-GMB253374-eaeg6iaha9n60000000/SIG-20250630_130540e1i.jpeg", "SIG-20250630_130540e1i.jpeg")</f>
        <v>SIG-20250630_130540e1i.jpeg</v>
      </c>
      <c r="AR583" s="1" t="s">
        <v>685</v>
      </c>
      <c r="AS583" s="3" t="str">
        <f>HYPERLINK("https://icf.clappia.com/app/GMB253374/submission/EYZ08890963/ICF247370-GMB253374-12lged6blph680000000/SIG-20250630_1304c13do.jpeg", "SIG-20250630_1304c13do.jpeg")</f>
        <v>SIG-20250630_1304c13do.jpeg</v>
      </c>
      <c r="AT583" s="1" t="s">
        <v>3025</v>
      </c>
      <c r="AU583" s="3" t="str">
        <f>HYPERLINK("https://icf.clappia.com/app/GMB253374/submission/EYZ08890963/ICF247370-GMB253374-3dd7h258eh6g00000000/SIG-20250630_130318e8a4.jpeg", "SIG-20250630_130318e8a4.jpeg")</f>
        <v>SIG-20250630_130318e8a4.jpeg</v>
      </c>
      <c r="AV583" s="3" t="str">
        <f>HYPERLINK("https://www.google.com/maps/place/7.7757398%2C-11.7255121", "7.7757398,-11.7255121")</f>
        <v>7.7757398,-11.7255121</v>
      </c>
    </row>
    <row r="584" ht="15.75" customHeight="1">
      <c r="A584" s="1" t="s">
        <v>3026</v>
      </c>
      <c r="B584" s="1" t="s">
        <v>81</v>
      </c>
      <c r="C584" s="1" t="s">
        <v>3027</v>
      </c>
      <c r="D584" s="1" t="s">
        <v>3027</v>
      </c>
      <c r="E584" s="1" t="s">
        <v>3028</v>
      </c>
      <c r="F584" s="1" t="s">
        <v>64</v>
      </c>
      <c r="G584" s="1">
        <v>366.0</v>
      </c>
      <c r="H584" s="1" t="s">
        <v>50</v>
      </c>
      <c r="I584" s="1">
        <v>84.0</v>
      </c>
      <c r="J584" s="1">
        <v>48.0</v>
      </c>
      <c r="K584" s="1">
        <v>38.0</v>
      </c>
      <c r="L584" s="1">
        <v>36.0</v>
      </c>
      <c r="M584" s="1">
        <v>36.0</v>
      </c>
      <c r="N584" s="1" t="s">
        <v>51</v>
      </c>
      <c r="O584" s="1">
        <v>60.0</v>
      </c>
      <c r="P584" s="1">
        <v>27.0</v>
      </c>
      <c r="Q584" s="1">
        <v>27.0</v>
      </c>
      <c r="R584" s="1">
        <v>33.0</v>
      </c>
      <c r="S584" s="1">
        <v>33.0</v>
      </c>
      <c r="T584" s="1" t="s">
        <v>52</v>
      </c>
      <c r="U584" s="1">
        <v>75.0</v>
      </c>
      <c r="V584" s="1">
        <v>37.0</v>
      </c>
      <c r="W584" s="1">
        <v>32.0</v>
      </c>
      <c r="X584" s="1">
        <v>38.0</v>
      </c>
      <c r="Y584" s="1">
        <v>33.0</v>
      </c>
      <c r="Z584" s="1" t="s">
        <v>53</v>
      </c>
      <c r="AA584" s="1">
        <v>60.0</v>
      </c>
      <c r="AB584" s="1">
        <v>37.0</v>
      </c>
      <c r="AC584" s="1">
        <v>30.0</v>
      </c>
      <c r="AD584" s="1">
        <v>23.0</v>
      </c>
      <c r="AE584" s="1">
        <v>13.0</v>
      </c>
      <c r="AF584" s="1" t="s">
        <v>54</v>
      </c>
      <c r="AG584" s="1">
        <v>87.0</v>
      </c>
      <c r="AH584" s="1">
        <v>49.0</v>
      </c>
      <c r="AI584" s="1">
        <v>39.0</v>
      </c>
      <c r="AJ584" s="1">
        <v>38.0</v>
      </c>
      <c r="AK584" s="1">
        <v>35.0</v>
      </c>
      <c r="AL584" s="1">
        <v>316.0</v>
      </c>
      <c r="AM584" s="1" t="s">
        <v>55</v>
      </c>
      <c r="AN584" s="1">
        <v>50.0</v>
      </c>
      <c r="AO584" s="1">
        <v>50.0</v>
      </c>
      <c r="AP584" s="1" t="s">
        <v>2831</v>
      </c>
      <c r="AQ584" s="3" t="str">
        <f>HYPERLINK("https://icf.clappia.com/app/GMB253374/submission/NMI36098300/ICF247370-GMB253374-2j3k21ielhjk00000000/SIG-20250701_14169616p.jpeg", "SIG-20250701_14169616p.jpeg")</f>
        <v>SIG-20250701_14169616p.jpeg</v>
      </c>
      <c r="AR584" s="1" t="s">
        <v>3029</v>
      </c>
      <c r="AS584" s="3" t="str">
        <f>HYPERLINK("https://icf.clappia.com/app/GMB253374/submission/NMI36098300/ICF247370-GMB253374-4ec3990325c800000000/SIG-20250701_141715go4c.jpeg", "SIG-20250701_141715go4c.jpeg")</f>
        <v>SIG-20250701_141715go4c.jpeg</v>
      </c>
      <c r="AT584" s="1" t="s">
        <v>3030</v>
      </c>
      <c r="AU584" s="3" t="str">
        <f>HYPERLINK("https://icf.clappia.com/app/GMB253374/submission/NMI36098300/ICF247370-GMB253374-3l1jj804ncpi00000000/SIG-20250701_14176nhk2.jpeg", "SIG-20250701_14176nhk2.jpeg")</f>
        <v>SIG-20250701_14176nhk2.jpeg</v>
      </c>
      <c r="AV584" s="3" t="str">
        <f>HYPERLINK("https://www.google.com/maps/place/7.9563283%2C-11.7611533", "7.9563283,-11.7611533")</f>
        <v>7.9563283,-11.7611533</v>
      </c>
    </row>
    <row r="585" ht="15.75" customHeight="1">
      <c r="A585" s="1" t="s">
        <v>3031</v>
      </c>
      <c r="B585" s="1" t="s">
        <v>60</v>
      </c>
      <c r="C585" s="1" t="s">
        <v>3032</v>
      </c>
      <c r="D585" s="1" t="s">
        <v>3027</v>
      </c>
      <c r="E585" s="1" t="s">
        <v>3033</v>
      </c>
      <c r="F585" s="1" t="s">
        <v>64</v>
      </c>
      <c r="G585" s="1">
        <v>200.0</v>
      </c>
      <c r="H585" s="1" t="s">
        <v>50</v>
      </c>
      <c r="I585" s="1">
        <v>80.0</v>
      </c>
      <c r="J585" s="1">
        <v>38.0</v>
      </c>
      <c r="K585" s="1">
        <v>30.0</v>
      </c>
      <c r="L585" s="1">
        <v>42.0</v>
      </c>
      <c r="M585" s="1">
        <v>30.0</v>
      </c>
      <c r="N585" s="1" t="s">
        <v>51</v>
      </c>
      <c r="O585" s="1">
        <v>45.0</v>
      </c>
      <c r="P585" s="1">
        <v>20.0</v>
      </c>
      <c r="Q585" s="1">
        <v>20.0</v>
      </c>
      <c r="R585" s="1">
        <v>25.0</v>
      </c>
      <c r="S585" s="1">
        <v>20.0</v>
      </c>
      <c r="T585" s="1" t="s">
        <v>52</v>
      </c>
      <c r="U585" s="1">
        <v>30.0</v>
      </c>
      <c r="V585" s="1">
        <v>20.0</v>
      </c>
      <c r="W585" s="1">
        <v>15.0</v>
      </c>
      <c r="X585" s="1">
        <v>10.0</v>
      </c>
      <c r="Y585" s="1">
        <v>10.0</v>
      </c>
      <c r="Z585" s="1" t="s">
        <v>53</v>
      </c>
      <c r="AA585" s="1">
        <v>40.0</v>
      </c>
      <c r="AB585" s="1">
        <v>19.0</v>
      </c>
      <c r="AC585" s="1">
        <v>15.0</v>
      </c>
      <c r="AD585" s="1">
        <v>21.0</v>
      </c>
      <c r="AE585" s="1">
        <v>10.0</v>
      </c>
      <c r="AF585" s="1" t="s">
        <v>54</v>
      </c>
      <c r="AG585" s="1">
        <v>37.0</v>
      </c>
      <c r="AH585" s="1">
        <v>21.0</v>
      </c>
      <c r="AI585" s="1">
        <v>8.0</v>
      </c>
      <c r="AJ585" s="1">
        <v>16.0</v>
      </c>
      <c r="AK585" s="1">
        <v>8.0</v>
      </c>
      <c r="AL585" s="1">
        <v>166.0</v>
      </c>
      <c r="AM585" s="1" t="s">
        <v>55</v>
      </c>
      <c r="AN585" s="1">
        <v>34.0</v>
      </c>
      <c r="AO585" s="1">
        <v>34.0</v>
      </c>
      <c r="AP585" s="1" t="s">
        <v>3034</v>
      </c>
      <c r="AQ585" s="3" t="str">
        <f>HYPERLINK("https://icf.clappia.com/app/GMB253374/submission/HJS31996133/ICF247370-GMB253374-30ieoh6dpfe200000000/SIG-20250701_130244hgj.jpeg", "SIG-20250701_130244hgj.jpeg")</f>
        <v>SIG-20250701_130244hgj.jpeg</v>
      </c>
      <c r="AR585" s="1" t="s">
        <v>3035</v>
      </c>
      <c r="AS585" s="3" t="str">
        <f>HYPERLINK("https://icf.clappia.com/app/GMB253374/submission/HJS31996133/ICF247370-GMB253374-5m7bk3lel2og00000000/SIG-20250701_1302ch0.jpeg", "SIG-20250701_1302ch0.jpeg")</f>
        <v>SIG-20250701_1302ch0.jpeg</v>
      </c>
      <c r="AT585" s="1" t="s">
        <v>3036</v>
      </c>
      <c r="AU585" s="3" t="str">
        <f>HYPERLINK("https://icf.clappia.com/app/GMB253374/submission/HJS31996133/ICF247370-GMB253374-2alebkjoichi80000000/SIG-20250701_1302ajjga.jpeg", "SIG-20250701_1302ajjga.jpeg")</f>
        <v>SIG-20250701_1302ajjga.jpeg</v>
      </c>
      <c r="AV585" s="3" t="str">
        <f>HYPERLINK("https://www.google.com/maps/place/8.8406883%2C-11.9265717", "8.8406883,-11.9265717")</f>
        <v>8.8406883,-11.9265717</v>
      </c>
    </row>
    <row r="586" ht="15.75" customHeight="1">
      <c r="A586" s="1" t="s">
        <v>3037</v>
      </c>
      <c r="B586" s="1" t="s">
        <v>778</v>
      </c>
      <c r="C586" s="1" t="s">
        <v>3027</v>
      </c>
      <c r="D586" s="1" t="s">
        <v>3027</v>
      </c>
      <c r="E586" s="1" t="s">
        <v>3038</v>
      </c>
      <c r="F586" s="1" t="s">
        <v>64</v>
      </c>
      <c r="G586" s="1">
        <v>228.0</v>
      </c>
      <c r="H586" s="1" t="s">
        <v>50</v>
      </c>
      <c r="I586" s="1">
        <v>45.0</v>
      </c>
      <c r="J586" s="1">
        <v>23.0</v>
      </c>
      <c r="K586" s="1">
        <v>14.0</v>
      </c>
      <c r="L586" s="1">
        <v>22.0</v>
      </c>
      <c r="M586" s="1">
        <v>15.0</v>
      </c>
      <c r="N586" s="1" t="s">
        <v>51</v>
      </c>
      <c r="O586" s="1">
        <v>55.0</v>
      </c>
      <c r="P586" s="1">
        <v>25.0</v>
      </c>
      <c r="Q586" s="1">
        <v>16.0</v>
      </c>
      <c r="R586" s="1">
        <v>30.0</v>
      </c>
      <c r="S586" s="1">
        <v>13.0</v>
      </c>
      <c r="T586" s="1" t="s">
        <v>52</v>
      </c>
      <c r="U586" s="1">
        <v>47.0</v>
      </c>
      <c r="V586" s="1">
        <v>22.0</v>
      </c>
      <c r="W586" s="1">
        <v>12.0</v>
      </c>
      <c r="X586" s="1">
        <v>25.0</v>
      </c>
      <c r="Y586" s="1">
        <v>17.0</v>
      </c>
      <c r="Z586" s="1" t="s">
        <v>53</v>
      </c>
      <c r="AA586" s="1">
        <v>41.0</v>
      </c>
      <c r="AB586" s="1">
        <v>21.0</v>
      </c>
      <c r="AC586" s="1">
        <v>13.0</v>
      </c>
      <c r="AD586" s="1">
        <v>20.0</v>
      </c>
      <c r="AE586" s="1">
        <v>16.0</v>
      </c>
      <c r="AF586" s="1" t="s">
        <v>54</v>
      </c>
      <c r="AG586" s="1">
        <v>40.0</v>
      </c>
      <c r="AH586" s="1">
        <v>18.0</v>
      </c>
      <c r="AI586" s="1">
        <v>15.0</v>
      </c>
      <c r="AJ586" s="1">
        <v>22.0</v>
      </c>
      <c r="AK586" s="1">
        <v>14.0</v>
      </c>
      <c r="AL586" s="1">
        <v>145.0</v>
      </c>
      <c r="AM586" s="1" t="s">
        <v>55</v>
      </c>
      <c r="AN586" s="1">
        <v>83.0</v>
      </c>
      <c r="AO586" s="1">
        <v>83.0</v>
      </c>
      <c r="AP586" s="1" t="s">
        <v>3039</v>
      </c>
      <c r="AQ586" s="3" t="str">
        <f>HYPERLINK("https://icf.clappia.com/app/GMB253374/submission/VVS87610458/ICF247370-GMB253374-69lko36enne400000000/SIG-20250701_14177hbik.jpeg", "SIG-20250701_14177hbik.jpeg")</f>
        <v>SIG-20250701_14177hbik.jpeg</v>
      </c>
      <c r="AR586" s="1" t="s">
        <v>2169</v>
      </c>
      <c r="AS586" s="3" t="str">
        <f>HYPERLINK("https://icf.clappia.com/app/GMB253374/submission/VVS87610458/ICF247370-GMB253374-4b2pd18ccgfm00000000/SIG-20250701_14174edfi.jpeg", "SIG-20250701_14174edfi.jpeg")</f>
        <v>SIG-20250701_14174edfi.jpeg</v>
      </c>
      <c r="AT586" s="1" t="s">
        <v>2170</v>
      </c>
      <c r="AU586" s="3" t="str">
        <f>HYPERLINK("https://icf.clappia.com/app/GMB253374/submission/VVS87610458/ICF247370-GMB253374-3pe84hcjdnek00000000/SIG-20250701_14171aan35.jpeg", "SIG-20250701_14171aan35.jpeg")</f>
        <v>SIG-20250701_14171aan35.jpeg</v>
      </c>
      <c r="AV586" s="3" t="str">
        <f>HYPERLINK("https://www.google.com/maps/place/7.7113697%2C-11.6942427", "7.7113697,-11.6942427")</f>
        <v>7.7113697,-11.6942427</v>
      </c>
    </row>
    <row r="587" ht="15.75" customHeight="1">
      <c r="A587" s="1" t="s">
        <v>3040</v>
      </c>
      <c r="B587" s="1" t="s">
        <v>75</v>
      </c>
      <c r="C587" s="1" t="s">
        <v>3041</v>
      </c>
      <c r="D587" s="1" t="s">
        <v>3041</v>
      </c>
      <c r="E587" s="1" t="s">
        <v>3042</v>
      </c>
      <c r="F587" s="1" t="s">
        <v>64</v>
      </c>
      <c r="G587" s="1">
        <v>400.0</v>
      </c>
      <c r="H587" s="1" t="s">
        <v>50</v>
      </c>
      <c r="I587" s="1">
        <v>122.0</v>
      </c>
      <c r="J587" s="1">
        <v>62.0</v>
      </c>
      <c r="K587" s="1">
        <v>60.0</v>
      </c>
      <c r="L587" s="1">
        <v>60.0</v>
      </c>
      <c r="M587" s="1">
        <v>60.0</v>
      </c>
      <c r="N587" s="1" t="s">
        <v>51</v>
      </c>
      <c r="O587" s="1">
        <v>50.0</v>
      </c>
      <c r="P587" s="1">
        <v>29.0</v>
      </c>
      <c r="Q587" s="1">
        <v>29.0</v>
      </c>
      <c r="R587" s="1">
        <v>21.0</v>
      </c>
      <c r="S587" s="1">
        <v>21.0</v>
      </c>
      <c r="T587" s="1" t="s">
        <v>52</v>
      </c>
      <c r="U587" s="1">
        <v>57.0</v>
      </c>
      <c r="V587" s="1">
        <v>28.0</v>
      </c>
      <c r="W587" s="1">
        <v>28.0</v>
      </c>
      <c r="X587" s="1">
        <v>29.0</v>
      </c>
      <c r="Y587" s="1">
        <v>29.0</v>
      </c>
      <c r="Z587" s="1" t="s">
        <v>53</v>
      </c>
      <c r="AA587" s="1">
        <v>50.0</v>
      </c>
      <c r="AB587" s="1">
        <v>29.0</v>
      </c>
      <c r="AC587" s="1">
        <v>29.0</v>
      </c>
      <c r="AD587" s="1">
        <v>21.0</v>
      </c>
      <c r="AE587" s="1">
        <v>20.0</v>
      </c>
      <c r="AF587" s="1" t="s">
        <v>54</v>
      </c>
      <c r="AG587" s="1">
        <v>52.0</v>
      </c>
      <c r="AH587" s="1">
        <v>29.0</v>
      </c>
      <c r="AI587" s="1">
        <v>27.0</v>
      </c>
      <c r="AJ587" s="1">
        <v>23.0</v>
      </c>
      <c r="AK587" s="1">
        <v>23.0</v>
      </c>
      <c r="AL587" s="1">
        <v>326.0</v>
      </c>
      <c r="AM587" s="1">
        <v>5.0</v>
      </c>
      <c r="AN587" s="1">
        <v>69.0</v>
      </c>
      <c r="AO587" s="1">
        <v>69.0</v>
      </c>
      <c r="AP587" s="1" t="s">
        <v>3043</v>
      </c>
      <c r="AQ587" s="3" t="str">
        <f>HYPERLINK("https://icf.clappia.com/app/GMB253374/submission/LIF31121688/ICF247370-GMB253374-64l9djo0p8c800000000/SIG-20250701_1416gb2j2.jpeg", "SIG-20250701_1416gb2j2.jpeg")</f>
        <v>SIG-20250701_1416gb2j2.jpeg</v>
      </c>
      <c r="AR587" s="1" t="s">
        <v>3044</v>
      </c>
      <c r="AS587" s="3" t="str">
        <f>HYPERLINK("https://icf.clappia.com/app/GMB253374/submission/LIF31121688/ICF247370-GMB253374-636h02fcacec00000000/SIG-20250701_1416fkmgm.jpeg", "SIG-20250701_1416fkmgm.jpeg")</f>
        <v>SIG-20250701_1416fkmgm.jpeg</v>
      </c>
      <c r="AT587" s="1" t="s">
        <v>3045</v>
      </c>
      <c r="AU587" s="3" t="str">
        <f>HYPERLINK("https://icf.clappia.com/app/GMB253374/submission/LIF31121688/ICF247370-GMB253374-1egb1m0d8khn60000000/SIG-20250701_1417bkinh.jpeg", "SIG-20250701_1417bkinh.jpeg")</f>
        <v>SIG-20250701_1417bkinh.jpeg</v>
      </c>
      <c r="AV587" s="3" t="str">
        <f>HYPERLINK("https://www.google.com/maps/place/9.0299667%2C-12.1575817", "9.0299667,-12.1575817")</f>
        <v>9.0299667,-12.1575817</v>
      </c>
    </row>
    <row r="588" ht="15.75" customHeight="1">
      <c r="A588" s="1" t="s">
        <v>3046</v>
      </c>
      <c r="B588" s="1" t="s">
        <v>94</v>
      </c>
      <c r="C588" s="1" t="s">
        <v>3047</v>
      </c>
      <c r="D588" s="1" t="s">
        <v>3047</v>
      </c>
      <c r="E588" s="1" t="s">
        <v>3048</v>
      </c>
      <c r="F588" s="1" t="s">
        <v>64</v>
      </c>
      <c r="G588" s="1">
        <v>298.0</v>
      </c>
      <c r="H588" s="1" t="s">
        <v>50</v>
      </c>
      <c r="I588" s="1">
        <v>137.0</v>
      </c>
      <c r="J588" s="1">
        <v>64.0</v>
      </c>
      <c r="K588" s="1">
        <v>64.0</v>
      </c>
      <c r="L588" s="1">
        <v>73.0</v>
      </c>
      <c r="M588" s="1">
        <v>73.0</v>
      </c>
      <c r="N588" s="1" t="s">
        <v>51</v>
      </c>
      <c r="O588" s="1">
        <v>58.0</v>
      </c>
      <c r="P588" s="1">
        <v>28.0</v>
      </c>
      <c r="Q588" s="1">
        <v>28.0</v>
      </c>
      <c r="R588" s="1">
        <v>30.0</v>
      </c>
      <c r="S588" s="1">
        <v>30.0</v>
      </c>
      <c r="T588" s="1" t="s">
        <v>52</v>
      </c>
      <c r="U588" s="1">
        <v>31.0</v>
      </c>
      <c r="V588" s="1">
        <v>16.0</v>
      </c>
      <c r="W588" s="1">
        <v>16.0</v>
      </c>
      <c r="X588" s="1">
        <v>15.0</v>
      </c>
      <c r="Y588" s="1">
        <v>15.0</v>
      </c>
      <c r="Z588" s="1" t="s">
        <v>53</v>
      </c>
      <c r="AA588" s="1">
        <v>34.0</v>
      </c>
      <c r="AB588" s="1">
        <v>11.0</v>
      </c>
      <c r="AC588" s="1">
        <v>11.0</v>
      </c>
      <c r="AD588" s="1">
        <v>23.0</v>
      </c>
      <c r="AE588" s="1">
        <v>23.0</v>
      </c>
      <c r="AF588" s="1" t="s">
        <v>54</v>
      </c>
      <c r="AG588" s="1">
        <v>33.0</v>
      </c>
      <c r="AH588" s="1">
        <v>18.0</v>
      </c>
      <c r="AI588" s="1">
        <v>18.0</v>
      </c>
      <c r="AJ588" s="1">
        <v>15.0</v>
      </c>
      <c r="AK588" s="1">
        <v>15.0</v>
      </c>
      <c r="AL588" s="1">
        <v>293.0</v>
      </c>
      <c r="AM588" s="1" t="s">
        <v>55</v>
      </c>
      <c r="AN588" s="1">
        <v>5.0</v>
      </c>
      <c r="AO588" s="1" t="s">
        <v>55</v>
      </c>
      <c r="AP588" s="1" t="s">
        <v>3049</v>
      </c>
      <c r="AQ588" s="3" t="str">
        <f>HYPERLINK("https://icf.clappia.com/app/GMB253374/submission/SVW97221115/ICF247370-GMB253374-611ikoofbhme00000000/SIG-20250701_141110c6hp.jpeg", "SIG-20250701_141110c6hp.jpeg")</f>
        <v>SIG-20250701_141110c6hp.jpeg</v>
      </c>
      <c r="AR588" s="1" t="s">
        <v>3050</v>
      </c>
      <c r="AS588" s="3" t="str">
        <f>HYPERLINK("https://icf.clappia.com/app/GMB253374/submission/SVW97221115/ICF247370-GMB253374-5605db7lng0m00000000/SIG-20250701_14121iojp.jpeg", "SIG-20250701_14121iojp.jpeg")</f>
        <v>SIG-20250701_14121iojp.jpeg</v>
      </c>
      <c r="AT588" s="1" t="s">
        <v>3051</v>
      </c>
      <c r="AU588" s="3" t="str">
        <f>HYPERLINK("https://icf.clappia.com/app/GMB253374/submission/SVW97221115/ICF247370-GMB253374-2ek0f5oggnlc00000000/SIG-20250701_1412m195g.jpeg", "SIG-20250701_1412m195g.jpeg")</f>
        <v>SIG-20250701_1412m195g.jpeg</v>
      </c>
      <c r="AV588" s="3" t="str">
        <f>HYPERLINK("https://www.google.com/maps/place/7.6507615%2C-11.9656571", "7.6507615,-11.9656571")</f>
        <v>7.6507615,-11.9656571</v>
      </c>
    </row>
    <row r="589" ht="15.75" customHeight="1">
      <c r="A589" s="1" t="s">
        <v>3052</v>
      </c>
      <c r="B589" s="1" t="s">
        <v>81</v>
      </c>
      <c r="C589" s="1" t="s">
        <v>3053</v>
      </c>
      <c r="D589" s="1" t="s">
        <v>3053</v>
      </c>
      <c r="E589" s="1" t="s">
        <v>3054</v>
      </c>
      <c r="F589" s="1" t="s">
        <v>64</v>
      </c>
      <c r="G589" s="1">
        <v>500.0</v>
      </c>
      <c r="H589" s="1" t="s">
        <v>50</v>
      </c>
      <c r="I589" s="1">
        <v>95.0</v>
      </c>
      <c r="J589" s="1">
        <v>48.0</v>
      </c>
      <c r="K589" s="1">
        <v>45.0</v>
      </c>
      <c r="L589" s="1">
        <v>47.0</v>
      </c>
      <c r="M589" s="1">
        <v>42.0</v>
      </c>
      <c r="N589" s="1" t="s">
        <v>51</v>
      </c>
      <c r="O589" s="1">
        <v>74.0</v>
      </c>
      <c r="P589" s="1">
        <v>35.0</v>
      </c>
      <c r="Q589" s="1">
        <v>35.0</v>
      </c>
      <c r="R589" s="1">
        <v>39.0</v>
      </c>
      <c r="S589" s="1">
        <v>39.0</v>
      </c>
      <c r="T589" s="1" t="s">
        <v>52</v>
      </c>
      <c r="U589" s="1">
        <v>80.0</v>
      </c>
      <c r="V589" s="1">
        <v>34.0</v>
      </c>
      <c r="W589" s="1">
        <v>34.0</v>
      </c>
      <c r="X589" s="1">
        <v>46.0</v>
      </c>
      <c r="Y589" s="1">
        <v>46.0</v>
      </c>
      <c r="Z589" s="1" t="s">
        <v>53</v>
      </c>
      <c r="AA589" s="1">
        <v>122.0</v>
      </c>
      <c r="AB589" s="1">
        <v>60.0</v>
      </c>
      <c r="AC589" s="1">
        <v>60.0</v>
      </c>
      <c r="AD589" s="1">
        <v>62.0</v>
      </c>
      <c r="AE589" s="1">
        <v>62.0</v>
      </c>
      <c r="AF589" s="1" t="s">
        <v>54</v>
      </c>
      <c r="AG589" s="1">
        <v>123.0</v>
      </c>
      <c r="AH589" s="1">
        <v>63.0</v>
      </c>
      <c r="AI589" s="1">
        <v>63.0</v>
      </c>
      <c r="AJ589" s="1">
        <v>60.0</v>
      </c>
      <c r="AK589" s="1">
        <v>60.0</v>
      </c>
      <c r="AL589" s="1">
        <v>486.0</v>
      </c>
      <c r="AM589" s="1" t="s">
        <v>55</v>
      </c>
      <c r="AN589" s="1">
        <v>14.0</v>
      </c>
      <c r="AO589" s="1">
        <v>14.0</v>
      </c>
      <c r="AP589" s="1" t="s">
        <v>3055</v>
      </c>
      <c r="AQ589" s="3" t="str">
        <f>HYPERLINK("https://icf.clappia.com/app/GMB253374/submission/CAY46484892/ICF247370-GMB253374-152j60khecl180000000/SIG-20250701_1400fp5ig.jpeg", "SIG-20250701_1400fp5ig.jpeg")</f>
        <v>SIG-20250701_1400fp5ig.jpeg</v>
      </c>
      <c r="AR589" s="1" t="s">
        <v>3056</v>
      </c>
      <c r="AS589" s="3" t="str">
        <f>HYPERLINK("https://icf.clappia.com/app/GMB253374/submission/CAY46484892/ICF247370-GMB253374-4i67g78ec6mo00000000/SIG-20250701_140313jjd9.jpeg", "SIG-20250701_140313jjd9.jpeg")</f>
        <v>SIG-20250701_140313jjd9.jpeg</v>
      </c>
      <c r="AT589" s="1" t="s">
        <v>3057</v>
      </c>
      <c r="AU589" s="3" t="str">
        <f>HYPERLINK("https://icf.clappia.com/app/GMB253374/submission/CAY46484892/ICF247370-GMB253374-2kb2d2l6p2ie00000000/SIG-20250701_1401af0dk.jpeg", "SIG-20250701_1401af0dk.jpeg")</f>
        <v>SIG-20250701_1401af0dk.jpeg</v>
      </c>
      <c r="AV589" s="3" t="str">
        <f t="shared" ref="AV589:AV590" si="4">HYPERLINK("https://www.google.com/maps/place/7.9642912%2C-11.7205297", "7.9642912,-11.7205297")</f>
        <v>7.9642912,-11.7205297</v>
      </c>
    </row>
    <row r="590" ht="15.75" customHeight="1">
      <c r="A590" s="1" t="s">
        <v>3058</v>
      </c>
      <c r="B590" s="1" t="s">
        <v>81</v>
      </c>
      <c r="C590" s="1" t="s">
        <v>3053</v>
      </c>
      <c r="D590" s="1" t="s">
        <v>3053</v>
      </c>
      <c r="E590" s="1" t="s">
        <v>3059</v>
      </c>
      <c r="F590" s="1" t="s">
        <v>64</v>
      </c>
      <c r="G590" s="1">
        <v>5003.0</v>
      </c>
      <c r="H590" s="1" t="s">
        <v>50</v>
      </c>
      <c r="I590" s="1">
        <v>95.0</v>
      </c>
      <c r="J590" s="1">
        <v>48.0</v>
      </c>
      <c r="K590" s="1">
        <v>45.0</v>
      </c>
      <c r="L590" s="1">
        <v>47.0</v>
      </c>
      <c r="M590" s="1">
        <v>42.0</v>
      </c>
      <c r="N590" s="1" t="s">
        <v>51</v>
      </c>
      <c r="O590" s="1">
        <v>74.0</v>
      </c>
      <c r="P590" s="1">
        <v>35.0</v>
      </c>
      <c r="Q590" s="1">
        <v>35.0</v>
      </c>
      <c r="R590" s="1">
        <v>39.0</v>
      </c>
      <c r="S590" s="1">
        <v>39.0</v>
      </c>
      <c r="T590" s="1" t="s">
        <v>52</v>
      </c>
      <c r="U590" s="1">
        <v>80.0</v>
      </c>
      <c r="V590" s="1">
        <v>34.0</v>
      </c>
      <c r="W590" s="1">
        <v>34.0</v>
      </c>
      <c r="X590" s="1">
        <v>46.0</v>
      </c>
      <c r="Y590" s="1">
        <v>46.0</v>
      </c>
      <c r="Z590" s="1" t="s">
        <v>53</v>
      </c>
      <c r="AA590" s="1">
        <v>122.0</v>
      </c>
      <c r="AB590" s="1">
        <v>60.0</v>
      </c>
      <c r="AC590" s="1">
        <v>60.0</v>
      </c>
      <c r="AD590" s="1">
        <v>62.0</v>
      </c>
      <c r="AE590" s="1">
        <v>62.0</v>
      </c>
      <c r="AF590" s="1" t="s">
        <v>54</v>
      </c>
      <c r="AG590" s="1">
        <v>123.0</v>
      </c>
      <c r="AH590" s="1">
        <v>63.0</v>
      </c>
      <c r="AI590" s="1">
        <v>63.0</v>
      </c>
      <c r="AJ590" s="1">
        <v>60.0</v>
      </c>
      <c r="AK590" s="1">
        <v>60.0</v>
      </c>
      <c r="AL590" s="1">
        <v>486.0</v>
      </c>
      <c r="AM590" s="1" t="s">
        <v>55</v>
      </c>
      <c r="AN590" s="1">
        <v>4517.0</v>
      </c>
      <c r="AO590" s="1">
        <v>14.0</v>
      </c>
      <c r="AP590" s="1" t="s">
        <v>3060</v>
      </c>
      <c r="AQ590" s="3" t="str">
        <f>HYPERLINK("https://icf.clappia.com/app/GMB253374/submission/VBP63894239/ICF247370-GMB253374-48adljb6h1k000000000/SIG-20250630_145010ok60.jpeg", "SIG-20250630_145010ok60.jpeg")</f>
        <v>SIG-20250630_145010ok60.jpeg</v>
      </c>
      <c r="AR590" s="1" t="s">
        <v>3061</v>
      </c>
      <c r="AS590" s="3" t="str">
        <f>HYPERLINK("https://icf.clappia.com/app/GMB253374/submission/VBP63894239/ICF247370-GMB253374-g8cl3llf8p600000000/SIG-20250630_1453deb5m.jpeg", "SIG-20250630_1453deb5m.jpeg")</f>
        <v>SIG-20250630_1453deb5m.jpeg</v>
      </c>
      <c r="AT590" s="1" t="s">
        <v>3062</v>
      </c>
      <c r="AU590" s="3" t="str">
        <f>HYPERLINK("https://icf.clappia.com/app/GMB253374/submission/VBP63894239/ICF247370-GMB253374-55398jfph6k400000000/SIG-20250630_1454cjo83.jpeg", "SIG-20250630_1454cjo83.jpeg")</f>
        <v>SIG-20250630_1454cjo83.jpeg</v>
      </c>
      <c r="AV590" s="3" t="str">
        <f t="shared" si="4"/>
        <v>7.9642912,-11.7205297</v>
      </c>
    </row>
    <row r="591" ht="15.75" customHeight="1">
      <c r="A591" s="1" t="s">
        <v>3063</v>
      </c>
      <c r="B591" s="1" t="s">
        <v>167</v>
      </c>
      <c r="C591" s="1" t="s">
        <v>3064</v>
      </c>
      <c r="D591" s="1" t="s">
        <v>3064</v>
      </c>
      <c r="E591" s="1" t="s">
        <v>3065</v>
      </c>
      <c r="F591" s="1" t="s">
        <v>64</v>
      </c>
      <c r="G591" s="1">
        <v>150.0</v>
      </c>
      <c r="H591" s="1" t="s">
        <v>50</v>
      </c>
      <c r="I591" s="1">
        <v>57.0</v>
      </c>
      <c r="J591" s="1">
        <v>23.0</v>
      </c>
      <c r="K591" s="1">
        <v>11.0</v>
      </c>
      <c r="L591" s="1">
        <v>34.0</v>
      </c>
      <c r="M591" s="1">
        <v>16.0</v>
      </c>
      <c r="N591" s="1" t="s">
        <v>51</v>
      </c>
      <c r="O591" s="1">
        <v>55.0</v>
      </c>
      <c r="P591" s="1">
        <v>25.0</v>
      </c>
      <c r="Q591" s="1">
        <v>2.0</v>
      </c>
      <c r="R591" s="1">
        <v>30.0</v>
      </c>
      <c r="S591" s="1">
        <v>8.0</v>
      </c>
      <c r="T591" s="1" t="s">
        <v>52</v>
      </c>
      <c r="U591" s="1">
        <v>65.0</v>
      </c>
      <c r="V591" s="1">
        <v>34.0</v>
      </c>
      <c r="W591" s="1">
        <v>2.0</v>
      </c>
      <c r="X591" s="1">
        <v>31.0</v>
      </c>
      <c r="Y591" s="1">
        <v>8.0</v>
      </c>
      <c r="Z591" s="1" t="s">
        <v>53</v>
      </c>
      <c r="AA591" s="1">
        <v>56.0</v>
      </c>
      <c r="AB591" s="1">
        <v>30.0</v>
      </c>
      <c r="AC591" s="1">
        <v>5.0</v>
      </c>
      <c r="AD591" s="1">
        <v>26.0</v>
      </c>
      <c r="AE591" s="1">
        <v>7.0</v>
      </c>
      <c r="AF591" s="1" t="s">
        <v>54</v>
      </c>
      <c r="AG591" s="1">
        <v>50.0</v>
      </c>
      <c r="AH591" s="1">
        <v>22.0</v>
      </c>
      <c r="AI591" s="1">
        <v>10.0</v>
      </c>
      <c r="AJ591" s="1">
        <v>28.0</v>
      </c>
      <c r="AK591" s="1">
        <v>6.0</v>
      </c>
      <c r="AL591" s="1">
        <v>75.0</v>
      </c>
      <c r="AM591" s="1" t="s">
        <v>55</v>
      </c>
      <c r="AN591" s="1">
        <v>75.0</v>
      </c>
      <c r="AO591" s="1">
        <v>75.0</v>
      </c>
      <c r="AP591" s="1" t="s">
        <v>1428</v>
      </c>
      <c r="AQ591" s="3" t="str">
        <f>HYPERLINK("https://icf.clappia.com/app/GMB253374/submission/XZY29224123/ICF247370-GMB253374-48mdagp34b2i00000000/SIG-20250701_12497a497.jpeg", "SIG-20250701_12497a497.jpeg")</f>
        <v>SIG-20250701_12497a497.jpeg</v>
      </c>
      <c r="AR591" s="1" t="s">
        <v>3066</v>
      </c>
      <c r="AS591" s="3" t="str">
        <f>HYPERLINK("https://icf.clappia.com/app/GMB253374/submission/XZY29224123/ICF247370-GMB253374-28cg5g91enim40000000/SIG-20250701_125016bcoa.jpeg", "SIG-20250701_125016bcoa.jpeg")</f>
        <v>SIG-20250701_125016bcoa.jpeg</v>
      </c>
      <c r="AT591" s="1" t="s">
        <v>3067</v>
      </c>
      <c r="AU591" s="3" t="str">
        <f>HYPERLINK("https://icf.clappia.com/app/GMB253374/submission/XZY29224123/ICF247370-GMB253374-5750i4bejo8g00000000/SIG-20250701_1250176ebi.jpeg", "SIG-20250701_1250176ebi.jpeg")</f>
        <v>SIG-20250701_1250176ebi.jpeg</v>
      </c>
      <c r="AV591" s="3" t="str">
        <f>HYPERLINK("https://www.google.com/maps/place/7.7690617%2C-11.73048", "7.7690617,-11.73048")</f>
        <v>7.7690617,-11.73048</v>
      </c>
    </row>
    <row r="592" ht="15.75" customHeight="1">
      <c r="A592" s="1" t="s">
        <v>3068</v>
      </c>
      <c r="B592" s="1" t="s">
        <v>189</v>
      </c>
      <c r="C592" s="1" t="s">
        <v>3069</v>
      </c>
      <c r="D592" s="1" t="s">
        <v>3069</v>
      </c>
      <c r="E592" s="1" t="s">
        <v>3070</v>
      </c>
      <c r="F592" s="1" t="s">
        <v>64</v>
      </c>
      <c r="G592" s="1">
        <v>450.0</v>
      </c>
      <c r="H592" s="1" t="s">
        <v>50</v>
      </c>
      <c r="I592" s="1">
        <v>221.0</v>
      </c>
      <c r="J592" s="1">
        <v>221.0</v>
      </c>
      <c r="K592" s="1">
        <v>177.0</v>
      </c>
      <c r="L592" s="1" t="s">
        <v>55</v>
      </c>
      <c r="M592" s="1" t="s">
        <v>55</v>
      </c>
      <c r="N592" s="1" t="s">
        <v>51</v>
      </c>
      <c r="O592" s="1">
        <v>137.0</v>
      </c>
      <c r="P592" s="1">
        <v>137.0</v>
      </c>
      <c r="Q592" s="1">
        <v>111.0</v>
      </c>
      <c r="R592" s="1" t="s">
        <v>55</v>
      </c>
      <c r="S592" s="1" t="s">
        <v>55</v>
      </c>
      <c r="T592" s="1" t="s">
        <v>52</v>
      </c>
      <c r="U592" s="1">
        <v>163.0</v>
      </c>
      <c r="V592" s="1">
        <v>163.0</v>
      </c>
      <c r="W592" s="1">
        <v>137.0</v>
      </c>
      <c r="X592" s="1" t="s">
        <v>55</v>
      </c>
      <c r="Y592" s="1" t="s">
        <v>55</v>
      </c>
      <c r="Z592" s="1" t="s">
        <v>53</v>
      </c>
      <c r="AA592" s="1" t="s">
        <v>55</v>
      </c>
      <c r="AB592" s="1" t="s">
        <v>55</v>
      </c>
      <c r="AC592" s="1" t="s">
        <v>55</v>
      </c>
      <c r="AD592" s="1" t="s">
        <v>55</v>
      </c>
      <c r="AE592" s="1" t="s">
        <v>55</v>
      </c>
      <c r="AF592" s="1" t="s">
        <v>54</v>
      </c>
      <c r="AG592" s="1" t="s">
        <v>55</v>
      </c>
      <c r="AH592" s="1" t="s">
        <v>55</v>
      </c>
      <c r="AI592" s="1" t="s">
        <v>55</v>
      </c>
      <c r="AJ592" s="1" t="s">
        <v>55</v>
      </c>
      <c r="AK592" s="1" t="s">
        <v>55</v>
      </c>
      <c r="AL592" s="1">
        <v>425.0</v>
      </c>
      <c r="AM592" s="1" t="s">
        <v>55</v>
      </c>
      <c r="AN592" s="1">
        <v>25.0</v>
      </c>
      <c r="AO592" s="1">
        <v>25.0</v>
      </c>
      <c r="AP592" s="1" t="s">
        <v>1187</v>
      </c>
      <c r="AQ592" s="3" t="str">
        <f>HYPERLINK("https://icf.clappia.com/app/GMB253374/submission/WHN19985499/ICF247370-GMB253374-31pad4a8dnp600000000/SIG-20250701_13471831bi.jpeg", "SIG-20250701_13471831bi.jpeg")</f>
        <v>SIG-20250701_13471831bi.jpeg</v>
      </c>
      <c r="AR592" s="1" t="s">
        <v>1188</v>
      </c>
      <c r="AS592" s="3" t="str">
        <f>HYPERLINK("https://icf.clappia.com/app/GMB253374/submission/WHN19985499/ICF247370-GMB253374-2pg4iekejn7800000000/SIG-20250701_140515i5e4.jpeg", "SIG-20250701_140515i5e4.jpeg")</f>
        <v>SIG-20250701_140515i5e4.jpeg</v>
      </c>
      <c r="AT592" s="1" t="s">
        <v>3071</v>
      </c>
      <c r="AU592" s="3" t="str">
        <f>HYPERLINK("https://icf.clappia.com/app/GMB253374/submission/WHN19985499/ICF247370-GMB253374-63lc95ohmdmi00000000/SIG-20250701_1406mg0n6.jpeg", "SIG-20250701_1406mg0n6.jpeg")</f>
        <v>SIG-20250701_1406mg0n6.jpeg</v>
      </c>
      <c r="AV592" s="3" t="str">
        <f>HYPERLINK("https://www.google.com/maps/place/8.88356%2C-12.0366633", "8.88356,-12.0366633")</f>
        <v>8.88356,-12.0366633</v>
      </c>
    </row>
    <row r="593" ht="15.75" customHeight="1">
      <c r="A593" s="1" t="s">
        <v>3072</v>
      </c>
      <c r="B593" s="1" t="s">
        <v>94</v>
      </c>
      <c r="C593" s="1" t="s">
        <v>3069</v>
      </c>
      <c r="D593" s="1" t="s">
        <v>3069</v>
      </c>
      <c r="E593" s="1" t="s">
        <v>3073</v>
      </c>
      <c r="F593" s="1" t="s">
        <v>64</v>
      </c>
      <c r="G593" s="1">
        <v>258.0</v>
      </c>
      <c r="H593" s="1" t="s">
        <v>50</v>
      </c>
      <c r="I593" s="1">
        <v>64.0</v>
      </c>
      <c r="J593" s="1">
        <v>28.0</v>
      </c>
      <c r="K593" s="1">
        <v>28.0</v>
      </c>
      <c r="L593" s="1">
        <v>36.0</v>
      </c>
      <c r="M593" s="1">
        <v>36.0</v>
      </c>
      <c r="N593" s="1" t="s">
        <v>51</v>
      </c>
      <c r="O593" s="1">
        <v>64.0</v>
      </c>
      <c r="P593" s="1">
        <v>26.0</v>
      </c>
      <c r="Q593" s="1">
        <v>26.0</v>
      </c>
      <c r="R593" s="1">
        <v>38.0</v>
      </c>
      <c r="S593" s="1">
        <v>38.0</v>
      </c>
      <c r="T593" s="1" t="s">
        <v>52</v>
      </c>
      <c r="U593" s="1">
        <v>54.0</v>
      </c>
      <c r="V593" s="1">
        <v>21.0</v>
      </c>
      <c r="W593" s="1">
        <v>21.0</v>
      </c>
      <c r="X593" s="1">
        <v>33.0</v>
      </c>
      <c r="Y593" s="1">
        <v>33.0</v>
      </c>
      <c r="Z593" s="1" t="s">
        <v>53</v>
      </c>
      <c r="AA593" s="1">
        <v>48.0</v>
      </c>
      <c r="AB593" s="1">
        <v>18.0</v>
      </c>
      <c r="AC593" s="1">
        <v>18.0</v>
      </c>
      <c r="AD593" s="1">
        <v>30.0</v>
      </c>
      <c r="AE593" s="1">
        <v>30.0</v>
      </c>
      <c r="AF593" s="1" t="s">
        <v>54</v>
      </c>
      <c r="AG593" s="1">
        <v>28.0</v>
      </c>
      <c r="AH593" s="1">
        <v>11.0</v>
      </c>
      <c r="AI593" s="1">
        <v>11.0</v>
      </c>
      <c r="AJ593" s="1">
        <v>17.0</v>
      </c>
      <c r="AK593" s="1">
        <v>17.0</v>
      </c>
      <c r="AL593" s="1">
        <v>258.0</v>
      </c>
      <c r="AM593" s="1" t="s">
        <v>55</v>
      </c>
      <c r="AN593" s="1" t="s">
        <v>55</v>
      </c>
      <c r="AO593" s="1" t="s">
        <v>55</v>
      </c>
      <c r="AP593" s="1" t="s">
        <v>3074</v>
      </c>
      <c r="AQ593" s="3" t="str">
        <f>HYPERLINK("https://icf.clappia.com/app/GMB253374/submission/HQS48882272/ICF247370-GMB253374-6180f55odl4k00000000/SIG-20250701_1349hd0j6.jpeg", "SIG-20250701_1349hd0j6.jpeg")</f>
        <v>SIG-20250701_1349hd0j6.jpeg</v>
      </c>
      <c r="AR593" s="1" t="s">
        <v>3075</v>
      </c>
      <c r="AS593" s="3" t="str">
        <f>HYPERLINK("https://icf.clappia.com/app/GMB253374/submission/HQS48882272/ICF247370-GMB253374-2hj73hj1opoo00000000/SIG-20250701_1350mf4mb.jpeg", "SIG-20250701_1350mf4mb.jpeg")</f>
        <v>SIG-20250701_1350mf4mb.jpeg</v>
      </c>
      <c r="AT593" s="1" t="s">
        <v>3076</v>
      </c>
      <c r="AU593" s="3" t="str">
        <f>HYPERLINK("https://icf.clappia.com/app/GMB253374/submission/HQS48882272/ICF247370-GMB253374-3k1poo0mp5h800000000/SIG-20250701_1350815mn.jpeg", "SIG-20250701_1350815mn.jpeg")</f>
        <v>SIG-20250701_1350815mn.jpeg</v>
      </c>
      <c r="AV593" s="3" t="str">
        <f>HYPERLINK("https://www.google.com/maps/place/7.652695%2C-11.9639683", "7.652695,-11.9639683")</f>
        <v>7.652695,-11.9639683</v>
      </c>
    </row>
    <row r="594" ht="15.75" customHeight="1">
      <c r="A594" s="1" t="s">
        <v>3077</v>
      </c>
      <c r="B594" s="1" t="s">
        <v>75</v>
      </c>
      <c r="C594" s="1" t="s">
        <v>3078</v>
      </c>
      <c r="D594" s="1" t="s">
        <v>3078</v>
      </c>
      <c r="E594" s="1" t="s">
        <v>3079</v>
      </c>
      <c r="F594" s="1" t="s">
        <v>64</v>
      </c>
      <c r="G594" s="1">
        <v>160.0</v>
      </c>
      <c r="H594" s="1" t="s">
        <v>50</v>
      </c>
      <c r="I594" s="1">
        <v>49.0</v>
      </c>
      <c r="J594" s="1">
        <v>19.0</v>
      </c>
      <c r="K594" s="1">
        <v>19.0</v>
      </c>
      <c r="L594" s="1">
        <v>30.0</v>
      </c>
      <c r="M594" s="1">
        <v>30.0</v>
      </c>
      <c r="N594" s="1" t="s">
        <v>51</v>
      </c>
      <c r="O594" s="1">
        <v>38.0</v>
      </c>
      <c r="P594" s="1">
        <v>18.0</v>
      </c>
      <c r="Q594" s="1">
        <v>18.0</v>
      </c>
      <c r="R594" s="1">
        <v>20.0</v>
      </c>
      <c r="S594" s="1">
        <v>20.0</v>
      </c>
      <c r="T594" s="1" t="s">
        <v>52</v>
      </c>
      <c r="U594" s="1">
        <v>32.0</v>
      </c>
      <c r="V594" s="1">
        <v>14.0</v>
      </c>
      <c r="W594" s="1">
        <v>14.0</v>
      </c>
      <c r="X594" s="1">
        <v>18.0</v>
      </c>
      <c r="Y594" s="1">
        <v>18.0</v>
      </c>
      <c r="Z594" s="1" t="s">
        <v>53</v>
      </c>
      <c r="AA594" s="1">
        <v>18.0</v>
      </c>
      <c r="AB594" s="1">
        <v>8.0</v>
      </c>
      <c r="AC594" s="1">
        <v>8.0</v>
      </c>
      <c r="AD594" s="1">
        <v>10.0</v>
      </c>
      <c r="AE594" s="1">
        <v>10.0</v>
      </c>
      <c r="AF594" s="1" t="s">
        <v>54</v>
      </c>
      <c r="AG594" s="1">
        <v>16.0</v>
      </c>
      <c r="AH594" s="1">
        <v>7.0</v>
      </c>
      <c r="AI594" s="1">
        <v>7.0</v>
      </c>
      <c r="AJ594" s="1">
        <v>9.0</v>
      </c>
      <c r="AK594" s="1">
        <v>9.0</v>
      </c>
      <c r="AL594" s="1">
        <v>153.0</v>
      </c>
      <c r="AM594" s="1" t="s">
        <v>55</v>
      </c>
      <c r="AN594" s="1">
        <v>7.0</v>
      </c>
      <c r="AO594" s="1">
        <v>7.0</v>
      </c>
      <c r="AP594" s="1" t="s">
        <v>77</v>
      </c>
      <c r="AQ594" s="3" t="str">
        <f>HYPERLINK("https://icf.clappia.com/app/GMB253374/submission/HOD76171841/ICF247370-GMB253374-f1h1c188oboc0000000/SIG-20250701_1018jil7c.jpeg", "SIG-20250701_1018jil7c.jpeg")</f>
        <v>SIG-20250701_1018jil7c.jpeg</v>
      </c>
      <c r="AR594" s="1" t="s">
        <v>78</v>
      </c>
      <c r="AS594" s="3" t="str">
        <f>HYPERLINK("https://icf.clappia.com/app/GMB253374/submission/HOD76171841/ICF247370-GMB253374-27nif1mon0c2i000000/SIG-20250701_10191hg7m.jpeg", "SIG-20250701_10191hg7m.jpeg")</f>
        <v>SIG-20250701_10191hg7m.jpeg</v>
      </c>
      <c r="AT594" s="1" t="s">
        <v>79</v>
      </c>
      <c r="AU594" s="3" t="str">
        <f>HYPERLINK("https://icf.clappia.com/app/GMB253374/submission/HOD76171841/ICF247370-GMB253374-4dng94ghag5800000000/SIG-20250701_1019k2ic9.jpeg", "SIG-20250701_1019k2ic9.jpeg")</f>
        <v>SIG-20250701_1019k2ic9.jpeg</v>
      </c>
      <c r="AV594" s="3" t="str">
        <f>HYPERLINK("https://www.google.com/maps/place/9.0300017%2C-12.1576467", "9.0300017,-12.1576467")</f>
        <v>9.0300017,-12.1576467</v>
      </c>
    </row>
    <row r="595" ht="15.75" customHeight="1">
      <c r="A595" s="1" t="s">
        <v>3080</v>
      </c>
      <c r="B595" s="1" t="s">
        <v>248</v>
      </c>
      <c r="C595" s="1" t="s">
        <v>3081</v>
      </c>
      <c r="D595" s="1" t="s">
        <v>3081</v>
      </c>
      <c r="E595" s="1" t="s">
        <v>3082</v>
      </c>
      <c r="F595" s="1" t="s">
        <v>64</v>
      </c>
      <c r="G595" s="1">
        <v>50.0</v>
      </c>
      <c r="H595" s="1" t="s">
        <v>50</v>
      </c>
      <c r="I595" s="1" t="s">
        <v>55</v>
      </c>
      <c r="J595" s="1" t="s">
        <v>55</v>
      </c>
      <c r="K595" s="1" t="s">
        <v>55</v>
      </c>
      <c r="L595" s="1" t="s">
        <v>55</v>
      </c>
      <c r="M595" s="1" t="s">
        <v>55</v>
      </c>
      <c r="N595" s="1" t="s">
        <v>51</v>
      </c>
      <c r="O595" s="1" t="s">
        <v>55</v>
      </c>
      <c r="P595" s="1" t="s">
        <v>55</v>
      </c>
      <c r="Q595" s="1" t="s">
        <v>55</v>
      </c>
      <c r="R595" s="1" t="s">
        <v>55</v>
      </c>
      <c r="S595" s="1" t="s">
        <v>55</v>
      </c>
      <c r="T595" s="1" t="s">
        <v>52</v>
      </c>
      <c r="U595" s="1" t="s">
        <v>55</v>
      </c>
      <c r="V595" s="1" t="s">
        <v>55</v>
      </c>
      <c r="W595" s="1" t="s">
        <v>55</v>
      </c>
      <c r="X595" s="1" t="s">
        <v>55</v>
      </c>
      <c r="Y595" s="1" t="s">
        <v>55</v>
      </c>
      <c r="Z595" s="1" t="s">
        <v>53</v>
      </c>
      <c r="AA595" s="1">
        <v>28.0</v>
      </c>
      <c r="AB595" s="1">
        <v>10.0</v>
      </c>
      <c r="AC595" s="1">
        <v>10.0</v>
      </c>
      <c r="AD595" s="1">
        <v>10.0</v>
      </c>
      <c r="AE595" s="1">
        <v>10.0</v>
      </c>
      <c r="AF595" s="1" t="s">
        <v>54</v>
      </c>
      <c r="AG595" s="1">
        <v>25.0</v>
      </c>
      <c r="AH595" s="1">
        <v>13.0</v>
      </c>
      <c r="AI595" s="1">
        <v>13.0</v>
      </c>
      <c r="AJ595" s="1">
        <v>12.0</v>
      </c>
      <c r="AK595" s="1">
        <v>12.0</v>
      </c>
      <c r="AL595" s="1">
        <v>45.0</v>
      </c>
      <c r="AM595" s="1" t="s">
        <v>55</v>
      </c>
      <c r="AN595" s="1">
        <v>5.0</v>
      </c>
      <c r="AO595" s="1" t="s">
        <v>55</v>
      </c>
      <c r="AP595" s="1" t="s">
        <v>3083</v>
      </c>
      <c r="AQ595" s="3" t="str">
        <f>HYPERLINK("https://icf.clappia.com/app/GMB253374/submission/IKX41432456/ICF247370-GMB253374-4dmkg8j00phg00000000/SIG-20250701_135941fkd.jpeg", "SIG-20250701_135941fkd.jpeg")</f>
        <v>SIG-20250701_135941fkd.jpeg</v>
      </c>
      <c r="AR595" s="1" t="s">
        <v>3084</v>
      </c>
      <c r="AS595" s="3" t="str">
        <f>HYPERLINK("https://icf.clappia.com/app/GMB253374/submission/IKX41432456/ICF247370-GMB253374-30cm1be06p1600000000/SIG-20250701_13594jm6o.jpeg", "SIG-20250701_13594jm6o.jpeg")</f>
        <v>SIG-20250701_13594jm6o.jpeg</v>
      </c>
      <c r="AT595" s="1" t="s">
        <v>3085</v>
      </c>
      <c r="AU595" s="3" t="str">
        <f>HYPERLINK("https://icf.clappia.com/app/GMB253374/submission/IKX41432456/ICF247370-GMB253374-5al3g8b7g12200000000/SIG-20250701_14001ablkp.jpeg", "SIG-20250701_14001ablkp.jpeg")</f>
        <v>SIG-20250701_14001ablkp.jpeg</v>
      </c>
      <c r="AV595" s="3" t="str">
        <f>HYPERLINK("https://www.google.com/maps/place/7.8701667%2C-11.5087883", "7.8701667,-11.5087883")</f>
        <v>7.8701667,-11.5087883</v>
      </c>
    </row>
    <row r="596" ht="15.75" customHeight="1">
      <c r="A596" s="1" t="s">
        <v>3086</v>
      </c>
      <c r="B596" s="1" t="s">
        <v>161</v>
      </c>
      <c r="C596" s="1" t="s">
        <v>3081</v>
      </c>
      <c r="D596" s="1" t="s">
        <v>3081</v>
      </c>
      <c r="E596" s="1" t="s">
        <v>3087</v>
      </c>
      <c r="F596" s="1" t="s">
        <v>64</v>
      </c>
      <c r="G596" s="1">
        <v>275.0</v>
      </c>
      <c r="H596" s="1" t="s">
        <v>50</v>
      </c>
      <c r="I596" s="1">
        <v>100.0</v>
      </c>
      <c r="J596" s="1">
        <v>45.0</v>
      </c>
      <c r="K596" s="1">
        <v>45.0</v>
      </c>
      <c r="L596" s="1">
        <v>55.0</v>
      </c>
      <c r="M596" s="1">
        <v>55.0</v>
      </c>
      <c r="N596" s="1" t="s">
        <v>51</v>
      </c>
      <c r="O596" s="1">
        <v>95.0</v>
      </c>
      <c r="P596" s="1">
        <v>50.0</v>
      </c>
      <c r="Q596" s="1">
        <v>50.0</v>
      </c>
      <c r="R596" s="1">
        <v>45.0</v>
      </c>
      <c r="S596" s="1">
        <v>45.0</v>
      </c>
      <c r="T596" s="1" t="s">
        <v>52</v>
      </c>
      <c r="U596" s="1">
        <v>78.0</v>
      </c>
      <c r="V596" s="1">
        <v>38.0</v>
      </c>
      <c r="W596" s="1">
        <v>38.0</v>
      </c>
      <c r="X596" s="1">
        <v>40.0</v>
      </c>
      <c r="Y596" s="1">
        <v>40.0</v>
      </c>
      <c r="Z596" s="1" t="s">
        <v>53</v>
      </c>
      <c r="AA596" s="1" t="s">
        <v>55</v>
      </c>
      <c r="AB596" s="1" t="s">
        <v>55</v>
      </c>
      <c r="AC596" s="1" t="s">
        <v>55</v>
      </c>
      <c r="AD596" s="1" t="s">
        <v>55</v>
      </c>
      <c r="AE596" s="1" t="s">
        <v>55</v>
      </c>
      <c r="AF596" s="1" t="s">
        <v>54</v>
      </c>
      <c r="AG596" s="1" t="s">
        <v>55</v>
      </c>
      <c r="AH596" s="1" t="s">
        <v>55</v>
      </c>
      <c r="AI596" s="1" t="s">
        <v>55</v>
      </c>
      <c r="AJ596" s="1" t="s">
        <v>55</v>
      </c>
      <c r="AK596" s="1" t="s">
        <v>55</v>
      </c>
      <c r="AL596" s="1">
        <v>273.0</v>
      </c>
      <c r="AM596" s="1" t="s">
        <v>55</v>
      </c>
      <c r="AN596" s="1">
        <v>2.0</v>
      </c>
      <c r="AO596" s="1">
        <v>2.0</v>
      </c>
      <c r="AP596" s="1" t="s">
        <v>3088</v>
      </c>
      <c r="AQ596" s="3" t="str">
        <f>HYPERLINK("https://icf.clappia.com/app/GMB253374/submission/EAF64304405/ICF247370-GMB253374-4if0edhih2jm00000000/SIG-20250701_1358g7eg1.jpeg", "SIG-20250701_1358g7eg1.jpeg")</f>
        <v>SIG-20250701_1358g7eg1.jpeg</v>
      </c>
      <c r="AR596" s="1" t="s">
        <v>3089</v>
      </c>
      <c r="AS596" s="3" t="str">
        <f>HYPERLINK("https://icf.clappia.com/app/GMB253374/submission/EAF64304405/ICF247370-GMB253374-3hlljp64p89000000000/SIG-20250701_1358116ola.jpeg", "SIG-20250701_1358116ola.jpeg")</f>
        <v>SIG-20250701_1358116ola.jpeg</v>
      </c>
      <c r="AT596" s="1" t="s">
        <v>3090</v>
      </c>
      <c r="AU596" s="3" t="str">
        <f>HYPERLINK("https://icf.clappia.com/app/GMB253374/submission/EAF64304405/ICF247370-GMB253374-3pmhajckc20400000000/SIG-20250701_14015ec2j.jpeg", "SIG-20250701_14015ec2j.jpeg")</f>
        <v>SIG-20250701_14015ec2j.jpeg</v>
      </c>
      <c r="AV596" s="3" t="str">
        <f>HYPERLINK("https://www.google.com/maps/place/8.065432%2C-11.4720719", "8.065432,-11.4720719")</f>
        <v>8.065432,-11.4720719</v>
      </c>
    </row>
    <row r="597" ht="15.75" customHeight="1">
      <c r="A597" s="1" t="s">
        <v>3091</v>
      </c>
      <c r="B597" s="1" t="s">
        <v>167</v>
      </c>
      <c r="C597" s="1" t="s">
        <v>3092</v>
      </c>
      <c r="D597" s="1" t="s">
        <v>3092</v>
      </c>
      <c r="E597" s="1" t="s">
        <v>3093</v>
      </c>
      <c r="F597" s="1" t="s">
        <v>64</v>
      </c>
      <c r="G597" s="1">
        <v>150.0</v>
      </c>
      <c r="H597" s="1" t="s">
        <v>50</v>
      </c>
      <c r="I597" s="1">
        <v>44.0</v>
      </c>
      <c r="J597" s="1">
        <v>20.0</v>
      </c>
      <c r="K597" s="1">
        <v>14.0</v>
      </c>
      <c r="L597" s="1">
        <v>24.0</v>
      </c>
      <c r="M597" s="1">
        <v>6.0</v>
      </c>
      <c r="N597" s="1" t="s">
        <v>51</v>
      </c>
      <c r="O597" s="1">
        <v>43.0</v>
      </c>
      <c r="P597" s="1">
        <v>17.0</v>
      </c>
      <c r="Q597" s="1">
        <v>4.0</v>
      </c>
      <c r="R597" s="1">
        <v>26.0</v>
      </c>
      <c r="S597" s="1">
        <v>3.0</v>
      </c>
      <c r="T597" s="1" t="s">
        <v>52</v>
      </c>
      <c r="U597" s="1">
        <v>34.0</v>
      </c>
      <c r="V597" s="1">
        <v>13.0</v>
      </c>
      <c r="W597" s="1">
        <v>4.0</v>
      </c>
      <c r="X597" s="1">
        <v>21.0</v>
      </c>
      <c r="Y597" s="1">
        <v>5.0</v>
      </c>
      <c r="Z597" s="1" t="s">
        <v>53</v>
      </c>
      <c r="AA597" s="1">
        <v>35.0</v>
      </c>
      <c r="AB597" s="1">
        <v>14.0</v>
      </c>
      <c r="AC597" s="1">
        <v>5.0</v>
      </c>
      <c r="AD597" s="1">
        <v>21.0</v>
      </c>
      <c r="AE597" s="1" t="s">
        <v>55</v>
      </c>
      <c r="AF597" s="1" t="s">
        <v>54</v>
      </c>
      <c r="AG597" s="1">
        <v>31.0</v>
      </c>
      <c r="AH597" s="1">
        <v>12.0</v>
      </c>
      <c r="AI597" s="1">
        <v>5.0</v>
      </c>
      <c r="AJ597" s="1">
        <v>19.0</v>
      </c>
      <c r="AK597" s="1">
        <v>4.0</v>
      </c>
      <c r="AL597" s="1">
        <v>50.0</v>
      </c>
      <c r="AM597" s="1" t="s">
        <v>55</v>
      </c>
      <c r="AN597" s="1">
        <v>100.0</v>
      </c>
      <c r="AO597" s="1">
        <v>100.0</v>
      </c>
      <c r="AP597" s="1" t="s">
        <v>476</v>
      </c>
      <c r="AQ597" s="3" t="str">
        <f>HYPERLINK("https://icf.clappia.com/app/GMB253374/submission/KKZ55319948/ICF247370-GMB253374-5eop1525215200000000/SIG-20250701_125767onb.jpeg", "SIG-20250701_125767onb.jpeg")</f>
        <v>SIG-20250701_125767onb.jpeg</v>
      </c>
      <c r="AR597" s="1" t="s">
        <v>474</v>
      </c>
      <c r="AS597" s="3" t="str">
        <f>HYPERLINK("https://icf.clappia.com/app/GMB253374/submission/KKZ55319948/ICF247370-GMB253374-613pgmooiio200000000/SIG-20250701_1256kmg1.jpeg", "SIG-20250701_1256kmg1.jpeg")</f>
        <v>SIG-20250701_1256kmg1.jpeg</v>
      </c>
      <c r="AT597" s="1" t="s">
        <v>3094</v>
      </c>
      <c r="AU597" s="3" t="str">
        <f>HYPERLINK("https://icf.clappia.com/app/GMB253374/submission/KKZ55319948/ICF247370-GMB253374-1cc8g6clkh0720000000/SIG-20250701_12554cfgo.jpeg", "SIG-20250701_12554cfgo.jpeg")</f>
        <v>SIG-20250701_12554cfgo.jpeg</v>
      </c>
      <c r="AV597" s="3" t="str">
        <f>HYPERLINK("https://www.google.com/maps/place/7.7569851%2C-11.7638231", "7.7569851,-11.7638231")</f>
        <v>7.7569851,-11.7638231</v>
      </c>
    </row>
    <row r="598" ht="15.75" customHeight="1">
      <c r="A598" s="1" t="s">
        <v>3095</v>
      </c>
      <c r="B598" s="1" t="s">
        <v>94</v>
      </c>
      <c r="C598" s="1" t="s">
        <v>3096</v>
      </c>
      <c r="D598" s="1" t="s">
        <v>3096</v>
      </c>
      <c r="E598" s="1" t="s">
        <v>3097</v>
      </c>
      <c r="F598" s="1" t="s">
        <v>64</v>
      </c>
      <c r="G598" s="1">
        <v>130.0</v>
      </c>
      <c r="H598" s="1" t="s">
        <v>50</v>
      </c>
      <c r="I598" s="1">
        <v>45.0</v>
      </c>
      <c r="J598" s="1">
        <v>20.0</v>
      </c>
      <c r="K598" s="1">
        <v>20.0</v>
      </c>
      <c r="L598" s="1">
        <v>25.0</v>
      </c>
      <c r="M598" s="1">
        <v>25.0</v>
      </c>
      <c r="N598" s="1" t="s">
        <v>51</v>
      </c>
      <c r="O598" s="1">
        <v>23.0</v>
      </c>
      <c r="P598" s="1">
        <v>11.0</v>
      </c>
      <c r="Q598" s="1">
        <v>11.0</v>
      </c>
      <c r="R598" s="1">
        <v>12.0</v>
      </c>
      <c r="S598" s="1">
        <v>12.0</v>
      </c>
      <c r="T598" s="1" t="s">
        <v>52</v>
      </c>
      <c r="U598" s="1">
        <v>32.0</v>
      </c>
      <c r="V598" s="1">
        <v>16.0</v>
      </c>
      <c r="W598" s="1">
        <v>16.0</v>
      </c>
      <c r="X598" s="1">
        <v>16.0</v>
      </c>
      <c r="Y598" s="1">
        <v>16.0</v>
      </c>
      <c r="Z598" s="1" t="s">
        <v>53</v>
      </c>
      <c r="AA598" s="1">
        <v>17.0</v>
      </c>
      <c r="AB598" s="1">
        <v>9.0</v>
      </c>
      <c r="AC598" s="1">
        <v>9.0</v>
      </c>
      <c r="AD598" s="1">
        <v>8.0</v>
      </c>
      <c r="AE598" s="1">
        <v>8.0</v>
      </c>
      <c r="AF598" s="1" t="s">
        <v>54</v>
      </c>
      <c r="AG598" s="1">
        <v>13.0</v>
      </c>
      <c r="AH598" s="1">
        <v>6.0</v>
      </c>
      <c r="AI598" s="1">
        <v>6.0</v>
      </c>
      <c r="AJ598" s="1">
        <v>7.0</v>
      </c>
      <c r="AK598" s="1">
        <v>7.0</v>
      </c>
      <c r="AL598" s="1">
        <v>130.0</v>
      </c>
      <c r="AM598" s="1" t="s">
        <v>55</v>
      </c>
      <c r="AN598" s="1" t="s">
        <v>55</v>
      </c>
      <c r="AO598" s="1" t="s">
        <v>55</v>
      </c>
      <c r="AP598" s="1" t="s">
        <v>1714</v>
      </c>
      <c r="AQ598" s="3" t="str">
        <f>HYPERLINK("https://icf.clappia.com/app/GMB253374/submission/TUG07260458/ICF247370-GMB253374-1d7bdk2plk28o0000000/SIG-20250701_1347pplp1.jpeg", "SIG-20250701_1347pplp1.jpeg")</f>
        <v>SIG-20250701_1347pplp1.jpeg</v>
      </c>
      <c r="AR598" s="1" t="s">
        <v>3098</v>
      </c>
      <c r="AS598" s="3" t="str">
        <f>HYPERLINK("https://icf.clappia.com/app/GMB253374/submission/TUG07260458/ICF247370-GMB253374-589c8g5fl12000000000/SIG-20250701_13471a9pif.jpeg", "SIG-20250701_13471a9pif.jpeg")</f>
        <v>SIG-20250701_13471a9pif.jpeg</v>
      </c>
      <c r="AT598" s="1" t="s">
        <v>1716</v>
      </c>
      <c r="AU598" s="3" t="str">
        <f>HYPERLINK("https://icf.clappia.com/app/GMB253374/submission/TUG07260458/ICF247370-GMB253374-l8nlokn6oelm0000000/SIG-20250701_13476p6a5.jpeg", "SIG-20250701_13476p6a5.jpeg")</f>
        <v>SIG-20250701_13476p6a5.jpeg</v>
      </c>
      <c r="AV598" s="3" t="str">
        <f>HYPERLINK("https://www.google.com/maps/place/7.6538857%2C-11.8916201", "7.6538857,-11.8916201")</f>
        <v>7.6538857,-11.8916201</v>
      </c>
    </row>
    <row r="599" ht="15.75" customHeight="1">
      <c r="A599" s="1" t="s">
        <v>3099</v>
      </c>
      <c r="B599" s="1" t="s">
        <v>248</v>
      </c>
      <c r="C599" s="1" t="s">
        <v>3100</v>
      </c>
      <c r="D599" s="1" t="s">
        <v>3100</v>
      </c>
      <c r="E599" s="1" t="s">
        <v>3101</v>
      </c>
      <c r="F599" s="1" t="s">
        <v>64</v>
      </c>
      <c r="G599" s="1">
        <v>212.0</v>
      </c>
      <c r="H599" s="1" t="s">
        <v>50</v>
      </c>
      <c r="I599" s="1">
        <v>65.0</v>
      </c>
      <c r="J599" s="1">
        <v>40.0</v>
      </c>
      <c r="K599" s="1">
        <v>40.0</v>
      </c>
      <c r="L599" s="1">
        <v>25.0</v>
      </c>
      <c r="M599" s="1">
        <v>25.0</v>
      </c>
      <c r="N599" s="1" t="s">
        <v>51</v>
      </c>
      <c r="O599" s="1">
        <v>50.0</v>
      </c>
      <c r="P599" s="1">
        <v>15.0</v>
      </c>
      <c r="Q599" s="1">
        <v>15.0</v>
      </c>
      <c r="R599" s="1">
        <v>20.0</v>
      </c>
      <c r="S599" s="1">
        <v>20.0</v>
      </c>
      <c r="T599" s="1" t="s">
        <v>52</v>
      </c>
      <c r="U599" s="1">
        <v>60.0</v>
      </c>
      <c r="V599" s="1">
        <v>40.0</v>
      </c>
      <c r="W599" s="1">
        <v>40.0</v>
      </c>
      <c r="X599" s="1">
        <v>20.0</v>
      </c>
      <c r="Y599" s="1">
        <v>20.0</v>
      </c>
      <c r="Z599" s="1" t="s">
        <v>53</v>
      </c>
      <c r="AA599" s="1">
        <v>30.0</v>
      </c>
      <c r="AB599" s="1">
        <v>15.0</v>
      </c>
      <c r="AC599" s="1">
        <v>15.0</v>
      </c>
      <c r="AD599" s="1">
        <v>15.0</v>
      </c>
      <c r="AE599" s="1">
        <v>15.0</v>
      </c>
      <c r="AF599" s="1" t="s">
        <v>54</v>
      </c>
      <c r="AG599" s="1">
        <v>22.0</v>
      </c>
      <c r="AH599" s="1">
        <v>10.0</v>
      </c>
      <c r="AI599" s="1">
        <v>10.0</v>
      </c>
      <c r="AJ599" s="1">
        <v>12.0</v>
      </c>
      <c r="AK599" s="1">
        <v>12.0</v>
      </c>
      <c r="AL599" s="1">
        <v>212.0</v>
      </c>
      <c r="AM599" s="1" t="s">
        <v>55</v>
      </c>
      <c r="AN599" s="1" t="s">
        <v>55</v>
      </c>
      <c r="AO599" s="1" t="s">
        <v>55</v>
      </c>
      <c r="AP599" s="1" t="s">
        <v>3102</v>
      </c>
      <c r="AQ599" s="3" t="str">
        <f>HYPERLINK("https://icf.clappia.com/app/GMB253374/submission/PTF59759654/ICF247370-GMB253374-gfi6khn47oo80000000/SIG-20250701_0920165cc3.jpeg", "SIG-20250701_0920165cc3.jpeg")</f>
        <v>SIG-20250701_0920165cc3.jpeg</v>
      </c>
      <c r="AR599" s="1" t="s">
        <v>3103</v>
      </c>
      <c r="AS599" s="3" t="str">
        <f>HYPERLINK("https://icf.clappia.com/app/GMB253374/submission/PTF59759654/ICF247370-GMB253374-51b6l61a13he00000000/SIG-20250701_12011437jd.jpeg", "SIG-20250701_12011437jd.jpeg")</f>
        <v>SIG-20250701_12011437jd.jpeg</v>
      </c>
      <c r="AT599" s="1" t="s">
        <v>3104</v>
      </c>
      <c r="AU599" s="3" t="str">
        <f>HYPERLINK("https://icf.clappia.com/app/GMB253374/submission/PTF59759654/ICF247370-GMB253374-fik6pdjn88ek0000000/SIG-20250701_1200mfkh.jpeg", "SIG-20250701_1200mfkh.jpeg")</f>
        <v>SIG-20250701_1200mfkh.jpeg</v>
      </c>
      <c r="AV599" s="3" t="str">
        <f>HYPERLINK("https://www.google.com/maps/place/7.9366162%2C-11.4912446", "7.9366162,-11.4912446")</f>
        <v>7.9366162,-11.4912446</v>
      </c>
    </row>
    <row r="600" ht="15.75" customHeight="1">
      <c r="A600" s="1" t="s">
        <v>3105</v>
      </c>
      <c r="B600" s="1" t="s">
        <v>167</v>
      </c>
      <c r="C600" s="1" t="s">
        <v>3106</v>
      </c>
      <c r="D600" s="1" t="s">
        <v>3106</v>
      </c>
      <c r="E600" s="1" t="s">
        <v>3107</v>
      </c>
      <c r="F600" s="1" t="s">
        <v>64</v>
      </c>
      <c r="G600" s="1">
        <v>183.0</v>
      </c>
      <c r="H600" s="1" t="s">
        <v>50</v>
      </c>
      <c r="I600" s="1">
        <v>95.0</v>
      </c>
      <c r="J600" s="1">
        <v>45.0</v>
      </c>
      <c r="K600" s="1">
        <v>40.0</v>
      </c>
      <c r="L600" s="1">
        <v>50.0</v>
      </c>
      <c r="M600" s="1">
        <v>45.0</v>
      </c>
      <c r="N600" s="1" t="s">
        <v>51</v>
      </c>
      <c r="O600" s="1">
        <v>26.0</v>
      </c>
      <c r="P600" s="1">
        <v>15.0</v>
      </c>
      <c r="Q600" s="1">
        <v>10.0</v>
      </c>
      <c r="R600" s="1">
        <v>11.0</v>
      </c>
      <c r="S600" s="1">
        <v>11.0</v>
      </c>
      <c r="T600" s="1" t="s">
        <v>52</v>
      </c>
      <c r="U600" s="1">
        <v>19.0</v>
      </c>
      <c r="V600" s="1">
        <v>6.0</v>
      </c>
      <c r="W600" s="1">
        <v>6.0</v>
      </c>
      <c r="X600" s="1">
        <v>13.0</v>
      </c>
      <c r="Y600" s="1">
        <v>12.0</v>
      </c>
      <c r="Z600" s="1" t="s">
        <v>53</v>
      </c>
      <c r="AA600" s="1">
        <v>25.0</v>
      </c>
      <c r="AB600" s="1">
        <v>15.0</v>
      </c>
      <c r="AC600" s="1">
        <v>14.0</v>
      </c>
      <c r="AD600" s="1">
        <v>10.0</v>
      </c>
      <c r="AE600" s="1">
        <v>10.0</v>
      </c>
      <c r="AF600" s="1" t="s">
        <v>54</v>
      </c>
      <c r="AG600" s="1">
        <v>25.0</v>
      </c>
      <c r="AH600" s="1">
        <v>15.0</v>
      </c>
      <c r="AI600" s="1">
        <v>15.0</v>
      </c>
      <c r="AJ600" s="1">
        <v>10.0</v>
      </c>
      <c r="AK600" s="1">
        <v>10.0</v>
      </c>
      <c r="AL600" s="1">
        <v>173.0</v>
      </c>
      <c r="AM600" s="1">
        <v>10.0</v>
      </c>
      <c r="AN600" s="1" t="s">
        <v>55</v>
      </c>
      <c r="AO600" s="1" t="s">
        <v>55</v>
      </c>
      <c r="AP600" s="1" t="s">
        <v>678</v>
      </c>
      <c r="AQ600" s="3" t="str">
        <f>HYPERLINK("https://icf.clappia.com/app/GMB253374/submission/FQZ29092863/ICF247370-GMB253374-5j8hcehliioo00000000/SIG-20250630_181513pi4l.jpeg", "SIG-20250630_181513pi4l.jpeg")</f>
        <v>SIG-20250630_181513pi4l.jpeg</v>
      </c>
      <c r="AR600" s="1" t="s">
        <v>3108</v>
      </c>
      <c r="AS600" s="3" t="str">
        <f>HYPERLINK("https://icf.clappia.com/app/GMB253374/submission/FQZ29092863/ICF247370-GMB253374-34p7mcibn8bm00000000/SIG-20250630_18164l4c1.jpeg", "SIG-20250630_18164l4c1.jpeg")</f>
        <v>SIG-20250630_18164l4c1.jpeg</v>
      </c>
      <c r="AT600" s="1" t="s">
        <v>3109</v>
      </c>
      <c r="AU600" s="3" t="str">
        <f>HYPERLINK("https://icf.clappia.com/app/GMB253374/submission/FQZ29092863/ICF247370-GMB253374-5aah1cm9feoi00000000/SIG-20250630_182411f186.jpeg", "SIG-20250630_182411f186.jpeg")</f>
        <v>SIG-20250630_182411f186.jpeg</v>
      </c>
      <c r="AV600" s="3" t="str">
        <f>HYPERLINK("https://www.google.com/maps/place/7.7728165%2C-11.722665", "7.7728165,-11.722665")</f>
        <v>7.7728165,-11.722665</v>
      </c>
    </row>
    <row r="601" ht="15.75" customHeight="1">
      <c r="A601" s="1" t="s">
        <v>3110</v>
      </c>
      <c r="B601" s="1" t="s">
        <v>69</v>
      </c>
      <c r="C601" s="1" t="s">
        <v>3111</v>
      </c>
      <c r="D601" s="1" t="s">
        <v>3111</v>
      </c>
      <c r="E601" s="1" t="s">
        <v>3112</v>
      </c>
      <c r="F601" s="1" t="s">
        <v>64</v>
      </c>
      <c r="G601" s="1">
        <v>100.0</v>
      </c>
      <c r="H601" s="1" t="s">
        <v>50</v>
      </c>
      <c r="I601" s="1" t="s">
        <v>55</v>
      </c>
      <c r="J601" s="1" t="s">
        <v>55</v>
      </c>
      <c r="K601" s="1" t="s">
        <v>55</v>
      </c>
      <c r="L601" s="1" t="s">
        <v>55</v>
      </c>
      <c r="M601" s="1" t="s">
        <v>55</v>
      </c>
      <c r="N601" s="1" t="s">
        <v>51</v>
      </c>
      <c r="O601" s="1" t="s">
        <v>55</v>
      </c>
      <c r="P601" s="1" t="s">
        <v>55</v>
      </c>
      <c r="Q601" s="1" t="s">
        <v>55</v>
      </c>
      <c r="R601" s="1" t="s">
        <v>55</v>
      </c>
      <c r="S601" s="1" t="s">
        <v>55</v>
      </c>
      <c r="T601" s="1" t="s">
        <v>52</v>
      </c>
      <c r="U601" s="1" t="s">
        <v>55</v>
      </c>
      <c r="V601" s="1" t="s">
        <v>55</v>
      </c>
      <c r="W601" s="1" t="s">
        <v>55</v>
      </c>
      <c r="X601" s="1" t="s">
        <v>55</v>
      </c>
      <c r="Y601" s="1" t="s">
        <v>55</v>
      </c>
      <c r="Z601" s="1" t="s">
        <v>53</v>
      </c>
      <c r="AA601" s="1">
        <v>51.0</v>
      </c>
      <c r="AB601" s="1">
        <v>22.0</v>
      </c>
      <c r="AC601" s="1">
        <v>22.0</v>
      </c>
      <c r="AD601" s="1">
        <v>29.0</v>
      </c>
      <c r="AE601" s="1">
        <v>29.0</v>
      </c>
      <c r="AF601" s="1" t="s">
        <v>54</v>
      </c>
      <c r="AG601" s="1">
        <v>49.0</v>
      </c>
      <c r="AH601" s="1">
        <v>35.0</v>
      </c>
      <c r="AI601" s="1">
        <v>35.0</v>
      </c>
      <c r="AJ601" s="1">
        <v>14.0</v>
      </c>
      <c r="AK601" s="1">
        <v>14.0</v>
      </c>
      <c r="AL601" s="1">
        <v>100.0</v>
      </c>
      <c r="AM601" s="1" t="s">
        <v>523</v>
      </c>
      <c r="AN601" s="1" t="s">
        <v>55</v>
      </c>
      <c r="AO601" s="1" t="s">
        <v>55</v>
      </c>
      <c r="AP601" s="1" t="s">
        <v>3113</v>
      </c>
      <c r="AQ601" s="3" t="str">
        <f>HYPERLINK("https://icf.clappia.com/app/GMB253374/submission/IDT25782609/ICF247370-GMB253374-38fj2l5p2b5000000000/SIG-20250701_1334200hd.jpeg", "SIG-20250701_1334200hd.jpeg")</f>
        <v>SIG-20250701_1334200hd.jpeg</v>
      </c>
      <c r="AR601" s="1" t="s">
        <v>3114</v>
      </c>
      <c r="AS601" s="3" t="str">
        <f>HYPERLINK("https://icf.clappia.com/app/GMB253374/submission/IDT25782609/ICF247370-GMB253374-2eg3cbahal0a00000000/SIG-20250701_1335136deo.jpeg", "SIG-20250701_1335136deo.jpeg")</f>
        <v>SIG-20250701_1335136deo.jpeg</v>
      </c>
      <c r="AT601" s="1" t="s">
        <v>3115</v>
      </c>
      <c r="AU601" s="3" t="str">
        <f>HYPERLINK("https://icf.clappia.com/app/GMB253374/submission/IDT25782609/ICF247370-GMB253374-37of01d0m8n400000000/SIG-20250701_1336l5jg7.jpeg", "SIG-20250701_1336l5jg7.jpeg")</f>
        <v>SIG-20250701_1336l5jg7.jpeg</v>
      </c>
      <c r="AV601" s="3" t="str">
        <f>HYPERLINK("https://www.google.com/maps/place/8.83932%2C-12.1161883", "8.83932,-12.1161883")</f>
        <v>8.83932,-12.1161883</v>
      </c>
    </row>
    <row r="602" ht="15.75" customHeight="1">
      <c r="A602" s="1" t="s">
        <v>3116</v>
      </c>
      <c r="B602" s="1" t="s">
        <v>94</v>
      </c>
      <c r="C602" s="1" t="s">
        <v>3117</v>
      </c>
      <c r="D602" s="1" t="s">
        <v>3118</v>
      </c>
      <c r="E602" s="1" t="s">
        <v>3119</v>
      </c>
      <c r="F602" s="1" t="s">
        <v>64</v>
      </c>
      <c r="G602" s="1">
        <v>266.0</v>
      </c>
      <c r="H602" s="1" t="s">
        <v>50</v>
      </c>
      <c r="I602" s="1">
        <v>89.0</v>
      </c>
      <c r="J602" s="1">
        <v>40.0</v>
      </c>
      <c r="K602" s="1">
        <v>40.0</v>
      </c>
      <c r="L602" s="1">
        <v>49.0</v>
      </c>
      <c r="M602" s="1">
        <v>49.0</v>
      </c>
      <c r="N602" s="1" t="s">
        <v>51</v>
      </c>
      <c r="O602" s="1">
        <v>52.0</v>
      </c>
      <c r="P602" s="1">
        <v>24.0</v>
      </c>
      <c r="Q602" s="1">
        <v>24.0</v>
      </c>
      <c r="R602" s="1">
        <v>28.0</v>
      </c>
      <c r="S602" s="1">
        <v>28.0</v>
      </c>
      <c r="T602" s="1" t="s">
        <v>52</v>
      </c>
      <c r="U602" s="1">
        <v>54.0</v>
      </c>
      <c r="V602" s="1">
        <v>26.0</v>
      </c>
      <c r="W602" s="1">
        <v>26.0</v>
      </c>
      <c r="X602" s="1">
        <v>28.0</v>
      </c>
      <c r="Y602" s="1">
        <v>28.0</v>
      </c>
      <c r="Z602" s="1" t="s">
        <v>53</v>
      </c>
      <c r="AA602" s="1">
        <v>39.0</v>
      </c>
      <c r="AB602" s="1">
        <v>14.0</v>
      </c>
      <c r="AC602" s="1">
        <v>14.0</v>
      </c>
      <c r="AD602" s="1">
        <v>25.0</v>
      </c>
      <c r="AE602" s="1">
        <v>25.0</v>
      </c>
      <c r="AF602" s="1" t="s">
        <v>54</v>
      </c>
      <c r="AG602" s="1">
        <v>32.0</v>
      </c>
      <c r="AH602" s="1">
        <v>16.0</v>
      </c>
      <c r="AI602" s="1">
        <v>16.0</v>
      </c>
      <c r="AJ602" s="1">
        <v>16.0</v>
      </c>
      <c r="AK602" s="1">
        <v>16.0</v>
      </c>
      <c r="AL602" s="1">
        <v>266.0</v>
      </c>
      <c r="AM602" s="1" t="s">
        <v>55</v>
      </c>
      <c r="AN602" s="1" t="s">
        <v>55</v>
      </c>
      <c r="AO602" s="1" t="s">
        <v>55</v>
      </c>
      <c r="AP602" s="1" t="s">
        <v>3120</v>
      </c>
      <c r="AQ602" s="3" t="str">
        <f>HYPERLINK("https://icf.clappia.com/app/GMB253374/submission/QNP65120162/ICF247370-GMB253374-3b4a4ek36phk00000000/SIG-20250630_1432apfdj.jpeg", "SIG-20250630_1432apfdj.jpeg")</f>
        <v>SIG-20250630_1432apfdj.jpeg</v>
      </c>
      <c r="AR602" s="1" t="s">
        <v>3098</v>
      </c>
      <c r="AS602" s="3" t="str">
        <f>HYPERLINK("https://icf.clappia.com/app/GMB253374/submission/QNP65120162/ICF247370-GMB253374-31gf8a8319ig00000000/SIG-20250630_143314ebg9.jpeg", "SIG-20250630_143314ebg9.jpeg")</f>
        <v>SIG-20250630_143314ebg9.jpeg</v>
      </c>
      <c r="AT602" s="1" t="s">
        <v>3121</v>
      </c>
      <c r="AU602" s="3" t="str">
        <f>HYPERLINK("https://icf.clappia.com/app/GMB253374/submission/QNP65120162/ICF247370-GMB253374-199enaoho37je0000000/SIG-20250630_14349e7j5.jpeg", "SIG-20250630_14349e7j5.jpeg")</f>
        <v>SIG-20250630_14349e7j5.jpeg</v>
      </c>
      <c r="AV602" s="3" t="str">
        <f>HYPERLINK("https://www.google.com/maps/place/7.6538517%2C-11.8910583", "7.6538517,-11.8910583")</f>
        <v>7.6538517,-11.8910583</v>
      </c>
    </row>
    <row r="603" ht="15.75" customHeight="1">
      <c r="A603" s="1" t="s">
        <v>3122</v>
      </c>
      <c r="B603" s="1" t="s">
        <v>75</v>
      </c>
      <c r="C603" s="1" t="s">
        <v>3123</v>
      </c>
      <c r="D603" s="1" t="s">
        <v>3123</v>
      </c>
      <c r="E603" s="1" t="s">
        <v>3124</v>
      </c>
      <c r="F603" s="1" t="s">
        <v>64</v>
      </c>
      <c r="G603" s="1">
        <v>274.0</v>
      </c>
      <c r="H603" s="1" t="s">
        <v>50</v>
      </c>
      <c r="I603" s="1">
        <v>72.0</v>
      </c>
      <c r="J603" s="1">
        <v>32.0</v>
      </c>
      <c r="K603" s="1">
        <v>32.0</v>
      </c>
      <c r="L603" s="1">
        <v>40.0</v>
      </c>
      <c r="M603" s="1">
        <v>40.0</v>
      </c>
      <c r="N603" s="1" t="s">
        <v>51</v>
      </c>
      <c r="O603" s="1">
        <v>49.0</v>
      </c>
      <c r="P603" s="1">
        <v>23.0</v>
      </c>
      <c r="Q603" s="1">
        <v>23.0</v>
      </c>
      <c r="R603" s="1">
        <v>26.0</v>
      </c>
      <c r="S603" s="1">
        <v>26.0</v>
      </c>
      <c r="T603" s="1" t="s">
        <v>52</v>
      </c>
      <c r="U603" s="1">
        <v>47.0</v>
      </c>
      <c r="V603" s="1">
        <v>22.0</v>
      </c>
      <c r="W603" s="1">
        <v>20.0</v>
      </c>
      <c r="X603" s="1">
        <v>25.0</v>
      </c>
      <c r="Y603" s="1">
        <v>23.0</v>
      </c>
      <c r="Z603" s="1" t="s">
        <v>53</v>
      </c>
      <c r="AA603" s="1">
        <v>47.0</v>
      </c>
      <c r="AB603" s="1">
        <v>24.0</v>
      </c>
      <c r="AC603" s="1">
        <v>23.0</v>
      </c>
      <c r="AD603" s="1">
        <v>23.0</v>
      </c>
      <c r="AE603" s="1">
        <v>22.0</v>
      </c>
      <c r="AF603" s="1" t="s">
        <v>54</v>
      </c>
      <c r="AG603" s="1">
        <v>45.0</v>
      </c>
      <c r="AH603" s="1">
        <v>22.0</v>
      </c>
      <c r="AI603" s="1">
        <v>20.0</v>
      </c>
      <c r="AJ603" s="1">
        <v>23.0</v>
      </c>
      <c r="AK603" s="1">
        <v>21.0</v>
      </c>
      <c r="AL603" s="1">
        <v>250.0</v>
      </c>
      <c r="AM603" s="1">
        <v>10.0</v>
      </c>
      <c r="AN603" s="1">
        <v>14.0</v>
      </c>
      <c r="AO603" s="1">
        <v>14.0</v>
      </c>
      <c r="AP603" s="1" t="s">
        <v>2507</v>
      </c>
      <c r="AQ603" s="3" t="str">
        <f>HYPERLINK("https://icf.clappia.com/app/GMB253374/submission/MID30833270/ICF247370-GMB253374-40oic1cafike0000000/SIG-20250701_132917kfl2.jpeg", "SIG-20250701_132917kfl2.jpeg")</f>
        <v>SIG-20250701_132917kfl2.jpeg</v>
      </c>
      <c r="AR603" s="1" t="s">
        <v>3125</v>
      </c>
      <c r="AS603" s="3" t="str">
        <f>HYPERLINK("https://icf.clappia.com/app/GMB253374/submission/MID30833270/ICF247370-GMB253374-6b3799bmc67a00000000/SIG-20250701_1331185g1i.jpeg", "SIG-20250701_1331185g1i.jpeg")</f>
        <v>SIG-20250701_1331185g1i.jpeg</v>
      </c>
      <c r="AT603" s="1" t="s">
        <v>3126</v>
      </c>
      <c r="AU603" s="3" t="str">
        <f>HYPERLINK("https://icf.clappia.com/app/GMB253374/submission/MID30833270/ICF247370-GMB253374-2j2no24jlp6m00000000/SIG-20250701_133113oig7.jpeg", "SIG-20250701_133113oig7.jpeg")</f>
        <v>SIG-20250701_133113oig7.jpeg</v>
      </c>
      <c r="AV603" s="3" t="str">
        <f>HYPERLINK("https://www.google.com/maps/place/9.0299146%2C-12.1574655", "9.0299146,-12.1574655")</f>
        <v>9.0299146,-12.1574655</v>
      </c>
    </row>
    <row r="604" ht="15.75" customHeight="1">
      <c r="A604" s="1" t="s">
        <v>3127</v>
      </c>
      <c r="B604" s="1" t="s">
        <v>81</v>
      </c>
      <c r="C604" s="1" t="s">
        <v>3128</v>
      </c>
      <c r="D604" s="1" t="s">
        <v>3128</v>
      </c>
      <c r="E604" s="1" t="s">
        <v>3129</v>
      </c>
      <c r="F604" s="1" t="s">
        <v>64</v>
      </c>
      <c r="G604" s="1">
        <v>198.0</v>
      </c>
      <c r="H604" s="1" t="s">
        <v>50</v>
      </c>
      <c r="I604" s="1">
        <v>72.0</v>
      </c>
      <c r="J604" s="1">
        <v>38.0</v>
      </c>
      <c r="K604" s="1">
        <v>14.0</v>
      </c>
      <c r="L604" s="1">
        <v>34.0</v>
      </c>
      <c r="M604" s="1">
        <v>14.0</v>
      </c>
      <c r="N604" s="1" t="s">
        <v>51</v>
      </c>
      <c r="O604" s="1">
        <v>59.0</v>
      </c>
      <c r="P604" s="1">
        <v>28.0</v>
      </c>
      <c r="Q604" s="1">
        <v>27.0</v>
      </c>
      <c r="R604" s="1">
        <v>31.0</v>
      </c>
      <c r="S604" s="1">
        <v>28.0</v>
      </c>
      <c r="T604" s="1" t="s">
        <v>52</v>
      </c>
      <c r="U604" s="1">
        <v>63.0</v>
      </c>
      <c r="V604" s="1">
        <v>32.0</v>
      </c>
      <c r="W604" s="1">
        <v>31.0</v>
      </c>
      <c r="X604" s="1">
        <v>26.0</v>
      </c>
      <c r="Y604" s="1">
        <v>26.0</v>
      </c>
      <c r="Z604" s="1" t="s">
        <v>53</v>
      </c>
      <c r="AA604" s="1">
        <v>32.0</v>
      </c>
      <c r="AB604" s="1">
        <v>12.0</v>
      </c>
      <c r="AC604" s="1">
        <v>11.0</v>
      </c>
      <c r="AD604" s="1">
        <v>20.0</v>
      </c>
      <c r="AE604" s="1">
        <v>19.0</v>
      </c>
      <c r="AF604" s="1" t="s">
        <v>54</v>
      </c>
      <c r="AG604" s="1">
        <v>29.0</v>
      </c>
      <c r="AH604" s="1">
        <v>13.0</v>
      </c>
      <c r="AI604" s="1">
        <v>12.0</v>
      </c>
      <c r="AJ604" s="1">
        <v>16.0</v>
      </c>
      <c r="AK604" s="1">
        <v>16.0</v>
      </c>
      <c r="AL604" s="1">
        <v>198.0</v>
      </c>
      <c r="AM604" s="1" t="s">
        <v>55</v>
      </c>
      <c r="AN604" s="1" t="s">
        <v>55</v>
      </c>
      <c r="AO604" s="1" t="s">
        <v>55</v>
      </c>
      <c r="AP604" s="1" t="s">
        <v>921</v>
      </c>
      <c r="AQ604" s="3" t="str">
        <f>HYPERLINK("https://icf.clappia.com/app/GMB253374/submission/KMD63552483/ICF247370-GMB253374-4dcn06dlle8k00000000/SIG-20250701_1209efm6d.jpeg", "SIG-20250701_1209efm6d.jpeg")</f>
        <v>SIG-20250701_1209efm6d.jpeg</v>
      </c>
      <c r="AR604" s="1" t="s">
        <v>922</v>
      </c>
      <c r="AS604" s="3" t="str">
        <f>HYPERLINK("https://icf.clappia.com/app/GMB253374/submission/KMD63552483/ICF247370-GMB253374-5h4jjnb05bm600000000/SIG-20250701_1209153l43.jpeg", "SIG-20250701_1209153l43.jpeg")</f>
        <v>SIG-20250701_1209153l43.jpeg</v>
      </c>
      <c r="AT604" s="1" t="s">
        <v>2126</v>
      </c>
      <c r="AU604" s="3" t="str">
        <f>HYPERLINK("https://icf.clappia.com/app/GMB253374/submission/KMD63552483/ICF247370-GMB253374-42362apmai0m00000000/SIG-20250701_1210o291.jpeg", "SIG-20250701_1210o291.jpeg")</f>
        <v>SIG-20250701_1210o291.jpeg</v>
      </c>
      <c r="AV604" s="3" t="str">
        <f>HYPERLINK("https://www.google.com/maps/place/7.9435175%2C-11.7321913", "7.9435175,-11.7321913")</f>
        <v>7.9435175,-11.7321913</v>
      </c>
    </row>
    <row r="605" ht="15.75" customHeight="1">
      <c r="A605" s="1" t="s">
        <v>3130</v>
      </c>
      <c r="B605" s="1" t="s">
        <v>2328</v>
      </c>
      <c r="C605" s="1" t="s">
        <v>3131</v>
      </c>
      <c r="D605" s="1" t="s">
        <v>3131</v>
      </c>
      <c r="E605" s="1" t="s">
        <v>3132</v>
      </c>
      <c r="F605" s="1" t="s">
        <v>64</v>
      </c>
      <c r="G605" s="1">
        <v>261.0</v>
      </c>
      <c r="H605" s="1" t="s">
        <v>50</v>
      </c>
      <c r="I605" s="1">
        <v>71.0</v>
      </c>
      <c r="J605" s="1">
        <v>37.0</v>
      </c>
      <c r="K605" s="1">
        <v>37.0</v>
      </c>
      <c r="L605" s="1">
        <v>34.0</v>
      </c>
      <c r="M605" s="1">
        <v>34.0</v>
      </c>
      <c r="N605" s="1" t="s">
        <v>51</v>
      </c>
      <c r="O605" s="1">
        <v>62.0</v>
      </c>
      <c r="P605" s="1">
        <v>30.0</v>
      </c>
      <c r="Q605" s="1">
        <v>20.0</v>
      </c>
      <c r="R605" s="1">
        <v>32.0</v>
      </c>
      <c r="S605" s="1">
        <v>17.0</v>
      </c>
      <c r="T605" s="1" t="s">
        <v>52</v>
      </c>
      <c r="U605" s="1">
        <v>50.0</v>
      </c>
      <c r="V605" s="1">
        <v>30.0</v>
      </c>
      <c r="W605" s="1">
        <v>15.0</v>
      </c>
      <c r="X605" s="1">
        <v>20.0</v>
      </c>
      <c r="Y605" s="1">
        <v>10.0</v>
      </c>
      <c r="Z605" s="1" t="s">
        <v>53</v>
      </c>
      <c r="AA605" s="1">
        <v>32.0</v>
      </c>
      <c r="AB605" s="1">
        <v>18.0</v>
      </c>
      <c r="AC605" s="1">
        <v>8.0</v>
      </c>
      <c r="AD605" s="1">
        <v>14.0</v>
      </c>
      <c r="AE605" s="1">
        <v>9.0</v>
      </c>
      <c r="AF605" s="1" t="s">
        <v>54</v>
      </c>
      <c r="AG605" s="1">
        <v>20.0</v>
      </c>
      <c r="AH605" s="1">
        <v>11.0</v>
      </c>
      <c r="AI605" s="1">
        <v>8.0</v>
      </c>
      <c r="AJ605" s="1">
        <v>9.0</v>
      </c>
      <c r="AK605" s="1">
        <v>7.0</v>
      </c>
      <c r="AL605" s="1">
        <v>165.0</v>
      </c>
      <c r="AM605" s="1">
        <v>9.0</v>
      </c>
      <c r="AN605" s="1">
        <v>87.0</v>
      </c>
      <c r="AO605" s="1">
        <v>87.0</v>
      </c>
      <c r="AP605" s="1" t="s">
        <v>2330</v>
      </c>
      <c r="AQ605" s="3" t="str">
        <f>HYPERLINK("https://icf.clappia.com/app/GMB253374/submission/HFB43322471/ICF247370-GMB253374-3la66f374fc400000000/SIG-20250701_1328122281.jpeg", "SIG-20250701_1328122281.jpeg")</f>
        <v>SIG-20250701_1328122281.jpeg</v>
      </c>
      <c r="AR605" s="1" t="s">
        <v>2331</v>
      </c>
      <c r="AS605" s="3" t="str">
        <f>HYPERLINK("https://icf.clappia.com/app/GMB253374/submission/HFB43322471/ICF247370-GMB253374-66ohp26eblm200000000/SIG-20250701_1329dabp9.jpeg", "SIG-20250701_1329dabp9.jpeg")</f>
        <v>SIG-20250701_1329dabp9.jpeg</v>
      </c>
      <c r="AT605" s="1" t="s">
        <v>3133</v>
      </c>
      <c r="AU605" s="3" t="str">
        <f>HYPERLINK("https://icf.clappia.com/app/GMB253374/submission/HFB43322471/ICF247370-GMB253374-1ma9inem8fcc00000000/SIG-20250701_13291173gm.jpeg", "SIG-20250701_13291173gm.jpeg")</f>
        <v>SIG-20250701_13291173gm.jpeg</v>
      </c>
      <c r="AV605" s="3" t="str">
        <f>HYPERLINK("https://www.google.com/maps/place/8.0326183%2C-11.4242167", "8.0326183,-11.4242167")</f>
        <v>8.0326183,-11.4242167</v>
      </c>
    </row>
    <row r="606" ht="15.75" customHeight="1">
      <c r="A606" s="1" t="s">
        <v>3134</v>
      </c>
      <c r="B606" s="1" t="s">
        <v>69</v>
      </c>
      <c r="C606" s="1" t="s">
        <v>3131</v>
      </c>
      <c r="D606" s="1" t="s">
        <v>3131</v>
      </c>
      <c r="E606" s="1" t="s">
        <v>3135</v>
      </c>
      <c r="F606" s="1" t="s">
        <v>64</v>
      </c>
      <c r="G606" s="1">
        <v>350.0</v>
      </c>
      <c r="H606" s="1" t="s">
        <v>50</v>
      </c>
      <c r="I606" s="1">
        <v>77.0</v>
      </c>
      <c r="J606" s="1">
        <v>40.0</v>
      </c>
      <c r="K606" s="1">
        <v>24.0</v>
      </c>
      <c r="L606" s="1">
        <v>37.0</v>
      </c>
      <c r="M606" s="1">
        <v>23.0</v>
      </c>
      <c r="N606" s="1" t="s">
        <v>51</v>
      </c>
      <c r="O606" s="1">
        <v>73.0</v>
      </c>
      <c r="P606" s="1">
        <v>41.0</v>
      </c>
      <c r="Q606" s="1">
        <v>40.0</v>
      </c>
      <c r="R606" s="1">
        <v>32.0</v>
      </c>
      <c r="S606" s="1">
        <v>23.0</v>
      </c>
      <c r="T606" s="1" t="s">
        <v>52</v>
      </c>
      <c r="U606" s="1">
        <v>77.0</v>
      </c>
      <c r="V606" s="1">
        <v>37.0</v>
      </c>
      <c r="W606" s="1">
        <v>33.0</v>
      </c>
      <c r="X606" s="1">
        <v>40.0</v>
      </c>
      <c r="Y606" s="1">
        <v>38.0</v>
      </c>
      <c r="Z606" s="1" t="s">
        <v>53</v>
      </c>
      <c r="AA606" s="1">
        <v>77.0</v>
      </c>
      <c r="AB606" s="1">
        <v>45.0</v>
      </c>
      <c r="AC606" s="1">
        <v>41.0</v>
      </c>
      <c r="AD606" s="1">
        <v>32.0</v>
      </c>
      <c r="AE606" s="1">
        <v>27.0</v>
      </c>
      <c r="AF606" s="1" t="s">
        <v>54</v>
      </c>
      <c r="AG606" s="1">
        <v>79.0</v>
      </c>
      <c r="AH606" s="1">
        <v>40.0</v>
      </c>
      <c r="AI606" s="1">
        <v>31.0</v>
      </c>
      <c r="AJ606" s="1">
        <v>39.0</v>
      </c>
      <c r="AK606" s="1">
        <v>33.0</v>
      </c>
      <c r="AL606" s="1">
        <v>313.0</v>
      </c>
      <c r="AM606" s="1">
        <v>10.0</v>
      </c>
      <c r="AN606" s="1">
        <v>27.0</v>
      </c>
      <c r="AO606" s="1">
        <v>27.0</v>
      </c>
      <c r="AP606" s="1" t="s">
        <v>1697</v>
      </c>
      <c r="AQ606" s="3" t="str">
        <f>HYPERLINK("https://icf.clappia.com/app/GMB253374/submission/RDS21701228/ICF247370-GMB253374-5n1ko1oj2m3i00000000/SIG-20250701_1328kmhg4.jpeg", "SIG-20250701_1328kmhg4.jpeg")</f>
        <v>SIG-20250701_1328kmhg4.jpeg</v>
      </c>
      <c r="AR606" s="1" t="s">
        <v>3136</v>
      </c>
      <c r="AS606" s="3" t="str">
        <f>HYPERLINK("https://icf.clappia.com/app/GMB253374/submission/RDS21701228/ICF247370-GMB253374-1p58jllb1a9oi0000000/SIG-20250701_132918e7n5.jpeg", "SIG-20250701_132918e7n5.jpeg")</f>
        <v>SIG-20250701_132918e7n5.jpeg</v>
      </c>
      <c r="AT606" s="1" t="s">
        <v>3137</v>
      </c>
      <c r="AU606" s="3" t="str">
        <f>HYPERLINK("https://icf.clappia.com/app/GMB253374/submission/RDS21701228/ICF247370-GMB253374-5n9h0pk865ae00000000/SIG-20250701_1329d3gib.jpeg", "SIG-20250701_1329d3gib.jpeg")</f>
        <v>SIG-20250701_1329d3gib.jpeg</v>
      </c>
      <c r="AV606" s="3" t="str">
        <f>HYPERLINK("https://www.google.com/maps/place/8.8766091%2C-12.1091609", "8.8766091,-12.1091609")</f>
        <v>8.8766091,-12.1091609</v>
      </c>
    </row>
    <row r="607" ht="15.75" customHeight="1">
      <c r="A607" s="1" t="s">
        <v>3138</v>
      </c>
      <c r="B607" s="1" t="s">
        <v>161</v>
      </c>
      <c r="C607" s="1" t="s">
        <v>3139</v>
      </c>
      <c r="D607" s="1" t="s">
        <v>3139</v>
      </c>
      <c r="E607" s="1" t="s">
        <v>3140</v>
      </c>
      <c r="F607" s="1" t="s">
        <v>64</v>
      </c>
      <c r="G607" s="1">
        <v>150.0</v>
      </c>
      <c r="H607" s="1" t="s">
        <v>50</v>
      </c>
      <c r="I607" s="1">
        <v>31.0</v>
      </c>
      <c r="J607" s="1">
        <v>20.0</v>
      </c>
      <c r="K607" s="1">
        <v>20.0</v>
      </c>
      <c r="L607" s="1">
        <v>11.0</v>
      </c>
      <c r="M607" s="1">
        <v>11.0</v>
      </c>
      <c r="N607" s="1" t="s">
        <v>51</v>
      </c>
      <c r="O607" s="1">
        <v>65.0</v>
      </c>
      <c r="P607" s="1">
        <v>35.0</v>
      </c>
      <c r="Q607" s="1">
        <v>32.0</v>
      </c>
      <c r="R607" s="1">
        <v>30.0</v>
      </c>
      <c r="S607" s="1">
        <v>28.0</v>
      </c>
      <c r="T607" s="1" t="s">
        <v>52</v>
      </c>
      <c r="U607" s="1">
        <v>20.0</v>
      </c>
      <c r="V607" s="1">
        <v>12.0</v>
      </c>
      <c r="W607" s="1">
        <v>12.0</v>
      </c>
      <c r="X607" s="1">
        <v>8.0</v>
      </c>
      <c r="Y607" s="1">
        <v>8.0</v>
      </c>
      <c r="Z607" s="1" t="s">
        <v>53</v>
      </c>
      <c r="AA607" s="1">
        <v>19.0</v>
      </c>
      <c r="AB607" s="1">
        <v>10.0</v>
      </c>
      <c r="AC607" s="1">
        <v>10.0</v>
      </c>
      <c r="AD607" s="1">
        <v>9.0</v>
      </c>
      <c r="AE607" s="1">
        <v>9.0</v>
      </c>
      <c r="AF607" s="1" t="s">
        <v>54</v>
      </c>
      <c r="AG607" s="1">
        <v>15.0</v>
      </c>
      <c r="AH607" s="1">
        <v>9.0</v>
      </c>
      <c r="AI607" s="1">
        <v>9.0</v>
      </c>
      <c r="AJ607" s="1">
        <v>6.0</v>
      </c>
      <c r="AK607" s="1">
        <v>6.0</v>
      </c>
      <c r="AL607" s="1">
        <v>145.0</v>
      </c>
      <c r="AM607" s="1">
        <v>5.0</v>
      </c>
      <c r="AN607" s="1" t="s">
        <v>55</v>
      </c>
      <c r="AO607" s="1" t="s">
        <v>55</v>
      </c>
      <c r="AP607" s="1" t="s">
        <v>1200</v>
      </c>
      <c r="AQ607" s="3" t="str">
        <f>HYPERLINK("https://icf.clappia.com/app/GMB253374/submission/DHS42668262/ICF247370-GMB253374-57nj05ekbkkk00000000/SIG-20250701_132516njnd.jpeg", "SIG-20250701_132516njnd.jpeg")</f>
        <v>SIG-20250701_132516njnd.jpeg</v>
      </c>
      <c r="AR607" s="1" t="s">
        <v>1201</v>
      </c>
      <c r="AS607" s="3" t="str">
        <f>HYPERLINK("https://icf.clappia.com/app/GMB253374/submission/DHS42668262/ICF247370-GMB253374-4k8m53npc33m00000000/SIG-20250701_1326fed9n.jpeg", "SIG-20250701_1326fed9n.jpeg")</f>
        <v>SIG-20250701_1326fed9n.jpeg</v>
      </c>
      <c r="AT607" s="1" t="s">
        <v>1856</v>
      </c>
      <c r="AU607" s="3" t="str">
        <f>HYPERLINK("https://icf.clappia.com/app/GMB253374/submission/DHS42668262/ICF247370-GMB253374-5am547j0643m00000000/SIG-20250701_13261igib.jpeg", "SIG-20250701_13261igib.jpeg")</f>
        <v>SIG-20250701_13261igib.jpeg</v>
      </c>
      <c r="AV607" s="3" t="str">
        <f>HYPERLINK("https://www.google.com/maps/place/7.9322617%2C-11.5992471", "7.9322617,-11.5992471")</f>
        <v>7.9322617,-11.5992471</v>
      </c>
    </row>
    <row r="608" ht="15.75" customHeight="1">
      <c r="A608" s="1" t="s">
        <v>3141</v>
      </c>
      <c r="B608" s="1" t="s">
        <v>81</v>
      </c>
      <c r="C608" s="1" t="s">
        <v>3142</v>
      </c>
      <c r="D608" s="1" t="s">
        <v>3142</v>
      </c>
      <c r="E608" s="1" t="s">
        <v>3143</v>
      </c>
      <c r="F608" s="1" t="s">
        <v>64</v>
      </c>
      <c r="G608" s="1">
        <v>116.0</v>
      </c>
      <c r="H608" s="1" t="s">
        <v>50</v>
      </c>
      <c r="I608" s="1">
        <v>36.0</v>
      </c>
      <c r="J608" s="1">
        <v>15.0</v>
      </c>
      <c r="K608" s="1">
        <v>13.0</v>
      </c>
      <c r="L608" s="1">
        <v>21.0</v>
      </c>
      <c r="M608" s="1">
        <v>18.0</v>
      </c>
      <c r="N608" s="1" t="s">
        <v>51</v>
      </c>
      <c r="O608" s="1">
        <v>24.0</v>
      </c>
      <c r="P608" s="1">
        <v>12.0</v>
      </c>
      <c r="Q608" s="1">
        <v>9.0</v>
      </c>
      <c r="R608" s="1">
        <v>12.0</v>
      </c>
      <c r="S608" s="1">
        <v>10.0</v>
      </c>
      <c r="T608" s="1" t="s">
        <v>52</v>
      </c>
      <c r="U608" s="1">
        <v>18.0</v>
      </c>
      <c r="V608" s="1">
        <v>10.0</v>
      </c>
      <c r="W608" s="1">
        <v>10.0</v>
      </c>
      <c r="X608" s="1">
        <v>8.0</v>
      </c>
      <c r="Y608" s="1">
        <v>7.0</v>
      </c>
      <c r="Z608" s="1" t="s">
        <v>53</v>
      </c>
      <c r="AA608" s="1">
        <v>16.0</v>
      </c>
      <c r="AB608" s="1">
        <v>10.0</v>
      </c>
      <c r="AC608" s="1">
        <v>7.0</v>
      </c>
      <c r="AD608" s="1">
        <v>6.0</v>
      </c>
      <c r="AE608" s="1">
        <v>4.0</v>
      </c>
      <c r="AF608" s="1" t="s">
        <v>54</v>
      </c>
      <c r="AG608" s="1">
        <v>22.0</v>
      </c>
      <c r="AH608" s="1">
        <v>9.0</v>
      </c>
      <c r="AI608" s="1">
        <v>7.0</v>
      </c>
      <c r="AJ608" s="1">
        <v>13.0</v>
      </c>
      <c r="AK608" s="1">
        <v>11.0</v>
      </c>
      <c r="AL608" s="1">
        <v>96.0</v>
      </c>
      <c r="AM608" s="1" t="s">
        <v>55</v>
      </c>
      <c r="AN608" s="1">
        <v>20.0</v>
      </c>
      <c r="AO608" s="1">
        <v>20.0</v>
      </c>
      <c r="AP608" s="1" t="s">
        <v>3144</v>
      </c>
      <c r="AQ608" s="3" t="str">
        <f>HYPERLINK("https://icf.clappia.com/app/GMB253374/submission/EEW20728330/ICF247370-GMB253374-3gnfna582iga00000000/SIG-20250701_1323md3ca.jpeg", "SIG-20250701_1323md3ca.jpeg")</f>
        <v>SIG-20250701_1323md3ca.jpeg</v>
      </c>
      <c r="AR608" s="1" t="s">
        <v>1168</v>
      </c>
      <c r="AS608" s="3" t="str">
        <f>HYPERLINK("https://icf.clappia.com/app/GMB253374/submission/EEW20728330/ICF247370-GMB253374-49fg3jc3m8jk00000000/SIG-20250701_1324149ldn.jpeg", "SIG-20250701_1324149ldn.jpeg")</f>
        <v>SIG-20250701_1324149ldn.jpeg</v>
      </c>
      <c r="AT608" s="1" t="s">
        <v>3145</v>
      </c>
      <c r="AU608" s="3" t="str">
        <f>HYPERLINK("https://icf.clappia.com/app/GMB253374/submission/EEW20728330/ICF247370-GMB253374-kagp4lj4ken80000000/SIG-20250701_1325gib60.jpeg", "SIG-20250701_1325gib60.jpeg")</f>
        <v>SIG-20250701_1325gib60.jpeg</v>
      </c>
      <c r="AV608" s="3" t="str">
        <f>HYPERLINK("https://www.google.com/maps/place/7.9385988%2C-11.7183944", "7.9385988,-11.7183944")</f>
        <v>7.9385988,-11.7183944</v>
      </c>
    </row>
    <row r="609" ht="15.75" customHeight="1">
      <c r="A609" s="1" t="s">
        <v>3146</v>
      </c>
      <c r="B609" s="1" t="s">
        <v>81</v>
      </c>
      <c r="C609" s="1" t="s">
        <v>3142</v>
      </c>
      <c r="D609" s="1" t="s">
        <v>3142</v>
      </c>
      <c r="E609" s="1" t="s">
        <v>3147</v>
      </c>
      <c r="F609" s="1" t="s">
        <v>64</v>
      </c>
      <c r="G609" s="1">
        <v>127.0</v>
      </c>
      <c r="H609" s="1" t="s">
        <v>50</v>
      </c>
      <c r="I609" s="1">
        <v>34.0</v>
      </c>
      <c r="J609" s="1">
        <v>15.0</v>
      </c>
      <c r="K609" s="1">
        <v>15.0</v>
      </c>
      <c r="L609" s="1">
        <v>19.0</v>
      </c>
      <c r="M609" s="1">
        <v>19.0</v>
      </c>
      <c r="N609" s="1" t="s">
        <v>51</v>
      </c>
      <c r="O609" s="1">
        <v>46.0</v>
      </c>
      <c r="P609" s="1">
        <v>20.0</v>
      </c>
      <c r="Q609" s="1">
        <v>20.0</v>
      </c>
      <c r="R609" s="1">
        <v>26.0</v>
      </c>
      <c r="S609" s="1">
        <v>26.0</v>
      </c>
      <c r="T609" s="1" t="s">
        <v>52</v>
      </c>
      <c r="U609" s="1">
        <v>47.0</v>
      </c>
      <c r="V609" s="1">
        <v>19.0</v>
      </c>
      <c r="W609" s="1">
        <v>19.0</v>
      </c>
      <c r="X609" s="1">
        <v>28.0</v>
      </c>
      <c r="Y609" s="1">
        <v>28.0</v>
      </c>
      <c r="Z609" s="1" t="s">
        <v>53</v>
      </c>
      <c r="AA609" s="1" t="s">
        <v>55</v>
      </c>
      <c r="AB609" s="1" t="s">
        <v>55</v>
      </c>
      <c r="AC609" s="1" t="s">
        <v>55</v>
      </c>
      <c r="AD609" s="1" t="s">
        <v>55</v>
      </c>
      <c r="AE609" s="1" t="s">
        <v>55</v>
      </c>
      <c r="AF609" s="1" t="s">
        <v>54</v>
      </c>
      <c r="AG609" s="1" t="s">
        <v>55</v>
      </c>
      <c r="AH609" s="1" t="s">
        <v>55</v>
      </c>
      <c r="AI609" s="1" t="s">
        <v>55</v>
      </c>
      <c r="AJ609" s="1" t="s">
        <v>55</v>
      </c>
      <c r="AK609" s="1" t="s">
        <v>55</v>
      </c>
      <c r="AL609" s="1">
        <v>127.0</v>
      </c>
      <c r="AM609" s="1" t="s">
        <v>55</v>
      </c>
      <c r="AN609" s="1" t="s">
        <v>55</v>
      </c>
      <c r="AO609" s="1" t="s">
        <v>55</v>
      </c>
      <c r="AP609" s="1" t="s">
        <v>854</v>
      </c>
      <c r="AQ609" s="3" t="str">
        <f>HYPERLINK("https://icf.clappia.com/app/GMB253374/submission/MMJ07473587/ICF247370-GMB253374-kjbp2hhgap440000000/SIG-20250701_125019b00h.jpeg", "SIG-20250701_125019b00h.jpeg")</f>
        <v>SIG-20250701_125019b00h.jpeg</v>
      </c>
      <c r="AR609" s="1" t="s">
        <v>855</v>
      </c>
      <c r="AS609" s="3" t="str">
        <f>HYPERLINK("https://icf.clappia.com/app/GMB253374/submission/MMJ07473587/ICF247370-GMB253374-67j3nd24l4mk00000000/SIG-20250701_1251o5io1.jpeg", "SIG-20250701_1251o5io1.jpeg")</f>
        <v>SIG-20250701_1251o5io1.jpeg</v>
      </c>
      <c r="AT609" s="1" t="s">
        <v>856</v>
      </c>
      <c r="AU609" s="3" t="str">
        <f>HYPERLINK("https://icf.clappia.com/app/GMB253374/submission/MMJ07473587/ICF247370-GMB253374-3j1p6n4bdcng00000000/SIG-20250701_1316d7a2m.jpeg", "SIG-20250701_1316d7a2m.jpeg")</f>
        <v>SIG-20250701_1316d7a2m.jpeg</v>
      </c>
      <c r="AV609" s="3" t="str">
        <f>HYPERLINK("https://www.google.com/maps/place/7.9460988%2C-11.7369012", "7.9460988,-11.7369012")</f>
        <v>7.9460988,-11.7369012</v>
      </c>
    </row>
    <row r="610" ht="15.75" customHeight="1">
      <c r="A610" s="1" t="s">
        <v>3148</v>
      </c>
      <c r="B610" s="1" t="s">
        <v>129</v>
      </c>
      <c r="C610" s="1" t="s">
        <v>3149</v>
      </c>
      <c r="D610" s="1" t="s">
        <v>3149</v>
      </c>
      <c r="E610" s="1" t="s">
        <v>3150</v>
      </c>
      <c r="F610" s="1" t="s">
        <v>64</v>
      </c>
      <c r="G610" s="1">
        <v>300.0</v>
      </c>
      <c r="H610" s="1" t="s">
        <v>50</v>
      </c>
      <c r="I610" s="1">
        <v>80.0</v>
      </c>
      <c r="J610" s="1">
        <v>35.0</v>
      </c>
      <c r="K610" s="1">
        <v>33.0</v>
      </c>
      <c r="L610" s="1">
        <v>45.0</v>
      </c>
      <c r="M610" s="1">
        <v>44.0</v>
      </c>
      <c r="N610" s="1" t="s">
        <v>51</v>
      </c>
      <c r="O610" s="1">
        <v>59.0</v>
      </c>
      <c r="P610" s="1">
        <v>29.0</v>
      </c>
      <c r="Q610" s="1">
        <v>29.0</v>
      </c>
      <c r="R610" s="1">
        <v>30.0</v>
      </c>
      <c r="S610" s="1">
        <v>27.0</v>
      </c>
      <c r="T610" s="1" t="s">
        <v>52</v>
      </c>
      <c r="U610" s="1">
        <v>35.0</v>
      </c>
      <c r="V610" s="1">
        <v>15.0</v>
      </c>
      <c r="W610" s="1">
        <v>15.0</v>
      </c>
      <c r="X610" s="1">
        <v>20.0</v>
      </c>
      <c r="Y610" s="1">
        <v>17.0</v>
      </c>
      <c r="Z610" s="1" t="s">
        <v>53</v>
      </c>
      <c r="AA610" s="1">
        <v>51.0</v>
      </c>
      <c r="AB610" s="1">
        <v>34.0</v>
      </c>
      <c r="AC610" s="1">
        <v>28.0</v>
      </c>
      <c r="AD610" s="1">
        <v>17.0</v>
      </c>
      <c r="AE610" s="1">
        <v>17.0</v>
      </c>
      <c r="AF610" s="1" t="s">
        <v>54</v>
      </c>
      <c r="AG610" s="1">
        <v>39.0</v>
      </c>
      <c r="AH610" s="1">
        <v>20.0</v>
      </c>
      <c r="AI610" s="1">
        <v>19.0</v>
      </c>
      <c r="AJ610" s="1">
        <v>19.0</v>
      </c>
      <c r="AK610" s="1">
        <v>18.0</v>
      </c>
      <c r="AL610" s="1">
        <v>247.0</v>
      </c>
      <c r="AM610" s="1">
        <v>10.0</v>
      </c>
      <c r="AN610" s="1">
        <v>43.0</v>
      </c>
      <c r="AO610" s="1">
        <v>43.0</v>
      </c>
      <c r="AP610" s="1" t="s">
        <v>132</v>
      </c>
      <c r="AQ610" s="3" t="str">
        <f>HYPERLINK("https://icf.clappia.com/app/GMB253374/submission/NKF92247703/ICF247370-GMB253374-7c116h4k3jcc0000000/SIG-20250701_13171m4p2.jpeg", "SIG-20250701_13171m4p2.jpeg")</f>
        <v>SIG-20250701_13171m4p2.jpeg</v>
      </c>
      <c r="AR610" s="1" t="s">
        <v>3151</v>
      </c>
      <c r="AS610" s="3" t="str">
        <f>HYPERLINK("https://icf.clappia.com/app/GMB253374/submission/NKF92247703/ICF247370-GMB253374-62agf8bjckcc00000000/SIG-20250701_1319dao60.jpeg", "SIG-20250701_1319dao60.jpeg")</f>
        <v>SIG-20250701_1319dao60.jpeg</v>
      </c>
      <c r="AT610" s="1" t="s">
        <v>3152</v>
      </c>
      <c r="AU610" s="3" t="str">
        <f>HYPERLINK("https://icf.clappia.com/app/GMB253374/submission/NKF92247703/ICF247370-GMB253374-2cfajh6go4f400000000/SIG-20250701_1324bj2lk.jpeg", "SIG-20250701_1324bj2lk.jpeg")</f>
        <v>SIG-20250701_1324bj2lk.jpeg</v>
      </c>
      <c r="AV610" s="3" t="str">
        <f>HYPERLINK("https://www.google.com/maps/place/8.1239767%2C-11.7045267", "8.1239767,-11.7045267")</f>
        <v>8.1239767,-11.7045267</v>
      </c>
    </row>
    <row r="611" ht="15.75" customHeight="1">
      <c r="A611" s="1" t="s">
        <v>3153</v>
      </c>
      <c r="B611" s="1" t="s">
        <v>60</v>
      </c>
      <c r="C611" s="1" t="s">
        <v>3154</v>
      </c>
      <c r="D611" s="1" t="s">
        <v>3154</v>
      </c>
      <c r="E611" s="1" t="s">
        <v>3155</v>
      </c>
      <c r="F611" s="1" t="s">
        <v>64</v>
      </c>
      <c r="G611" s="1">
        <v>925.0</v>
      </c>
      <c r="H611" s="1" t="s">
        <v>50</v>
      </c>
      <c r="I611" s="1">
        <v>119.0</v>
      </c>
      <c r="J611" s="1">
        <v>53.0</v>
      </c>
      <c r="K611" s="1">
        <v>53.0</v>
      </c>
      <c r="L611" s="1">
        <v>64.0</v>
      </c>
      <c r="M611" s="1">
        <v>54.0</v>
      </c>
      <c r="N611" s="1" t="s">
        <v>51</v>
      </c>
      <c r="O611" s="1">
        <v>125.0</v>
      </c>
      <c r="P611" s="1">
        <v>60.0</v>
      </c>
      <c r="Q611" s="1">
        <v>55.0</v>
      </c>
      <c r="R611" s="1">
        <v>65.0</v>
      </c>
      <c r="S611" s="1">
        <v>61.0</v>
      </c>
      <c r="T611" s="1" t="s">
        <v>52</v>
      </c>
      <c r="U611" s="1">
        <v>151.0</v>
      </c>
      <c r="V611" s="1">
        <v>80.0</v>
      </c>
      <c r="W611" s="1">
        <v>77.0</v>
      </c>
      <c r="X611" s="1">
        <v>71.0</v>
      </c>
      <c r="Y611" s="1">
        <v>63.0</v>
      </c>
      <c r="Z611" s="1" t="s">
        <v>53</v>
      </c>
      <c r="AA611" s="1">
        <v>136.0</v>
      </c>
      <c r="AB611" s="1">
        <v>58.0</v>
      </c>
      <c r="AC611" s="1">
        <v>51.0</v>
      </c>
      <c r="AD611" s="1">
        <v>78.0</v>
      </c>
      <c r="AE611" s="1">
        <v>67.0</v>
      </c>
      <c r="AF611" s="1" t="s">
        <v>54</v>
      </c>
      <c r="AG611" s="1">
        <v>141.0</v>
      </c>
      <c r="AH611" s="1">
        <v>69.0</v>
      </c>
      <c r="AI611" s="1">
        <v>66.0</v>
      </c>
      <c r="AJ611" s="1">
        <v>72.0</v>
      </c>
      <c r="AK611" s="1">
        <v>65.0</v>
      </c>
      <c r="AL611" s="1">
        <v>612.0</v>
      </c>
      <c r="AM611" s="1">
        <v>10.0</v>
      </c>
      <c r="AN611" s="1">
        <v>303.0</v>
      </c>
      <c r="AO611" s="1">
        <v>297.0</v>
      </c>
      <c r="AP611" s="1" t="s">
        <v>944</v>
      </c>
      <c r="AQ611" s="3" t="str">
        <f>HYPERLINK("https://icf.clappia.com/app/GMB253374/submission/NRO19166722/ICF247370-GMB253374-53e90l2d4oic0000000/SIG-20250701_1144761g1.jpeg", "SIG-20250701_1144761g1.jpeg")</f>
        <v>SIG-20250701_1144761g1.jpeg</v>
      </c>
      <c r="AR611" s="1" t="s">
        <v>3156</v>
      </c>
      <c r="AS611" s="3" t="str">
        <f>HYPERLINK("https://icf.clappia.com/app/GMB253374/submission/NRO19166722/ICF247370-GMB253374-3056h81n7g5i00000000/SIG-20250701_11462gejh.jpeg", "SIG-20250701_11462gejh.jpeg")</f>
        <v>SIG-20250701_11462gejh.jpeg</v>
      </c>
      <c r="AT611" s="1" t="s">
        <v>946</v>
      </c>
      <c r="AU611" s="3" t="str">
        <f>HYPERLINK("https://icf.clappia.com/app/GMB253374/submission/NRO19166722/ICF247370-GMB253374-547nf6bbg76k0000000/SIG-20250701_1237116085.jpeg", "SIG-20250701_1237116085.jpeg")</f>
        <v>SIG-20250701_1237116085.jpeg</v>
      </c>
      <c r="AV611" s="3" t="str">
        <f>HYPERLINK("https://www.google.com/maps/place/8.8870093%2C-12.0456053", "8.8870093,-12.0456053")</f>
        <v>8.8870093,-12.0456053</v>
      </c>
    </row>
    <row r="612" ht="15.75" customHeight="1">
      <c r="A612" s="1" t="s">
        <v>3157</v>
      </c>
      <c r="B612" s="1" t="s">
        <v>81</v>
      </c>
      <c r="C612" s="1" t="s">
        <v>3158</v>
      </c>
      <c r="D612" s="1" t="s">
        <v>3158</v>
      </c>
      <c r="E612" s="1" t="s">
        <v>3159</v>
      </c>
      <c r="F612" s="1" t="s">
        <v>64</v>
      </c>
      <c r="G612" s="1">
        <v>224.0</v>
      </c>
      <c r="H612" s="1" t="s">
        <v>50</v>
      </c>
      <c r="I612" s="1">
        <v>65.0</v>
      </c>
      <c r="J612" s="1">
        <v>30.0</v>
      </c>
      <c r="K612" s="1">
        <v>30.0</v>
      </c>
      <c r="L612" s="1">
        <v>35.0</v>
      </c>
      <c r="M612" s="1">
        <v>35.0</v>
      </c>
      <c r="N612" s="1" t="s">
        <v>51</v>
      </c>
      <c r="O612" s="1">
        <v>40.0</v>
      </c>
      <c r="P612" s="1">
        <v>18.0</v>
      </c>
      <c r="Q612" s="1">
        <v>18.0</v>
      </c>
      <c r="R612" s="1">
        <v>22.0</v>
      </c>
      <c r="S612" s="1">
        <v>22.0</v>
      </c>
      <c r="T612" s="1" t="s">
        <v>52</v>
      </c>
      <c r="U612" s="1">
        <v>33.0</v>
      </c>
      <c r="V612" s="1">
        <v>18.0</v>
      </c>
      <c r="W612" s="1">
        <v>18.0</v>
      </c>
      <c r="X612" s="1">
        <v>15.0</v>
      </c>
      <c r="Y612" s="1">
        <v>15.0</v>
      </c>
      <c r="Z612" s="1" t="s">
        <v>53</v>
      </c>
      <c r="AA612" s="1">
        <v>30.0</v>
      </c>
      <c r="AB612" s="1">
        <v>15.0</v>
      </c>
      <c r="AC612" s="1">
        <v>15.0</v>
      </c>
      <c r="AD612" s="1">
        <v>15.0</v>
      </c>
      <c r="AE612" s="1">
        <v>15.0</v>
      </c>
      <c r="AF612" s="1" t="s">
        <v>54</v>
      </c>
      <c r="AG612" s="1">
        <v>56.0</v>
      </c>
      <c r="AH612" s="1">
        <v>25.0</v>
      </c>
      <c r="AI612" s="1">
        <v>25.0</v>
      </c>
      <c r="AJ612" s="1">
        <v>31.0</v>
      </c>
      <c r="AK612" s="1">
        <v>31.0</v>
      </c>
      <c r="AL612" s="1">
        <v>224.0</v>
      </c>
      <c r="AM612" s="1" t="s">
        <v>55</v>
      </c>
      <c r="AN612" s="1" t="s">
        <v>55</v>
      </c>
      <c r="AO612" s="1" t="s">
        <v>55</v>
      </c>
      <c r="AP612" s="1" t="s">
        <v>1133</v>
      </c>
      <c r="AQ612" s="3" t="str">
        <f>HYPERLINK("https://icf.clappia.com/app/GMB253374/submission/MEJ67389385/ICF247370-GMB253374-45eep2e0aepg00000000/SIG-20250701_132175e8.jpeg", "SIG-20250701_132175e8.jpeg")</f>
        <v>SIG-20250701_132175e8.jpeg</v>
      </c>
      <c r="AR612" s="1" t="s">
        <v>1963</v>
      </c>
      <c r="AS612" s="3" t="str">
        <f>HYPERLINK("https://icf.clappia.com/app/GMB253374/submission/MEJ67389385/ICF247370-GMB253374-12jlkhel35bk40000000/SIG-20250701_1321imb8l.jpeg", "SIG-20250701_1321imb8l.jpeg")</f>
        <v>SIG-20250701_1321imb8l.jpeg</v>
      </c>
      <c r="AT612" s="1" t="s">
        <v>3160</v>
      </c>
      <c r="AU612" s="3" t="str">
        <f>HYPERLINK("https://icf.clappia.com/app/GMB253374/submission/MEJ67389385/ICF247370-GMB253374-fld7d8pompn60000000/SIG-20250701_13229jcc7.jpeg", "SIG-20250701_13229jcc7.jpeg")</f>
        <v>SIG-20250701_13229jcc7.jpeg</v>
      </c>
      <c r="AV612" s="3" t="str">
        <f>HYPERLINK("https://www.google.com/maps/place/7.9579483%2C-11.7419117", "7.9579483,-11.7419117")</f>
        <v>7.9579483,-11.7419117</v>
      </c>
    </row>
    <row r="613" ht="15.75" customHeight="1">
      <c r="A613" s="1" t="s">
        <v>3161</v>
      </c>
      <c r="B613" s="1" t="s">
        <v>60</v>
      </c>
      <c r="C613" s="1" t="s">
        <v>3162</v>
      </c>
      <c r="D613" s="1" t="s">
        <v>3162</v>
      </c>
      <c r="E613" s="1" t="s">
        <v>3163</v>
      </c>
      <c r="F613" s="1" t="s">
        <v>64</v>
      </c>
      <c r="G613" s="1">
        <v>450.0</v>
      </c>
      <c r="H613" s="1" t="s">
        <v>50</v>
      </c>
      <c r="I613" s="1">
        <v>105.0</v>
      </c>
      <c r="J613" s="1">
        <v>49.0</v>
      </c>
      <c r="K613" s="1">
        <v>49.0</v>
      </c>
      <c r="L613" s="1">
        <v>56.0</v>
      </c>
      <c r="M613" s="1">
        <v>56.0</v>
      </c>
      <c r="N613" s="1" t="s">
        <v>51</v>
      </c>
      <c r="O613" s="1">
        <v>90.0</v>
      </c>
      <c r="P613" s="1">
        <v>43.0</v>
      </c>
      <c r="Q613" s="1">
        <v>43.0</v>
      </c>
      <c r="R613" s="1">
        <v>47.0</v>
      </c>
      <c r="S613" s="1">
        <v>47.0</v>
      </c>
      <c r="T613" s="1" t="s">
        <v>52</v>
      </c>
      <c r="U613" s="1">
        <v>80.0</v>
      </c>
      <c r="V613" s="1">
        <v>39.0</v>
      </c>
      <c r="W613" s="1">
        <v>39.0</v>
      </c>
      <c r="X613" s="1">
        <v>41.0</v>
      </c>
      <c r="Y613" s="1">
        <v>41.0</v>
      </c>
      <c r="Z613" s="1" t="s">
        <v>53</v>
      </c>
      <c r="AA613" s="1">
        <v>78.0</v>
      </c>
      <c r="AB613" s="1">
        <v>42.0</v>
      </c>
      <c r="AC613" s="1">
        <v>42.0</v>
      </c>
      <c r="AD613" s="1">
        <v>36.0</v>
      </c>
      <c r="AE613" s="1">
        <v>36.0</v>
      </c>
      <c r="AF613" s="1" t="s">
        <v>54</v>
      </c>
      <c r="AG613" s="1">
        <v>84.0</v>
      </c>
      <c r="AH613" s="1">
        <v>44.0</v>
      </c>
      <c r="AI613" s="1">
        <v>44.0</v>
      </c>
      <c r="AJ613" s="1">
        <v>40.0</v>
      </c>
      <c r="AK613" s="1">
        <v>40.0</v>
      </c>
      <c r="AL613" s="1">
        <v>437.0</v>
      </c>
      <c r="AM613" s="1" t="s">
        <v>55</v>
      </c>
      <c r="AN613" s="1">
        <v>13.0</v>
      </c>
      <c r="AO613" s="1">
        <v>13.0</v>
      </c>
      <c r="AP613" s="1" t="s">
        <v>3164</v>
      </c>
      <c r="AQ613" s="3" t="str">
        <f>HYPERLINK("https://icf.clappia.com/app/GMB253374/submission/BQF59155884/ICF247370-GMB253374-5leg8a0ohb6400000000/SIG-20250701_13191282ni.jpeg", "SIG-20250701_13191282ni.jpeg")</f>
        <v>SIG-20250701_13191282ni.jpeg</v>
      </c>
      <c r="AR613" s="1" t="s">
        <v>3165</v>
      </c>
      <c r="AS613" s="3" t="str">
        <f>HYPERLINK("https://icf.clappia.com/app/GMB253374/submission/BQF59155884/ICF247370-GMB253374-4mpcbgmfi4oi00000000/SIG-20250701_1320apn19.jpeg", "SIG-20250701_1320apn19.jpeg")</f>
        <v>SIG-20250701_1320apn19.jpeg</v>
      </c>
      <c r="AT613" s="1" t="s">
        <v>3166</v>
      </c>
      <c r="AU613" s="3" t="str">
        <f>HYPERLINK("https://icf.clappia.com/app/GMB253374/submission/BQF59155884/ICF247370-GMB253374-5le5o68ce4km00000000/SIG-20250701_1320ccije.jpeg", "SIG-20250701_1320ccije.jpeg")</f>
        <v>SIG-20250701_1320ccije.jpeg</v>
      </c>
      <c r="AV613" s="3" t="str">
        <f>HYPERLINK("https://www.google.com/maps/place/8.9255576%2C-12.0602244", "8.9255576,-12.0602244")</f>
        <v>8.9255576,-12.0602244</v>
      </c>
    </row>
    <row r="614" ht="15.75" customHeight="1">
      <c r="A614" s="1" t="s">
        <v>3167</v>
      </c>
      <c r="B614" s="1" t="s">
        <v>81</v>
      </c>
      <c r="C614" s="1" t="s">
        <v>3162</v>
      </c>
      <c r="D614" s="1" t="s">
        <v>3162</v>
      </c>
      <c r="E614" s="1" t="s">
        <v>3168</v>
      </c>
      <c r="F614" s="1" t="s">
        <v>64</v>
      </c>
      <c r="G614" s="1">
        <v>445.0</v>
      </c>
      <c r="H614" s="1" t="s">
        <v>50</v>
      </c>
      <c r="I614" s="1">
        <v>87.0</v>
      </c>
      <c r="J614" s="1">
        <v>47.0</v>
      </c>
      <c r="K614" s="1">
        <v>47.0</v>
      </c>
      <c r="L614" s="1">
        <v>40.0</v>
      </c>
      <c r="M614" s="1">
        <v>40.0</v>
      </c>
      <c r="N614" s="1" t="s">
        <v>51</v>
      </c>
      <c r="O614" s="1">
        <v>69.0</v>
      </c>
      <c r="P614" s="1">
        <v>30.0</v>
      </c>
      <c r="Q614" s="1">
        <v>30.0</v>
      </c>
      <c r="R614" s="1">
        <v>39.0</v>
      </c>
      <c r="S614" s="1">
        <v>39.0</v>
      </c>
      <c r="T614" s="1" t="s">
        <v>52</v>
      </c>
      <c r="U614" s="1">
        <v>71.0</v>
      </c>
      <c r="V614" s="1">
        <v>38.0</v>
      </c>
      <c r="W614" s="1">
        <v>38.0</v>
      </c>
      <c r="X614" s="1">
        <v>33.0</v>
      </c>
      <c r="Y614" s="1">
        <v>33.0</v>
      </c>
      <c r="Z614" s="1" t="s">
        <v>53</v>
      </c>
      <c r="AA614" s="1">
        <v>59.0</v>
      </c>
      <c r="AB614" s="1">
        <v>34.0</v>
      </c>
      <c r="AC614" s="1">
        <v>34.0</v>
      </c>
      <c r="AD614" s="1">
        <v>25.0</v>
      </c>
      <c r="AE614" s="1">
        <v>25.0</v>
      </c>
      <c r="AF614" s="1" t="s">
        <v>54</v>
      </c>
      <c r="AG614" s="1">
        <v>60.0</v>
      </c>
      <c r="AH614" s="1">
        <v>28.0</v>
      </c>
      <c r="AI614" s="1">
        <v>28.0</v>
      </c>
      <c r="AJ614" s="1">
        <v>32.0</v>
      </c>
      <c r="AK614" s="1">
        <v>32.0</v>
      </c>
      <c r="AL614" s="1">
        <v>346.0</v>
      </c>
      <c r="AM614" s="1">
        <v>10.0</v>
      </c>
      <c r="AN614" s="1">
        <v>89.0</v>
      </c>
      <c r="AO614" s="1">
        <v>89.0</v>
      </c>
      <c r="AP614" s="1" t="s">
        <v>3169</v>
      </c>
      <c r="AQ614" s="3" t="str">
        <f>HYPERLINK("https://icf.clappia.com/app/GMB253374/submission/WYJ42735668/ICF247370-GMB253374-5o01j1phf8nm00000000/SIG-20250701_1312a39d9.jpeg", "SIG-20250701_1312a39d9.jpeg")</f>
        <v>SIG-20250701_1312a39d9.jpeg</v>
      </c>
      <c r="AR614" s="1" t="s">
        <v>3170</v>
      </c>
      <c r="AS614" s="3" t="str">
        <f>HYPERLINK("https://icf.clappia.com/app/GMB253374/submission/WYJ42735668/ICF247370-GMB253374-1k8jgm2bfnb0i0000000/SIG-20250701_131289ojg.jpeg", "SIG-20250701_131289ojg.jpeg")</f>
        <v>SIG-20250701_131289ojg.jpeg</v>
      </c>
      <c r="AT614" s="1" t="s">
        <v>3171</v>
      </c>
      <c r="AU614" s="3" t="str">
        <f>HYPERLINK("https://icf.clappia.com/app/GMB253374/submission/WYJ42735668/ICF247370-GMB253374-4p6inj6bc0o200000000/SIG-20250701_1313fee2a.jpeg", "SIG-20250701_1313fee2a.jpeg")</f>
        <v>SIG-20250701_1313fee2a.jpeg</v>
      </c>
      <c r="AV614" s="3" t="str">
        <f>HYPERLINK("https://www.google.com/maps/place/7.9427547%2C-11.7369012", "7.9427547,-11.7369012")</f>
        <v>7.9427547,-11.7369012</v>
      </c>
    </row>
    <row r="615" ht="15.75" customHeight="1">
      <c r="A615" s="1" t="s">
        <v>3172</v>
      </c>
      <c r="B615" s="1" t="s">
        <v>580</v>
      </c>
      <c r="C615" s="1" t="s">
        <v>3173</v>
      </c>
      <c r="D615" s="1" t="s">
        <v>3173</v>
      </c>
      <c r="E615" s="1" t="s">
        <v>3174</v>
      </c>
      <c r="F615" s="1" t="s">
        <v>64</v>
      </c>
      <c r="G615" s="1">
        <v>271.0</v>
      </c>
      <c r="H615" s="1" t="s">
        <v>50</v>
      </c>
      <c r="I615" s="1">
        <v>105.0</v>
      </c>
      <c r="J615" s="1">
        <v>55.0</v>
      </c>
      <c r="K615" s="1">
        <v>50.0</v>
      </c>
      <c r="L615" s="1">
        <v>50.0</v>
      </c>
      <c r="M615" s="1">
        <v>48.0</v>
      </c>
      <c r="N615" s="1" t="s">
        <v>51</v>
      </c>
      <c r="O615" s="1">
        <v>51.0</v>
      </c>
      <c r="P615" s="1">
        <v>25.0</v>
      </c>
      <c r="Q615" s="1">
        <v>24.0</v>
      </c>
      <c r="R615" s="1">
        <v>26.0</v>
      </c>
      <c r="S615" s="1">
        <v>26.0</v>
      </c>
      <c r="T615" s="1" t="s">
        <v>52</v>
      </c>
      <c r="U615" s="1">
        <v>39.0</v>
      </c>
      <c r="V615" s="1">
        <v>21.0</v>
      </c>
      <c r="W615" s="1">
        <v>18.0</v>
      </c>
      <c r="X615" s="1">
        <v>18.0</v>
      </c>
      <c r="Y615" s="1">
        <v>17.0</v>
      </c>
      <c r="Z615" s="1" t="s">
        <v>53</v>
      </c>
      <c r="AA615" s="1">
        <v>28.0</v>
      </c>
      <c r="AB615" s="1">
        <v>15.0</v>
      </c>
      <c r="AC615" s="1">
        <v>13.0</v>
      </c>
      <c r="AD615" s="1">
        <v>13.0</v>
      </c>
      <c r="AE615" s="1">
        <v>12.0</v>
      </c>
      <c r="AF615" s="1" t="s">
        <v>54</v>
      </c>
      <c r="AG615" s="1">
        <v>31.0</v>
      </c>
      <c r="AH615" s="1">
        <v>15.0</v>
      </c>
      <c r="AI615" s="1">
        <v>12.0</v>
      </c>
      <c r="AJ615" s="1">
        <v>16.0</v>
      </c>
      <c r="AK615" s="1">
        <v>15.0</v>
      </c>
      <c r="AL615" s="1">
        <v>235.0</v>
      </c>
      <c r="AM615" s="1">
        <v>5.0</v>
      </c>
      <c r="AN615" s="1">
        <v>31.0</v>
      </c>
      <c r="AO615" s="1" t="s">
        <v>55</v>
      </c>
      <c r="AP615" s="1" t="s">
        <v>3175</v>
      </c>
      <c r="AQ615" s="3" t="str">
        <f>HYPERLINK("https://icf.clappia.com/app/GMB253374/submission/INP30202214/ICF247370-GMB253374-1cafgi69nk73m0000000/SIG-20250630_14303j0hg.jpeg", "SIG-20250630_14303j0hg.jpeg")</f>
        <v>SIG-20250630_14303j0hg.jpeg</v>
      </c>
      <c r="AR615" s="1" t="s">
        <v>3176</v>
      </c>
      <c r="AS615" s="3" t="str">
        <f>HYPERLINK("https://icf.clappia.com/app/GMB253374/submission/INP30202214/ICF247370-GMB253374-2178mneml431a0000000/SIG-20250630_1431b6ich.jpeg", "SIG-20250630_1431b6ich.jpeg")</f>
        <v>SIG-20250630_1431b6ich.jpeg</v>
      </c>
      <c r="AT615" s="1" t="s">
        <v>2347</v>
      </c>
      <c r="AU615" s="3" t="str">
        <f>HYPERLINK("https://icf.clappia.com/app/GMB253374/submission/INP30202214/ICF247370-GMB253374-jlbfnk031cdm0000000/SIG-20250630_1433pdi03.jpeg", "SIG-20250630_1433pdi03.jpeg")</f>
        <v>SIG-20250630_1433pdi03.jpeg</v>
      </c>
      <c r="AV615" s="3" t="str">
        <f>HYPERLINK("https://www.google.com/maps/place/8.1613133%2C-11.4848733", "8.1613133,-11.4848733")</f>
        <v>8.1613133,-11.4848733</v>
      </c>
    </row>
    <row r="616" ht="15.75" customHeight="1">
      <c r="A616" s="1" t="s">
        <v>3177</v>
      </c>
      <c r="B616" s="1" t="s">
        <v>349</v>
      </c>
      <c r="C616" s="1" t="s">
        <v>3173</v>
      </c>
      <c r="D616" s="1" t="s">
        <v>3173</v>
      </c>
      <c r="E616" s="1" t="s">
        <v>3178</v>
      </c>
      <c r="F616" s="1" t="s">
        <v>64</v>
      </c>
      <c r="G616" s="1">
        <v>192.0</v>
      </c>
      <c r="H616" s="1" t="s">
        <v>50</v>
      </c>
      <c r="I616" s="1">
        <v>43.0</v>
      </c>
      <c r="J616" s="1">
        <v>17.0</v>
      </c>
      <c r="K616" s="1">
        <v>15.0</v>
      </c>
      <c r="L616" s="1">
        <v>26.0</v>
      </c>
      <c r="M616" s="1">
        <v>25.0</v>
      </c>
      <c r="N616" s="1" t="s">
        <v>51</v>
      </c>
      <c r="O616" s="1">
        <v>32.0</v>
      </c>
      <c r="P616" s="1">
        <v>13.0</v>
      </c>
      <c r="Q616" s="1">
        <v>12.0</v>
      </c>
      <c r="R616" s="1">
        <v>19.0</v>
      </c>
      <c r="S616" s="1">
        <v>19.0</v>
      </c>
      <c r="T616" s="1" t="s">
        <v>52</v>
      </c>
      <c r="U616" s="1">
        <v>36.0</v>
      </c>
      <c r="V616" s="1">
        <v>11.0</v>
      </c>
      <c r="W616" s="1">
        <v>11.0</v>
      </c>
      <c r="X616" s="1">
        <v>25.0</v>
      </c>
      <c r="Y616" s="1">
        <v>23.0</v>
      </c>
      <c r="Z616" s="1" t="s">
        <v>53</v>
      </c>
      <c r="AA616" s="1">
        <v>27.0</v>
      </c>
      <c r="AB616" s="1">
        <v>9.0</v>
      </c>
      <c r="AC616" s="1">
        <v>9.0</v>
      </c>
      <c r="AD616" s="1">
        <v>18.0</v>
      </c>
      <c r="AE616" s="1">
        <v>17.0</v>
      </c>
      <c r="AF616" s="1" t="s">
        <v>54</v>
      </c>
      <c r="AG616" s="1">
        <v>25.0</v>
      </c>
      <c r="AH616" s="1">
        <v>8.0</v>
      </c>
      <c r="AI616" s="1">
        <v>8.0</v>
      </c>
      <c r="AJ616" s="1">
        <v>17.0</v>
      </c>
      <c r="AK616" s="1">
        <v>16.0</v>
      </c>
      <c r="AL616" s="1">
        <v>155.0</v>
      </c>
      <c r="AM616" s="1" t="s">
        <v>55</v>
      </c>
      <c r="AN616" s="1">
        <v>37.0</v>
      </c>
      <c r="AO616" s="1">
        <v>37.0</v>
      </c>
      <c r="AP616" s="1" t="s">
        <v>1780</v>
      </c>
      <c r="AQ616" s="3" t="str">
        <f>HYPERLINK("https://icf.clappia.com/app/GMB253374/submission/PGJ54075389/ICF247370-GMB253374-5aofdofa7hck0000000/SIG-20250701_1318b6p21.jpeg", "SIG-20250701_1318b6p21.jpeg")</f>
        <v>SIG-20250701_1318b6p21.jpeg</v>
      </c>
      <c r="AR616" s="1" t="s">
        <v>3179</v>
      </c>
      <c r="AS616" s="3" t="str">
        <f>HYPERLINK("https://icf.clappia.com/app/GMB253374/submission/PGJ54075389/ICF247370-GMB253374-3201m0dl2d8400000000/SIG-20250701_1318c2okn.jpeg", "SIG-20250701_1318c2okn.jpeg")</f>
        <v>SIG-20250701_1318c2okn.jpeg</v>
      </c>
      <c r="AT616" s="1" t="s">
        <v>3180</v>
      </c>
      <c r="AU616" s="3" t="str">
        <f>HYPERLINK("https://icf.clappia.com/app/GMB253374/submission/PGJ54075389/ICF247370-GMB253374-4hhakff97ihc00000000/SIG-20250701_131914lhdj.jpeg", "SIG-20250701_131914lhdj.jpeg")</f>
        <v>SIG-20250701_131914lhdj.jpeg</v>
      </c>
      <c r="AV616" s="3" t="str">
        <f>HYPERLINK("https://www.google.com/maps/place/8.9465533%2C-11.898455", "8.9465533,-11.898455")</f>
        <v>8.9465533,-11.898455</v>
      </c>
    </row>
    <row r="617" ht="15.75" customHeight="1">
      <c r="A617" s="1" t="s">
        <v>3181</v>
      </c>
      <c r="B617" s="1" t="s">
        <v>248</v>
      </c>
      <c r="C617" s="1" t="s">
        <v>3182</v>
      </c>
      <c r="D617" s="1" t="s">
        <v>3173</v>
      </c>
      <c r="E617" s="1" t="s">
        <v>3183</v>
      </c>
      <c r="F617" s="1" t="s">
        <v>64</v>
      </c>
      <c r="G617" s="1">
        <v>168.0</v>
      </c>
      <c r="H617" s="1" t="s">
        <v>50</v>
      </c>
      <c r="I617" s="1">
        <v>24.0</v>
      </c>
      <c r="J617" s="1">
        <v>10.0</v>
      </c>
      <c r="K617" s="1">
        <v>10.0</v>
      </c>
      <c r="L617" s="1">
        <v>14.0</v>
      </c>
      <c r="M617" s="1">
        <v>13.0</v>
      </c>
      <c r="N617" s="1" t="s">
        <v>51</v>
      </c>
      <c r="O617" s="1">
        <v>37.0</v>
      </c>
      <c r="P617" s="1">
        <v>15.0</v>
      </c>
      <c r="Q617" s="1">
        <v>14.0</v>
      </c>
      <c r="R617" s="1">
        <v>22.0</v>
      </c>
      <c r="S617" s="1">
        <v>20.0</v>
      </c>
      <c r="T617" s="1" t="s">
        <v>52</v>
      </c>
      <c r="U617" s="1">
        <v>27.0</v>
      </c>
      <c r="V617" s="1">
        <v>12.0</v>
      </c>
      <c r="W617" s="1">
        <v>12.0</v>
      </c>
      <c r="X617" s="1">
        <v>15.0</v>
      </c>
      <c r="Y617" s="1">
        <v>14.0</v>
      </c>
      <c r="Z617" s="1" t="s">
        <v>53</v>
      </c>
      <c r="AA617" s="1">
        <v>36.0</v>
      </c>
      <c r="AB617" s="1">
        <v>10.0</v>
      </c>
      <c r="AC617" s="1">
        <v>10.0</v>
      </c>
      <c r="AD617" s="1">
        <v>26.0</v>
      </c>
      <c r="AE617" s="1">
        <v>24.0</v>
      </c>
      <c r="AF617" s="1" t="s">
        <v>54</v>
      </c>
      <c r="AG617" s="1">
        <v>44.0</v>
      </c>
      <c r="AH617" s="1">
        <v>18.0</v>
      </c>
      <c r="AI617" s="1">
        <v>17.0</v>
      </c>
      <c r="AJ617" s="1">
        <v>26.0</v>
      </c>
      <c r="AK617" s="1">
        <v>25.0</v>
      </c>
      <c r="AL617" s="1">
        <v>159.0</v>
      </c>
      <c r="AM617" s="1">
        <v>9.0</v>
      </c>
      <c r="AN617" s="1" t="s">
        <v>55</v>
      </c>
      <c r="AO617" s="1" t="s">
        <v>55</v>
      </c>
      <c r="AP617" s="1" t="s">
        <v>1138</v>
      </c>
      <c r="AQ617" s="3" t="str">
        <f>HYPERLINK("https://icf.clappia.com/app/GMB253374/submission/DIM55267781/ICF247370-GMB253374-n5j2ij1p4gmk0000000/SIG-20250701_1307fcjl2.jpeg", "SIG-20250701_1307fcjl2.jpeg")</f>
        <v>SIG-20250701_1307fcjl2.jpeg</v>
      </c>
      <c r="AR617" s="1" t="s">
        <v>1139</v>
      </c>
      <c r="AS617" s="3" t="str">
        <f>HYPERLINK("https://icf.clappia.com/app/GMB253374/submission/DIM55267781/ICF247370-GMB253374-ghdebj9ikib2000000/SIG-20250701_1319ak23m.jpeg", "SIG-20250701_1319ak23m.jpeg")</f>
        <v>SIG-20250701_1319ak23m.jpeg</v>
      </c>
      <c r="AT617" s="1" t="s">
        <v>1140</v>
      </c>
      <c r="AU617" s="3" t="str">
        <f>HYPERLINK("https://icf.clappia.com/app/GMB253374/submission/DIM55267781/ICF247370-GMB253374-3ce8ojo11cpe00000000/SIG-20250701_1319daae5.jpeg", "SIG-20250701_1319daae5.jpeg")</f>
        <v>SIG-20250701_1319daae5.jpeg</v>
      </c>
      <c r="AV617" s="3" t="str">
        <f>HYPERLINK("https://www.google.com/maps/place/7.877465%2C-11.4886733", "7.877465,-11.4886733")</f>
        <v>7.877465,-11.4886733</v>
      </c>
    </row>
    <row r="618" ht="15.75" customHeight="1">
      <c r="A618" s="1" t="s">
        <v>3184</v>
      </c>
      <c r="B618" s="1" t="s">
        <v>342</v>
      </c>
      <c r="C618" s="1" t="s">
        <v>3185</v>
      </c>
      <c r="D618" s="1" t="s">
        <v>3185</v>
      </c>
      <c r="E618" s="1" t="s">
        <v>3186</v>
      </c>
      <c r="F618" s="1" t="s">
        <v>64</v>
      </c>
      <c r="G618" s="1">
        <v>238.0</v>
      </c>
      <c r="H618" s="1" t="s">
        <v>50</v>
      </c>
      <c r="I618" s="1">
        <v>43.0</v>
      </c>
      <c r="J618" s="1">
        <v>18.0</v>
      </c>
      <c r="K618" s="1">
        <v>18.0</v>
      </c>
      <c r="L618" s="1">
        <v>25.0</v>
      </c>
      <c r="M618" s="1">
        <v>25.0</v>
      </c>
      <c r="N618" s="1" t="s">
        <v>51</v>
      </c>
      <c r="O618" s="1">
        <v>50.0</v>
      </c>
      <c r="P618" s="1">
        <v>20.0</v>
      </c>
      <c r="Q618" s="1">
        <v>20.0</v>
      </c>
      <c r="R618" s="1">
        <v>30.0</v>
      </c>
      <c r="S618" s="1">
        <v>30.0</v>
      </c>
      <c r="T618" s="1" t="s">
        <v>52</v>
      </c>
      <c r="U618" s="1">
        <v>55.0</v>
      </c>
      <c r="V618" s="1">
        <v>25.0</v>
      </c>
      <c r="W618" s="1">
        <v>25.0</v>
      </c>
      <c r="X618" s="1">
        <v>30.0</v>
      </c>
      <c r="Y618" s="1">
        <v>30.0</v>
      </c>
      <c r="Z618" s="1" t="s">
        <v>53</v>
      </c>
      <c r="AA618" s="1">
        <v>50.0</v>
      </c>
      <c r="AB618" s="1">
        <v>20.0</v>
      </c>
      <c r="AC618" s="1">
        <v>20.0</v>
      </c>
      <c r="AD618" s="1">
        <v>30.0</v>
      </c>
      <c r="AE618" s="1">
        <v>30.0</v>
      </c>
      <c r="AF618" s="1" t="s">
        <v>54</v>
      </c>
      <c r="AG618" s="1">
        <v>40.0</v>
      </c>
      <c r="AH618" s="1">
        <v>15.0</v>
      </c>
      <c r="AI618" s="1">
        <v>15.0</v>
      </c>
      <c r="AJ618" s="1">
        <v>25.0</v>
      </c>
      <c r="AK618" s="1">
        <v>25.0</v>
      </c>
      <c r="AL618" s="1">
        <v>238.0</v>
      </c>
      <c r="AM618" s="1" t="s">
        <v>55</v>
      </c>
      <c r="AN618" s="1" t="s">
        <v>55</v>
      </c>
      <c r="AO618" s="1" t="s">
        <v>55</v>
      </c>
      <c r="AP618" s="1" t="s">
        <v>3187</v>
      </c>
      <c r="AQ618" s="3" t="str">
        <f>HYPERLINK("https://icf.clappia.com/app/GMB253374/submission/HZZ23952395/ICF247370-GMB253374-dlhacoinbbjm0000000/SIG-20250701_1106dep6o.jpeg", "SIG-20250701_1106dep6o.jpeg")</f>
        <v>SIG-20250701_1106dep6o.jpeg</v>
      </c>
      <c r="AR618" s="1" t="s">
        <v>3188</v>
      </c>
      <c r="AS618" s="3" t="str">
        <f>HYPERLINK("https://icf.clappia.com/app/GMB253374/submission/HZZ23952395/ICF247370-GMB253374-5l66nn7oakg200000000/SIG-20250701_1107f9coe.jpeg", "SIG-20250701_1107f9coe.jpeg")</f>
        <v>SIG-20250701_1107f9coe.jpeg</v>
      </c>
      <c r="AT618" s="1" t="s">
        <v>3189</v>
      </c>
      <c r="AU618" s="3" t="str">
        <f>HYPERLINK("https://icf.clappia.com/app/GMB253374/submission/HZZ23952395/ICF247370-GMB253374-5jdbdg73dpcg00000000/SIG-20250701_112510nhj5.jpeg", "SIG-20250701_112510nhj5.jpeg")</f>
        <v>SIG-20250701_112510nhj5.jpeg</v>
      </c>
      <c r="AV618" s="3" t="str">
        <f>HYPERLINK("https://www.google.com/maps/place/9.1078367%2C-12.20702", "9.1078367,-12.20702")</f>
        <v>9.1078367,-12.20702</v>
      </c>
    </row>
    <row r="619" ht="15.75" customHeight="1">
      <c r="A619" s="1" t="s">
        <v>3190</v>
      </c>
      <c r="B619" s="1" t="s">
        <v>189</v>
      </c>
      <c r="C619" s="1" t="s">
        <v>3191</v>
      </c>
      <c r="D619" s="1" t="s">
        <v>3191</v>
      </c>
      <c r="E619" s="1" t="s">
        <v>3192</v>
      </c>
      <c r="F619" s="1" t="s">
        <v>64</v>
      </c>
      <c r="G619" s="1">
        <v>287.0</v>
      </c>
      <c r="H619" s="1" t="s">
        <v>50</v>
      </c>
      <c r="I619" s="1">
        <v>57.0</v>
      </c>
      <c r="J619" s="1" t="s">
        <v>55</v>
      </c>
      <c r="K619" s="1" t="s">
        <v>55</v>
      </c>
      <c r="L619" s="1">
        <v>57.0</v>
      </c>
      <c r="M619" s="1">
        <v>57.0</v>
      </c>
      <c r="N619" s="1" t="s">
        <v>51</v>
      </c>
      <c r="O619" s="1">
        <v>49.0</v>
      </c>
      <c r="P619" s="1" t="s">
        <v>55</v>
      </c>
      <c r="Q619" s="1" t="s">
        <v>55</v>
      </c>
      <c r="R619" s="1">
        <v>49.0</v>
      </c>
      <c r="S619" s="1">
        <v>49.0</v>
      </c>
      <c r="T619" s="1" t="s">
        <v>52</v>
      </c>
      <c r="U619" s="1">
        <v>61.0</v>
      </c>
      <c r="V619" s="1" t="s">
        <v>55</v>
      </c>
      <c r="W619" s="1" t="s">
        <v>55</v>
      </c>
      <c r="X619" s="1">
        <v>61.0</v>
      </c>
      <c r="Y619" s="1">
        <v>61.0</v>
      </c>
      <c r="Z619" s="1" t="s">
        <v>53</v>
      </c>
      <c r="AA619" s="1">
        <v>65.0</v>
      </c>
      <c r="AB619" s="1" t="s">
        <v>55</v>
      </c>
      <c r="AC619" s="1" t="s">
        <v>55</v>
      </c>
      <c r="AD619" s="1">
        <v>65.0</v>
      </c>
      <c r="AE619" s="1">
        <v>65.0</v>
      </c>
      <c r="AF619" s="1" t="s">
        <v>54</v>
      </c>
      <c r="AG619" s="1">
        <v>55.0</v>
      </c>
      <c r="AH619" s="1" t="s">
        <v>55</v>
      </c>
      <c r="AI619" s="1" t="s">
        <v>55</v>
      </c>
      <c r="AJ619" s="1">
        <v>55.0</v>
      </c>
      <c r="AK619" s="1">
        <v>55.0</v>
      </c>
      <c r="AL619" s="1">
        <v>287.0</v>
      </c>
      <c r="AM619" s="1" t="s">
        <v>55</v>
      </c>
      <c r="AN619" s="1" t="s">
        <v>55</v>
      </c>
      <c r="AO619" s="1" t="s">
        <v>55</v>
      </c>
      <c r="AP619" s="1" t="s">
        <v>3193</v>
      </c>
      <c r="AQ619" s="3" t="str">
        <f>HYPERLINK("https://icf.clappia.com/app/GMB253374/submission/WKZ63836500/ICF247370-GMB253374-2nnf7knfeam000000000/SIG-20250701_1314n6i6d.jpeg", "SIG-20250701_1314n6i6d.jpeg")</f>
        <v>SIG-20250701_1314n6i6d.jpeg</v>
      </c>
      <c r="AR619" s="1" t="s">
        <v>3194</v>
      </c>
      <c r="AS619" s="3" t="str">
        <f>HYPERLINK("https://icf.clappia.com/app/GMB253374/submission/WKZ63836500/ICF247370-GMB253374-5dfahbohlkik00000000/SIG-20250701_1308bk8ip.jpeg", "SIG-20250701_1308bk8ip.jpeg")</f>
        <v>SIG-20250701_1308bk8ip.jpeg</v>
      </c>
      <c r="AT619" s="1" t="s">
        <v>3195</v>
      </c>
      <c r="AU619" s="3" t="str">
        <f>HYPERLINK("https://icf.clappia.com/app/GMB253374/submission/WKZ63836500/ICF247370-GMB253374-n60ed10k61eg0000000/SIG-20250701_13097bpip.jpeg", "SIG-20250701_13097bpip.jpeg")</f>
        <v>SIG-20250701_13097bpip.jpeg</v>
      </c>
      <c r="AV619" s="3" t="str">
        <f>HYPERLINK("https://www.google.com/maps/place/8.8814977%2C-12.0516564", "8.8814977,-12.0516564")</f>
        <v>8.8814977,-12.0516564</v>
      </c>
    </row>
    <row r="620" ht="15.75" customHeight="1">
      <c r="A620" s="1" t="s">
        <v>3196</v>
      </c>
      <c r="B620" s="1" t="s">
        <v>155</v>
      </c>
      <c r="C620" s="1" t="s">
        <v>3197</v>
      </c>
      <c r="D620" s="1" t="s">
        <v>3197</v>
      </c>
      <c r="E620" s="1" t="s">
        <v>3198</v>
      </c>
      <c r="F620" s="1" t="s">
        <v>64</v>
      </c>
      <c r="G620" s="1">
        <v>150.0</v>
      </c>
      <c r="H620" s="1" t="s">
        <v>50</v>
      </c>
      <c r="I620" s="1">
        <v>40.0</v>
      </c>
      <c r="J620" s="1">
        <v>20.0</v>
      </c>
      <c r="K620" s="1">
        <v>16.0</v>
      </c>
      <c r="L620" s="1">
        <v>20.0</v>
      </c>
      <c r="M620" s="1">
        <v>14.0</v>
      </c>
      <c r="N620" s="1" t="s">
        <v>51</v>
      </c>
      <c r="O620" s="1">
        <v>35.0</v>
      </c>
      <c r="P620" s="1">
        <v>16.0</v>
      </c>
      <c r="Q620" s="1">
        <v>10.0</v>
      </c>
      <c r="R620" s="1">
        <v>19.0</v>
      </c>
      <c r="S620" s="1">
        <v>13.0</v>
      </c>
      <c r="T620" s="1" t="s">
        <v>52</v>
      </c>
      <c r="U620" s="1">
        <v>35.0</v>
      </c>
      <c r="V620" s="1">
        <v>21.0</v>
      </c>
      <c r="W620" s="1">
        <v>16.0</v>
      </c>
      <c r="X620" s="1">
        <v>14.0</v>
      </c>
      <c r="Y620" s="1">
        <v>10.0</v>
      </c>
      <c r="Z620" s="1" t="s">
        <v>53</v>
      </c>
      <c r="AA620" s="1">
        <v>19.0</v>
      </c>
      <c r="AB620" s="1">
        <v>10.0</v>
      </c>
      <c r="AC620" s="1">
        <v>10.0</v>
      </c>
      <c r="AD620" s="1">
        <v>9.0</v>
      </c>
      <c r="AE620" s="1">
        <v>9.0</v>
      </c>
      <c r="AF620" s="1" t="s">
        <v>54</v>
      </c>
      <c r="AG620" s="1">
        <v>14.0</v>
      </c>
      <c r="AH620" s="1">
        <v>8.0</v>
      </c>
      <c r="AI620" s="1">
        <v>8.0</v>
      </c>
      <c r="AJ620" s="1">
        <v>6.0</v>
      </c>
      <c r="AK620" s="1">
        <v>6.0</v>
      </c>
      <c r="AL620" s="1">
        <v>112.0</v>
      </c>
      <c r="AM620" s="1" t="s">
        <v>55</v>
      </c>
      <c r="AN620" s="1">
        <v>38.0</v>
      </c>
      <c r="AO620" s="1">
        <v>38.0</v>
      </c>
      <c r="AP620" s="1" t="s">
        <v>3003</v>
      </c>
      <c r="AQ620" s="3" t="str">
        <f>HYPERLINK("https://icf.clappia.com/app/GMB253374/submission/QXJ24515273/ICF247370-GMB253374-4fpb56108hfe00000000/SIG-20250701_131114k609.jpeg", "SIG-20250701_131114k609.jpeg")</f>
        <v>SIG-20250701_131114k609.jpeg</v>
      </c>
      <c r="AR620" s="1" t="s">
        <v>3199</v>
      </c>
      <c r="AS620" s="3" t="str">
        <f>HYPERLINK("https://icf.clappia.com/app/GMB253374/submission/QXJ24515273/ICF247370-GMB253374-4ol92i5bcm8400000000/SIG-20250701_131217m8k2.jpeg", "SIG-20250701_131217m8k2.jpeg")</f>
        <v>SIG-20250701_131217m8k2.jpeg</v>
      </c>
      <c r="AT620" s="1" t="s">
        <v>3005</v>
      </c>
      <c r="AU620" s="3" t="str">
        <f>HYPERLINK("https://icf.clappia.com/app/GMB253374/submission/QXJ24515273/ICF247370-GMB253374-23fbd60b5jj0c0000000/SIG-20250701_131258bck.jpeg", "SIG-20250701_131258bck.jpeg")</f>
        <v>SIG-20250701_131258bck.jpeg</v>
      </c>
      <c r="AV620" s="3" t="str">
        <f>HYPERLINK("https://www.google.com/maps/place/8.8478567%2C-11.94031", "8.8478567,-11.94031")</f>
        <v>8.8478567,-11.94031</v>
      </c>
    </row>
    <row r="621" ht="15.75" customHeight="1">
      <c r="A621" s="1" t="s">
        <v>3200</v>
      </c>
      <c r="B621" s="1" t="s">
        <v>69</v>
      </c>
      <c r="C621" s="1" t="s">
        <v>3201</v>
      </c>
      <c r="D621" s="1" t="s">
        <v>3201</v>
      </c>
      <c r="E621" s="1" t="s">
        <v>3202</v>
      </c>
      <c r="F621" s="1" t="s">
        <v>64</v>
      </c>
      <c r="G621" s="1">
        <v>260.0</v>
      </c>
      <c r="H621" s="1" t="s">
        <v>50</v>
      </c>
      <c r="I621" s="1">
        <v>80.0</v>
      </c>
      <c r="J621" s="1">
        <v>40.0</v>
      </c>
      <c r="K621" s="1">
        <v>37.0</v>
      </c>
      <c r="L621" s="1">
        <v>40.0</v>
      </c>
      <c r="M621" s="1">
        <v>32.0</v>
      </c>
      <c r="N621" s="1" t="s">
        <v>51</v>
      </c>
      <c r="O621" s="1">
        <v>63.0</v>
      </c>
      <c r="P621" s="1">
        <v>20.0</v>
      </c>
      <c r="Q621" s="1">
        <v>20.0</v>
      </c>
      <c r="R621" s="1">
        <v>43.0</v>
      </c>
      <c r="S621" s="1">
        <v>39.0</v>
      </c>
      <c r="T621" s="1" t="s">
        <v>52</v>
      </c>
      <c r="U621" s="1">
        <v>51.0</v>
      </c>
      <c r="V621" s="1">
        <v>19.0</v>
      </c>
      <c r="W621" s="1">
        <v>19.0</v>
      </c>
      <c r="X621" s="1">
        <v>32.0</v>
      </c>
      <c r="Y621" s="1">
        <v>22.0</v>
      </c>
      <c r="Z621" s="1" t="s">
        <v>53</v>
      </c>
      <c r="AA621" s="1">
        <v>57.0</v>
      </c>
      <c r="AB621" s="1">
        <v>32.0</v>
      </c>
      <c r="AC621" s="1">
        <v>28.0</v>
      </c>
      <c r="AD621" s="1">
        <v>25.0</v>
      </c>
      <c r="AE621" s="1">
        <v>25.0</v>
      </c>
      <c r="AF621" s="1" t="s">
        <v>54</v>
      </c>
      <c r="AG621" s="1">
        <v>43.0</v>
      </c>
      <c r="AH621" s="1">
        <v>25.0</v>
      </c>
      <c r="AI621" s="1">
        <v>20.0</v>
      </c>
      <c r="AJ621" s="1">
        <v>18.0</v>
      </c>
      <c r="AK621" s="1">
        <v>18.0</v>
      </c>
      <c r="AL621" s="1">
        <v>260.0</v>
      </c>
      <c r="AM621" s="1" t="s">
        <v>55</v>
      </c>
      <c r="AN621" s="1" t="s">
        <v>55</v>
      </c>
      <c r="AO621" s="1" t="s">
        <v>55</v>
      </c>
      <c r="AP621" s="1" t="s">
        <v>3203</v>
      </c>
      <c r="AQ621" s="3" t="str">
        <f>HYPERLINK("https://icf.clappia.com/app/GMB253374/submission/QGG29343580/ICF247370-GMB253374-22ch79n0edgo80000000/SIG-20250701_1308e5nhl.jpeg", "SIG-20250701_1308e5nhl.jpeg")</f>
        <v>SIG-20250701_1308e5nhl.jpeg</v>
      </c>
      <c r="AR621" s="1" t="s">
        <v>3204</v>
      </c>
      <c r="AS621" s="3" t="str">
        <f>HYPERLINK("https://icf.clappia.com/app/GMB253374/submission/QGG29343580/ICF247370-GMB253374-62p1aj456bmg00000000/SIG-20250701_130916mol4.jpeg", "SIG-20250701_130916mol4.jpeg")</f>
        <v>SIG-20250701_130916mol4.jpeg</v>
      </c>
      <c r="AT621" s="1" t="s">
        <v>3205</v>
      </c>
      <c r="AU621" s="3" t="str">
        <f>HYPERLINK("https://icf.clappia.com/app/GMB253374/submission/QGG29343580/ICF247370-GMB253374-49ik0bfhm1c400000000/SIG-20250701_1307gae79.jpeg", "SIG-20250701_1307gae79.jpeg")</f>
        <v>SIG-20250701_1307gae79.jpeg</v>
      </c>
      <c r="AV621" s="3" t="str">
        <f>HYPERLINK("https://www.google.com/maps/place/8.9046583%2C-12.1351433", "8.9046583,-12.1351433")</f>
        <v>8.9046583,-12.1351433</v>
      </c>
    </row>
    <row r="622" ht="15.75" customHeight="1">
      <c r="A622" s="1" t="s">
        <v>3206</v>
      </c>
      <c r="B622" s="1" t="s">
        <v>81</v>
      </c>
      <c r="C622" s="1" t="s">
        <v>3201</v>
      </c>
      <c r="D622" s="1" t="s">
        <v>3201</v>
      </c>
      <c r="E622" s="1" t="s">
        <v>3207</v>
      </c>
      <c r="F622" s="1" t="s">
        <v>64</v>
      </c>
      <c r="G622" s="1">
        <v>200.0</v>
      </c>
      <c r="H622" s="1" t="s">
        <v>50</v>
      </c>
      <c r="I622" s="1">
        <v>53.0</v>
      </c>
      <c r="J622" s="1">
        <v>25.0</v>
      </c>
      <c r="K622" s="1">
        <v>25.0</v>
      </c>
      <c r="L622" s="1">
        <v>28.0</v>
      </c>
      <c r="M622" s="1">
        <v>28.0</v>
      </c>
      <c r="N622" s="1" t="s">
        <v>51</v>
      </c>
      <c r="O622" s="1">
        <v>49.0</v>
      </c>
      <c r="P622" s="1">
        <v>26.0</v>
      </c>
      <c r="Q622" s="1">
        <v>26.0</v>
      </c>
      <c r="R622" s="1">
        <v>23.0</v>
      </c>
      <c r="S622" s="1">
        <v>23.0</v>
      </c>
      <c r="T622" s="1" t="s">
        <v>52</v>
      </c>
      <c r="U622" s="1">
        <v>38.0</v>
      </c>
      <c r="V622" s="1">
        <v>18.0</v>
      </c>
      <c r="W622" s="1">
        <v>18.0</v>
      </c>
      <c r="X622" s="1">
        <v>20.0</v>
      </c>
      <c r="Y622" s="1">
        <v>20.0</v>
      </c>
      <c r="Z622" s="1" t="s">
        <v>53</v>
      </c>
      <c r="AA622" s="1">
        <v>27.0</v>
      </c>
      <c r="AB622" s="1">
        <v>10.0</v>
      </c>
      <c r="AC622" s="1">
        <v>10.0</v>
      </c>
      <c r="AD622" s="1">
        <v>17.0</v>
      </c>
      <c r="AE622" s="1">
        <v>17.0</v>
      </c>
      <c r="AF622" s="1" t="s">
        <v>54</v>
      </c>
      <c r="AG622" s="1">
        <v>27.0</v>
      </c>
      <c r="AH622" s="1">
        <v>10.0</v>
      </c>
      <c r="AI622" s="1">
        <v>10.0</v>
      </c>
      <c r="AJ622" s="1">
        <v>17.0</v>
      </c>
      <c r="AK622" s="1">
        <v>17.0</v>
      </c>
      <c r="AL622" s="1">
        <v>194.0</v>
      </c>
      <c r="AM622" s="1" t="s">
        <v>55</v>
      </c>
      <c r="AN622" s="1">
        <v>6.0</v>
      </c>
      <c r="AO622" s="1">
        <v>6.0</v>
      </c>
      <c r="AP622" s="1" t="s">
        <v>3208</v>
      </c>
      <c r="AQ622" s="3" t="str">
        <f>HYPERLINK("https://icf.clappia.com/app/GMB253374/submission/OKC23051917/ICF247370-GMB253374-1lcd69al94g1m0000000/SIG-20250701_11502bo1g.jpeg", "SIG-20250701_11502bo1g.jpeg")</f>
        <v>SIG-20250701_11502bo1g.jpeg</v>
      </c>
      <c r="AR622" s="1" t="s">
        <v>3209</v>
      </c>
      <c r="AS622" s="3" t="str">
        <f>HYPERLINK("https://icf.clappia.com/app/GMB253374/submission/OKC23051917/ICF247370-GMB253374-3mmjj193f6c600000000/SIG-20250701_1257b60np.jpeg", "SIG-20250701_1257b60np.jpeg")</f>
        <v>SIG-20250701_1257b60np.jpeg</v>
      </c>
      <c r="AT622" s="1" t="s">
        <v>3210</v>
      </c>
      <c r="AU622" s="3" t="str">
        <f>HYPERLINK("https://icf.clappia.com/app/GMB253374/submission/OKC23051917/ICF247370-GMB253374-75m469n72afa0000000/SIG-20250630_1505fj226.jpeg", "SIG-20250630_1505fj226.jpeg")</f>
        <v>SIG-20250630_1505fj226.jpeg</v>
      </c>
      <c r="AV622" s="3" t="str">
        <f>HYPERLINK("https://www.google.com/maps/place/7.9751275%2C-11.7393928", "7.9751275,-11.7393928")</f>
        <v>7.9751275,-11.7393928</v>
      </c>
    </row>
    <row r="623" ht="15.75" customHeight="1">
      <c r="A623" s="1" t="s">
        <v>3211</v>
      </c>
      <c r="B623" s="1" t="s">
        <v>189</v>
      </c>
      <c r="C623" s="1" t="s">
        <v>3201</v>
      </c>
      <c r="D623" s="1" t="s">
        <v>3201</v>
      </c>
      <c r="E623" s="1" t="s">
        <v>3212</v>
      </c>
      <c r="F623" s="1" t="s">
        <v>64</v>
      </c>
      <c r="G623" s="1">
        <v>300.0</v>
      </c>
      <c r="H623" s="1" t="s">
        <v>50</v>
      </c>
      <c r="I623" s="1">
        <v>93.0</v>
      </c>
      <c r="J623" s="1">
        <v>38.0</v>
      </c>
      <c r="K623" s="1">
        <v>21.0</v>
      </c>
      <c r="L623" s="1">
        <v>55.0</v>
      </c>
      <c r="M623" s="1">
        <v>24.0</v>
      </c>
      <c r="N623" s="1" t="s">
        <v>51</v>
      </c>
      <c r="O623" s="1">
        <v>109.0</v>
      </c>
      <c r="P623" s="1">
        <v>49.0</v>
      </c>
      <c r="Q623" s="1">
        <v>25.0</v>
      </c>
      <c r="R623" s="1">
        <v>60.0</v>
      </c>
      <c r="S623" s="1">
        <v>30.0</v>
      </c>
      <c r="T623" s="1" t="s">
        <v>52</v>
      </c>
      <c r="U623" s="1">
        <v>112.0</v>
      </c>
      <c r="V623" s="1">
        <v>49.0</v>
      </c>
      <c r="W623" s="1">
        <v>24.0</v>
      </c>
      <c r="X623" s="1">
        <v>63.0</v>
      </c>
      <c r="Y623" s="1">
        <v>33.0</v>
      </c>
      <c r="Z623" s="1" t="s">
        <v>53</v>
      </c>
      <c r="AA623" s="1">
        <v>112.0</v>
      </c>
      <c r="AB623" s="1">
        <v>49.0</v>
      </c>
      <c r="AC623" s="1">
        <v>28.0</v>
      </c>
      <c r="AD623" s="1">
        <v>63.0</v>
      </c>
      <c r="AE623" s="1">
        <v>51.0</v>
      </c>
      <c r="AF623" s="1" t="s">
        <v>54</v>
      </c>
      <c r="AG623" s="1">
        <v>116.0</v>
      </c>
      <c r="AH623" s="1">
        <v>51.0</v>
      </c>
      <c r="AI623" s="1">
        <v>30.0</v>
      </c>
      <c r="AJ623" s="1">
        <v>65.0</v>
      </c>
      <c r="AK623" s="1">
        <v>34.0</v>
      </c>
      <c r="AL623" s="1">
        <v>300.0</v>
      </c>
      <c r="AM623" s="1" t="s">
        <v>55</v>
      </c>
      <c r="AN623" s="1" t="s">
        <v>55</v>
      </c>
      <c r="AO623" s="1" t="s">
        <v>55</v>
      </c>
      <c r="AP623" s="1" t="s">
        <v>2501</v>
      </c>
      <c r="AQ623" s="3" t="str">
        <f>HYPERLINK("https://icf.clappia.com/app/GMB253374/submission/BOU12309152/ICF247370-GMB253374-6936fbkj8h2800000000/SIG-20250701_1305b485o.jpeg", "SIG-20250701_1305b485o.jpeg")</f>
        <v>SIG-20250701_1305b485o.jpeg</v>
      </c>
      <c r="AR623" s="1" t="s">
        <v>2502</v>
      </c>
      <c r="AS623" s="3" t="str">
        <f>HYPERLINK("https://icf.clappia.com/app/GMB253374/submission/BOU12309152/ICF247370-GMB253374-5add96mpbnmm0000000/SIG-20250701_1305pa75.jpeg", "SIG-20250701_1305pa75.jpeg")</f>
        <v>SIG-20250701_1305pa75.jpeg</v>
      </c>
      <c r="AT623" s="1" t="s">
        <v>2503</v>
      </c>
      <c r="AU623" s="3" t="str">
        <f>HYPERLINK("https://icf.clappia.com/app/GMB253374/submission/BOU12309152/ICF247370-GMB253374-38o78h1mom0k00000000/SIG-20250701_1306b8826.jpeg", "SIG-20250701_1306b8826.jpeg")</f>
        <v>SIG-20250701_1306b8826.jpeg</v>
      </c>
      <c r="AV623" s="3" t="str">
        <f>HYPERLINK("https://www.google.com/maps/place/8.8786546%2C-12.0402229", "8.8786546,-12.0402229")</f>
        <v>8.8786546,-12.0402229</v>
      </c>
    </row>
    <row r="624" ht="15.75" customHeight="1">
      <c r="A624" s="1" t="s">
        <v>3213</v>
      </c>
      <c r="B624" s="1" t="s">
        <v>189</v>
      </c>
      <c r="C624" s="1" t="s">
        <v>3201</v>
      </c>
      <c r="D624" s="1" t="s">
        <v>3201</v>
      </c>
      <c r="E624" s="2" t="s">
        <v>3214</v>
      </c>
      <c r="F624" s="1" t="s">
        <v>64</v>
      </c>
      <c r="G624" s="1">
        <v>600.0</v>
      </c>
      <c r="H624" s="1" t="s">
        <v>50</v>
      </c>
      <c r="I624" s="1">
        <v>126.0</v>
      </c>
      <c r="J624" s="1">
        <v>69.0</v>
      </c>
      <c r="K624" s="1">
        <v>57.0</v>
      </c>
      <c r="L624" s="1">
        <v>57.0</v>
      </c>
      <c r="M624" s="1">
        <v>43.0</v>
      </c>
      <c r="N624" s="1" t="s">
        <v>51</v>
      </c>
      <c r="O624" s="1">
        <v>96.0</v>
      </c>
      <c r="P624" s="1">
        <v>45.0</v>
      </c>
      <c r="Q624" s="1">
        <v>36.0</v>
      </c>
      <c r="R624" s="1">
        <v>51.0</v>
      </c>
      <c r="S624" s="1">
        <v>44.0</v>
      </c>
      <c r="T624" s="1" t="s">
        <v>52</v>
      </c>
      <c r="U624" s="1">
        <v>110.0</v>
      </c>
      <c r="V624" s="1">
        <v>54.0</v>
      </c>
      <c r="W624" s="1">
        <v>51.0</v>
      </c>
      <c r="X624" s="1">
        <v>56.0</v>
      </c>
      <c r="Y624" s="1">
        <v>55.0</v>
      </c>
      <c r="Z624" s="1" t="s">
        <v>53</v>
      </c>
      <c r="AA624" s="1">
        <v>121.0</v>
      </c>
      <c r="AB624" s="1">
        <v>60.0</v>
      </c>
      <c r="AC624" s="1">
        <v>49.0</v>
      </c>
      <c r="AD624" s="1">
        <v>61.0</v>
      </c>
      <c r="AE624" s="1">
        <v>61.0</v>
      </c>
      <c r="AF624" s="1" t="s">
        <v>54</v>
      </c>
      <c r="AG624" s="1">
        <v>119.0</v>
      </c>
      <c r="AH624" s="1">
        <v>57.0</v>
      </c>
      <c r="AI624" s="1">
        <v>45.0</v>
      </c>
      <c r="AJ624" s="1">
        <v>62.0</v>
      </c>
      <c r="AK624" s="1">
        <v>50.0</v>
      </c>
      <c r="AL624" s="1">
        <v>491.0</v>
      </c>
      <c r="AM624" s="1" t="s">
        <v>55</v>
      </c>
      <c r="AN624" s="1">
        <v>109.0</v>
      </c>
      <c r="AO624" s="1">
        <v>109.0</v>
      </c>
      <c r="AP624" s="1" t="s">
        <v>1895</v>
      </c>
      <c r="AQ624" s="3" t="str">
        <f>HYPERLINK("https://icf.clappia.com/app/GMB253374/submission/ACI07213203/ICF247370-GMB253374-10ag5eo0eaoj20000000/SIG-20250701_1211mglcp.jpeg", "SIG-20250701_1211mglcp.jpeg")</f>
        <v>SIG-20250701_1211mglcp.jpeg</v>
      </c>
      <c r="AR624" s="1" t="s">
        <v>1896</v>
      </c>
      <c r="AS624" s="3" t="str">
        <f>HYPERLINK("https://icf.clappia.com/app/GMB253374/submission/ACI07213203/ICF247370-GMB253374-2dofkp4c82mi00000000/SIG-20250701_1212nceij.jpeg", "SIG-20250701_1212nceij.jpeg")</f>
        <v>SIG-20250701_1212nceij.jpeg</v>
      </c>
      <c r="AT624" s="1" t="s">
        <v>3215</v>
      </c>
      <c r="AU624" s="3" t="str">
        <f>HYPERLINK("https://icf.clappia.com/app/GMB253374/submission/ACI07213203/ICF247370-GMB253374-58ap5544eebe00000000/SIG-20250701_1213l00pi.jpeg", "SIG-20250701_1213l00pi.jpeg")</f>
        <v>SIG-20250701_1213l00pi.jpeg</v>
      </c>
      <c r="AV624" s="3" t="str">
        <f>HYPERLINK("https://www.google.com/maps/place/8.9032133%2C-12.04553", "8.9032133,-12.04553")</f>
        <v>8.9032133,-12.04553</v>
      </c>
    </row>
    <row r="625" ht="15.75" customHeight="1">
      <c r="A625" s="1" t="s">
        <v>3216</v>
      </c>
      <c r="B625" s="1" t="s">
        <v>94</v>
      </c>
      <c r="C625" s="1" t="s">
        <v>3217</v>
      </c>
      <c r="D625" s="1" t="s">
        <v>3217</v>
      </c>
      <c r="E625" s="1" t="s">
        <v>3218</v>
      </c>
      <c r="F625" s="1" t="s">
        <v>64</v>
      </c>
      <c r="G625" s="1">
        <v>347.0</v>
      </c>
      <c r="H625" s="1" t="s">
        <v>50</v>
      </c>
      <c r="I625" s="1">
        <v>71.0</v>
      </c>
      <c r="J625" s="1">
        <v>33.0</v>
      </c>
      <c r="K625" s="1">
        <v>33.0</v>
      </c>
      <c r="L625" s="1">
        <v>38.0</v>
      </c>
      <c r="M625" s="1">
        <v>38.0</v>
      </c>
      <c r="N625" s="1" t="s">
        <v>51</v>
      </c>
      <c r="O625" s="1">
        <v>64.0</v>
      </c>
      <c r="P625" s="1">
        <v>28.0</v>
      </c>
      <c r="Q625" s="1">
        <v>28.0</v>
      </c>
      <c r="R625" s="1">
        <v>36.0</v>
      </c>
      <c r="S625" s="1">
        <v>36.0</v>
      </c>
      <c r="T625" s="1" t="s">
        <v>52</v>
      </c>
      <c r="U625" s="1">
        <v>68.0</v>
      </c>
      <c r="V625" s="1">
        <v>35.0</v>
      </c>
      <c r="W625" s="1">
        <v>35.0</v>
      </c>
      <c r="X625" s="1">
        <v>33.0</v>
      </c>
      <c r="Y625" s="1">
        <v>33.0</v>
      </c>
      <c r="Z625" s="1" t="s">
        <v>53</v>
      </c>
      <c r="AA625" s="1">
        <v>75.0</v>
      </c>
      <c r="AB625" s="1">
        <v>36.0</v>
      </c>
      <c r="AC625" s="1">
        <v>36.0</v>
      </c>
      <c r="AD625" s="1">
        <v>39.0</v>
      </c>
      <c r="AE625" s="1">
        <v>39.0</v>
      </c>
      <c r="AF625" s="1" t="s">
        <v>54</v>
      </c>
      <c r="AG625" s="1">
        <v>69.0</v>
      </c>
      <c r="AH625" s="1">
        <v>29.0</v>
      </c>
      <c r="AI625" s="1">
        <v>29.0</v>
      </c>
      <c r="AJ625" s="1">
        <v>40.0</v>
      </c>
      <c r="AK625" s="1">
        <v>40.0</v>
      </c>
      <c r="AL625" s="1">
        <v>347.0</v>
      </c>
      <c r="AM625" s="1" t="s">
        <v>55</v>
      </c>
      <c r="AN625" s="1" t="s">
        <v>55</v>
      </c>
      <c r="AO625" s="1" t="s">
        <v>55</v>
      </c>
      <c r="AP625" s="1" t="s">
        <v>865</v>
      </c>
      <c r="AQ625" s="3" t="str">
        <f>HYPERLINK("https://icf.clappia.com/app/GMB253374/submission/ARE31392042/ICF247370-GMB253374-3o9b1o4k13a600000000/SIG-20250701_1306kd34k.jpeg", "SIG-20250701_1306kd34k.jpeg")</f>
        <v>SIG-20250701_1306kd34k.jpeg</v>
      </c>
      <c r="AR625" s="1" t="s">
        <v>3219</v>
      </c>
      <c r="AS625" s="3" t="str">
        <f>HYPERLINK("https://icf.clappia.com/app/GMB253374/submission/ARE31392042/ICF247370-GMB253374-fji2lfphj81e0000000/SIG-20250701_1306pmp4e.jpeg", "SIG-20250701_1306pmp4e.jpeg")</f>
        <v>SIG-20250701_1306pmp4e.jpeg</v>
      </c>
      <c r="AT625" s="1" t="s">
        <v>867</v>
      </c>
      <c r="AU625" s="3" t="str">
        <f>HYPERLINK("https://icf.clappia.com/app/GMB253374/submission/ARE31392042/ICF247370-GMB253374-1ol9idckkcm080000000/SIG-20250701_1306e83c1.jpeg", "SIG-20250701_1306e83c1.jpeg")</f>
        <v>SIG-20250701_1306e83c1.jpeg</v>
      </c>
      <c r="AV625" s="3" t="str">
        <f>HYPERLINK("https://www.google.com/maps/place/7.6525267%2C-11.96395", "7.6525267,-11.96395")</f>
        <v>7.6525267,-11.96395</v>
      </c>
    </row>
    <row r="626" ht="15.75" customHeight="1">
      <c r="A626" s="1" t="s">
        <v>3220</v>
      </c>
      <c r="B626" s="1" t="s">
        <v>349</v>
      </c>
      <c r="C626" s="1" t="s">
        <v>3221</v>
      </c>
      <c r="D626" s="1" t="s">
        <v>3221</v>
      </c>
      <c r="E626" s="1" t="s">
        <v>3222</v>
      </c>
      <c r="F626" s="1" t="s">
        <v>64</v>
      </c>
      <c r="G626" s="1">
        <v>250.0</v>
      </c>
      <c r="H626" s="1" t="s">
        <v>50</v>
      </c>
      <c r="I626" s="1">
        <v>59.0</v>
      </c>
      <c r="J626" s="1">
        <v>28.0</v>
      </c>
      <c r="K626" s="1">
        <v>27.0</v>
      </c>
      <c r="L626" s="1">
        <v>31.0</v>
      </c>
      <c r="M626" s="1">
        <v>30.0</v>
      </c>
      <c r="N626" s="1" t="s">
        <v>51</v>
      </c>
      <c r="O626" s="1">
        <v>42.0</v>
      </c>
      <c r="P626" s="1">
        <v>9.0</v>
      </c>
      <c r="Q626" s="1">
        <v>9.0</v>
      </c>
      <c r="R626" s="1">
        <v>33.0</v>
      </c>
      <c r="S626" s="1">
        <v>32.0</v>
      </c>
      <c r="T626" s="1" t="s">
        <v>52</v>
      </c>
      <c r="U626" s="1">
        <v>40.0</v>
      </c>
      <c r="V626" s="1">
        <v>14.0</v>
      </c>
      <c r="W626" s="1">
        <v>14.0</v>
      </c>
      <c r="X626" s="1">
        <v>26.0</v>
      </c>
      <c r="Y626" s="1">
        <v>25.0</v>
      </c>
      <c r="Z626" s="1" t="s">
        <v>53</v>
      </c>
      <c r="AA626" s="1">
        <v>36.0</v>
      </c>
      <c r="AB626" s="1">
        <v>16.0</v>
      </c>
      <c r="AC626" s="1">
        <v>15.0</v>
      </c>
      <c r="AD626" s="1">
        <v>20.0</v>
      </c>
      <c r="AE626" s="1">
        <v>20.0</v>
      </c>
      <c r="AF626" s="1" t="s">
        <v>54</v>
      </c>
      <c r="AG626" s="1">
        <v>39.0</v>
      </c>
      <c r="AH626" s="1">
        <v>12.0</v>
      </c>
      <c r="AI626" s="1">
        <v>12.0</v>
      </c>
      <c r="AJ626" s="1">
        <v>27.0</v>
      </c>
      <c r="AK626" s="1">
        <v>27.0</v>
      </c>
      <c r="AL626" s="1">
        <v>211.0</v>
      </c>
      <c r="AM626" s="1">
        <v>5.0</v>
      </c>
      <c r="AN626" s="1">
        <v>34.0</v>
      </c>
      <c r="AO626" s="1">
        <v>34.0</v>
      </c>
      <c r="AP626" s="1" t="s">
        <v>1780</v>
      </c>
      <c r="AQ626" s="3" t="str">
        <f>HYPERLINK("https://icf.clappia.com/app/GMB253374/submission/AIB52367980/ICF247370-GMB253374-5p2c8k0741ag00000000/SIG-20250630_14472538j.jpeg", "SIG-20250630_14472538j.jpeg")</f>
        <v>SIG-20250630_14472538j.jpeg</v>
      </c>
      <c r="AR626" s="1" t="s">
        <v>3179</v>
      </c>
      <c r="AS626" s="3" t="str">
        <f>HYPERLINK("https://icf.clappia.com/app/GMB253374/submission/AIB52367980/ICF247370-GMB253374-4c0j9dol9i5m000000/SIG-20250630_1448n0hdc.jpeg", "SIG-20250630_1448n0hdc.jpeg")</f>
        <v>SIG-20250630_1448n0hdc.jpeg</v>
      </c>
      <c r="AT626" s="1" t="s">
        <v>3223</v>
      </c>
      <c r="AU626" s="3" t="str">
        <f>HYPERLINK("https://icf.clappia.com/app/GMB253374/submission/AIB52367980/ICF247370-GMB253374-565o2jabjmak00000000/SIG-20250630_14497gnm7.jpeg", "SIG-20250630_14497gnm7.jpeg")</f>
        <v>SIG-20250630_14497gnm7.jpeg</v>
      </c>
      <c r="AV626" s="3" t="str">
        <f>HYPERLINK("https://www.google.com/maps/place/8.9468683%2C-11.89826", "8.9468683,-11.89826")</f>
        <v>8.9468683,-11.89826</v>
      </c>
    </row>
    <row r="627" ht="15.75" customHeight="1">
      <c r="A627" s="1" t="s">
        <v>3224</v>
      </c>
      <c r="B627" s="1" t="s">
        <v>69</v>
      </c>
      <c r="C627" s="1" t="s">
        <v>3221</v>
      </c>
      <c r="D627" s="1" t="s">
        <v>3221</v>
      </c>
      <c r="E627" s="1" t="s">
        <v>3225</v>
      </c>
      <c r="F627" s="1" t="s">
        <v>64</v>
      </c>
      <c r="G627" s="1">
        <v>255.0</v>
      </c>
      <c r="H627" s="1" t="s">
        <v>50</v>
      </c>
      <c r="I627" s="1">
        <v>52.0</v>
      </c>
      <c r="J627" s="1">
        <v>20.0</v>
      </c>
      <c r="K627" s="1">
        <v>20.0</v>
      </c>
      <c r="L627" s="1">
        <v>32.0</v>
      </c>
      <c r="M627" s="1">
        <v>30.0</v>
      </c>
      <c r="N627" s="1" t="s">
        <v>51</v>
      </c>
      <c r="O627" s="1">
        <v>49.0</v>
      </c>
      <c r="P627" s="1">
        <v>24.0</v>
      </c>
      <c r="Q627" s="1">
        <v>23.0</v>
      </c>
      <c r="R627" s="1">
        <v>25.0</v>
      </c>
      <c r="S627" s="1">
        <v>24.0</v>
      </c>
      <c r="T627" s="1" t="s">
        <v>52</v>
      </c>
      <c r="U627" s="1">
        <v>56.0</v>
      </c>
      <c r="V627" s="1">
        <v>33.0</v>
      </c>
      <c r="W627" s="1">
        <v>32.0</v>
      </c>
      <c r="X627" s="1">
        <v>23.0</v>
      </c>
      <c r="Y627" s="1">
        <v>21.0</v>
      </c>
      <c r="Z627" s="1" t="s">
        <v>53</v>
      </c>
      <c r="AA627" s="1">
        <v>56.0</v>
      </c>
      <c r="AB627" s="1">
        <v>21.0</v>
      </c>
      <c r="AC627" s="1">
        <v>21.0</v>
      </c>
      <c r="AD627" s="1">
        <v>35.0</v>
      </c>
      <c r="AE627" s="1">
        <v>34.0</v>
      </c>
      <c r="AF627" s="1" t="s">
        <v>54</v>
      </c>
      <c r="AG627" s="1">
        <v>42.0</v>
      </c>
      <c r="AH627" s="1">
        <v>18.0</v>
      </c>
      <c r="AI627" s="1">
        <v>18.0</v>
      </c>
      <c r="AJ627" s="1">
        <v>24.0</v>
      </c>
      <c r="AK627" s="1">
        <v>24.0</v>
      </c>
      <c r="AL627" s="1">
        <v>247.0</v>
      </c>
      <c r="AM627" s="1">
        <v>8.0</v>
      </c>
      <c r="AN627" s="1" t="s">
        <v>55</v>
      </c>
      <c r="AO627" s="1" t="s">
        <v>55</v>
      </c>
      <c r="AP627" s="1" t="s">
        <v>3226</v>
      </c>
      <c r="AQ627" s="3" t="str">
        <f>HYPERLINK("https://icf.clappia.com/app/GMB253374/submission/XSI08758766/ICF247370-GMB253374-205bjedhpg4160000000/SIG-20250701_1305i3hlb.jpeg", "SIG-20250701_1305i3hlb.jpeg")</f>
        <v>SIG-20250701_1305i3hlb.jpeg</v>
      </c>
      <c r="AR627" s="1" t="s">
        <v>3227</v>
      </c>
      <c r="AS627" s="3" t="str">
        <f>HYPERLINK("https://icf.clappia.com/app/GMB253374/submission/XSI08758766/ICF247370-GMB253374-5dc3oi6hdkji00000000/SIG-20250701_130517fj38.jpeg", "SIG-20250701_130517fj38.jpeg")</f>
        <v>SIG-20250701_130517fj38.jpeg</v>
      </c>
      <c r="AT627" s="1" t="s">
        <v>3228</v>
      </c>
      <c r="AU627" s="3" t="str">
        <f>HYPERLINK("https://icf.clappia.com/app/GMB253374/submission/XSI08758766/ICF247370-GMB253374-17j3goiaf8m720000000/SIG-20250701_1306hho2i.jpeg", "SIG-20250701_1306hho2i.jpeg")</f>
        <v>SIG-20250701_1306hho2i.jpeg</v>
      </c>
      <c r="AV627" s="3" t="str">
        <f>HYPERLINK("https://www.google.com/maps/place/8.8916767%2C-12.0736333", "8.8916767,-12.0736333")</f>
        <v>8.8916767,-12.0736333</v>
      </c>
    </row>
    <row r="628" ht="15.75" customHeight="1">
      <c r="A628" s="1" t="s">
        <v>3229</v>
      </c>
      <c r="B628" s="1" t="s">
        <v>81</v>
      </c>
      <c r="C628" s="1" t="s">
        <v>3032</v>
      </c>
      <c r="D628" s="1" t="s">
        <v>3032</v>
      </c>
      <c r="E628" s="1" t="s">
        <v>3230</v>
      </c>
      <c r="F628" s="1" t="s">
        <v>64</v>
      </c>
      <c r="G628" s="1">
        <v>300.0</v>
      </c>
      <c r="H628" s="1" t="s">
        <v>50</v>
      </c>
      <c r="I628" s="1">
        <v>90.0</v>
      </c>
      <c r="J628" s="1">
        <v>40.0</v>
      </c>
      <c r="K628" s="1">
        <v>40.0</v>
      </c>
      <c r="L628" s="1">
        <v>50.0</v>
      </c>
      <c r="M628" s="1">
        <v>50.0</v>
      </c>
      <c r="N628" s="1" t="s">
        <v>51</v>
      </c>
      <c r="O628" s="1">
        <v>60.0</v>
      </c>
      <c r="P628" s="1">
        <v>20.0</v>
      </c>
      <c r="Q628" s="1">
        <v>20.0</v>
      </c>
      <c r="R628" s="1">
        <v>40.0</v>
      </c>
      <c r="S628" s="1">
        <v>40.0</v>
      </c>
      <c r="T628" s="1" t="s">
        <v>52</v>
      </c>
      <c r="U628" s="1">
        <v>50.0</v>
      </c>
      <c r="V628" s="1">
        <v>14.0</v>
      </c>
      <c r="W628" s="1">
        <v>14.0</v>
      </c>
      <c r="X628" s="1">
        <v>36.0</v>
      </c>
      <c r="Y628" s="1">
        <v>36.0</v>
      </c>
      <c r="Z628" s="1" t="s">
        <v>53</v>
      </c>
      <c r="AA628" s="1">
        <v>40.0</v>
      </c>
      <c r="AB628" s="1">
        <v>15.0</v>
      </c>
      <c r="AC628" s="1">
        <v>15.0</v>
      </c>
      <c r="AD628" s="1">
        <v>25.0</v>
      </c>
      <c r="AE628" s="1">
        <v>25.0</v>
      </c>
      <c r="AF628" s="1" t="s">
        <v>54</v>
      </c>
      <c r="AG628" s="1">
        <v>30.0</v>
      </c>
      <c r="AH628" s="1">
        <v>20.0</v>
      </c>
      <c r="AI628" s="1">
        <v>20.0</v>
      </c>
      <c r="AJ628" s="1">
        <v>10.0</v>
      </c>
      <c r="AK628" s="1">
        <v>10.0</v>
      </c>
      <c r="AL628" s="1">
        <v>270.0</v>
      </c>
      <c r="AM628" s="1" t="s">
        <v>55</v>
      </c>
      <c r="AN628" s="1">
        <v>30.0</v>
      </c>
      <c r="AO628" s="1">
        <v>30.0</v>
      </c>
      <c r="AP628" s="1" t="s">
        <v>1133</v>
      </c>
      <c r="AQ628" s="3" t="str">
        <f>HYPERLINK("https://icf.clappia.com/app/GMB253374/submission/PBP08879144/ICF247370-GMB253374-29lh8p74o38560000000/SIG-20250701_09181506fk.jpeg", "SIG-20250701_09181506fk.jpeg")</f>
        <v>SIG-20250701_09181506fk.jpeg</v>
      </c>
      <c r="AR628" s="1" t="s">
        <v>1961</v>
      </c>
      <c r="AS628" s="3" t="str">
        <f>HYPERLINK("https://icf.clappia.com/app/GMB253374/submission/PBP08879144/ICF247370-GMB253374-28hm3767jh06i0000000/SIG-20250701_091943aa6.jpeg", "SIG-20250701_091943aa6.jpeg")</f>
        <v>SIG-20250701_091943aa6.jpeg</v>
      </c>
      <c r="AT628" s="1" t="s">
        <v>1963</v>
      </c>
      <c r="AU628" s="3" t="str">
        <f>HYPERLINK("https://icf.clappia.com/app/GMB253374/submission/PBP08879144/ICF247370-GMB253374-4adf9idnhf0m00000000/SIG-20250701_0920167hla.jpeg", "SIG-20250701_0920167hla.jpeg")</f>
        <v>SIG-20250701_0920167hla.jpeg</v>
      </c>
      <c r="AV628" s="3" t="str">
        <f>HYPERLINK("https://www.google.com/maps/place/7.9574867%2C-11.7455517", "7.9574867,-11.7455517")</f>
        <v>7.9574867,-11.7455517</v>
      </c>
    </row>
    <row r="629" ht="15.75" customHeight="1">
      <c r="A629" s="1" t="s">
        <v>3231</v>
      </c>
      <c r="B629" s="1" t="s">
        <v>142</v>
      </c>
      <c r="C629" s="1" t="s">
        <v>3032</v>
      </c>
      <c r="D629" s="1" t="s">
        <v>3032</v>
      </c>
      <c r="E629" s="1" t="s">
        <v>3232</v>
      </c>
      <c r="F629" s="1" t="s">
        <v>64</v>
      </c>
      <c r="G629" s="1">
        <v>243.0</v>
      </c>
      <c r="H629" s="1" t="s">
        <v>50</v>
      </c>
      <c r="I629" s="1">
        <v>120.0</v>
      </c>
      <c r="J629" s="1">
        <v>55.0</v>
      </c>
      <c r="K629" s="1">
        <v>55.0</v>
      </c>
      <c r="L629" s="1">
        <v>65.0</v>
      </c>
      <c r="M629" s="1">
        <v>65.0</v>
      </c>
      <c r="N629" s="1" t="s">
        <v>51</v>
      </c>
      <c r="O629" s="1">
        <v>38.0</v>
      </c>
      <c r="P629" s="1">
        <v>15.0</v>
      </c>
      <c r="Q629" s="1">
        <v>15.0</v>
      </c>
      <c r="R629" s="1">
        <v>23.0</v>
      </c>
      <c r="S629" s="1">
        <v>23.0</v>
      </c>
      <c r="T629" s="1" t="s">
        <v>52</v>
      </c>
      <c r="U629" s="1">
        <v>33.0</v>
      </c>
      <c r="V629" s="1">
        <v>20.0</v>
      </c>
      <c r="W629" s="1">
        <v>20.0</v>
      </c>
      <c r="X629" s="1">
        <v>13.0</v>
      </c>
      <c r="Y629" s="1">
        <v>13.0</v>
      </c>
      <c r="Z629" s="1" t="s">
        <v>53</v>
      </c>
      <c r="AA629" s="1">
        <v>25.0</v>
      </c>
      <c r="AB629" s="1">
        <v>11.0</v>
      </c>
      <c r="AC629" s="1">
        <v>11.0</v>
      </c>
      <c r="AD629" s="1">
        <v>14.0</v>
      </c>
      <c r="AE629" s="1">
        <v>14.0</v>
      </c>
      <c r="AF629" s="1" t="s">
        <v>54</v>
      </c>
      <c r="AG629" s="1">
        <v>27.0</v>
      </c>
      <c r="AH629" s="1">
        <v>17.0</v>
      </c>
      <c r="AI629" s="1">
        <v>17.0</v>
      </c>
      <c r="AJ629" s="1">
        <v>10.0</v>
      </c>
      <c r="AK629" s="1">
        <v>10.0</v>
      </c>
      <c r="AL629" s="1">
        <v>243.0</v>
      </c>
      <c r="AM629" s="1" t="s">
        <v>55</v>
      </c>
      <c r="AN629" s="1" t="s">
        <v>55</v>
      </c>
      <c r="AO629" s="1" t="s">
        <v>55</v>
      </c>
      <c r="AP629" s="1" t="s">
        <v>1617</v>
      </c>
      <c r="AQ629" s="3" t="str">
        <f>HYPERLINK("https://icf.clappia.com/app/GMB253374/submission/AGY23486359/ICF247370-GMB253374-34iej8h8186i00000000/SIG-20250701_1143neko6.jpeg", "SIG-20250701_1143neko6.jpeg")</f>
        <v>SIG-20250701_1143neko6.jpeg</v>
      </c>
      <c r="AR629" s="1" t="s">
        <v>3233</v>
      </c>
      <c r="AS629" s="3" t="str">
        <f>HYPERLINK("https://icf.clappia.com/app/GMB253374/submission/AGY23486359/ICF247370-GMB253374-ij97j3f9nk3a0000000/SIG-20250701_1145c8m8i.jpeg", "SIG-20250701_1145c8m8i.jpeg")</f>
        <v>SIG-20250701_1145c8m8i.jpeg</v>
      </c>
      <c r="AT629" s="1" t="s">
        <v>3234</v>
      </c>
      <c r="AU629" s="3" t="str">
        <f>HYPERLINK("https://icf.clappia.com/app/GMB253374/submission/AGY23486359/ICF247370-GMB253374-3p0h8f6alc4200000000/SIG-20250701_11451749b6.jpeg", "SIG-20250701_11451749b6.jpeg")</f>
        <v>SIG-20250701_11451749b6.jpeg</v>
      </c>
      <c r="AV629" s="3" t="str">
        <f>HYPERLINK("https://www.google.com/maps/place/7.8249061%2C-12.0121068", "7.8249061,-12.0121068")</f>
        <v>7.8249061,-12.0121068</v>
      </c>
    </row>
    <row r="630" ht="15.75" customHeight="1">
      <c r="A630" s="1" t="s">
        <v>3235</v>
      </c>
      <c r="B630" s="1" t="s">
        <v>81</v>
      </c>
      <c r="C630" s="1" t="s">
        <v>3032</v>
      </c>
      <c r="D630" s="1" t="s">
        <v>3032</v>
      </c>
      <c r="E630" s="1" t="s">
        <v>3236</v>
      </c>
      <c r="F630" s="1" t="s">
        <v>64</v>
      </c>
      <c r="G630" s="1">
        <v>165.0</v>
      </c>
      <c r="H630" s="1" t="s">
        <v>50</v>
      </c>
      <c r="I630" s="1">
        <v>37.0</v>
      </c>
      <c r="J630" s="1">
        <v>7.0</v>
      </c>
      <c r="K630" s="1">
        <v>7.0</v>
      </c>
      <c r="L630" s="1">
        <v>26.0</v>
      </c>
      <c r="M630" s="1">
        <v>19.0</v>
      </c>
      <c r="N630" s="1" t="s">
        <v>51</v>
      </c>
      <c r="O630" s="1">
        <v>26.0</v>
      </c>
      <c r="P630" s="1">
        <v>15.0</v>
      </c>
      <c r="Q630" s="1">
        <v>15.0</v>
      </c>
      <c r="R630" s="1">
        <v>11.0</v>
      </c>
      <c r="S630" s="1">
        <v>7.0</v>
      </c>
      <c r="T630" s="1" t="s">
        <v>52</v>
      </c>
      <c r="U630" s="1">
        <v>49.0</v>
      </c>
      <c r="V630" s="1">
        <v>24.0</v>
      </c>
      <c r="W630" s="1">
        <v>24.0</v>
      </c>
      <c r="X630" s="1">
        <v>25.0</v>
      </c>
      <c r="Y630" s="1">
        <v>20.0</v>
      </c>
      <c r="Z630" s="1" t="s">
        <v>53</v>
      </c>
      <c r="AA630" s="1">
        <v>35.0</v>
      </c>
      <c r="AB630" s="1">
        <v>12.0</v>
      </c>
      <c r="AC630" s="1">
        <v>7.0</v>
      </c>
      <c r="AD630" s="1">
        <v>23.0</v>
      </c>
      <c r="AE630" s="1">
        <v>18.0</v>
      </c>
      <c r="AF630" s="1" t="s">
        <v>54</v>
      </c>
      <c r="AG630" s="1">
        <v>44.0</v>
      </c>
      <c r="AH630" s="1">
        <v>21.0</v>
      </c>
      <c r="AI630" s="1">
        <v>12.0</v>
      </c>
      <c r="AJ630" s="1">
        <v>23.0</v>
      </c>
      <c r="AK630" s="1">
        <v>16.0</v>
      </c>
      <c r="AL630" s="1">
        <v>145.0</v>
      </c>
      <c r="AM630" s="1" t="s">
        <v>55</v>
      </c>
      <c r="AN630" s="1">
        <v>20.0</v>
      </c>
      <c r="AO630" s="1">
        <v>20.0</v>
      </c>
      <c r="AP630" s="1" t="s">
        <v>577</v>
      </c>
      <c r="AQ630" s="3" t="str">
        <f>HYPERLINK("https://icf.clappia.com/app/GMB253374/submission/ADQ62600066/ICF247370-GMB253374-4pb4feg3f7g000000000/SIG-20250701_1301l5617.jpeg", "SIG-20250701_1301l5617.jpeg")</f>
        <v>SIG-20250701_1301l5617.jpeg</v>
      </c>
      <c r="AR630" s="1" t="s">
        <v>3237</v>
      </c>
      <c r="AS630" s="3" t="str">
        <f>HYPERLINK("https://icf.clappia.com/app/GMB253374/submission/ADQ62600066/ICF247370-GMB253374-478i676di8i000000000/SIG-20250701_130211ihj3.jpeg", "SIG-20250701_130211ihj3.jpeg")</f>
        <v>SIG-20250701_130211ihj3.jpeg</v>
      </c>
      <c r="AT630" s="1" t="s">
        <v>3238</v>
      </c>
      <c r="AU630" s="3" t="str">
        <f>HYPERLINK("https://icf.clappia.com/app/GMB253374/submission/ADQ62600066/ICF247370-GMB253374-11ndbdhp8cn3m0000000/SIG-20250701_13034p8mn.jpeg", "SIG-20250701_13034p8mn.jpeg")</f>
        <v>SIG-20250701_13034p8mn.jpeg</v>
      </c>
      <c r="AV630" s="3" t="str">
        <f>HYPERLINK("https://www.google.com/maps/place/7.956025%2C-11.7615133", "7.956025,-11.7615133")</f>
        <v>7.956025,-11.7615133</v>
      </c>
    </row>
    <row r="631" ht="15.75" customHeight="1">
      <c r="A631" s="1" t="s">
        <v>3239</v>
      </c>
      <c r="B631" s="1" t="s">
        <v>81</v>
      </c>
      <c r="C631" s="1" t="s">
        <v>3240</v>
      </c>
      <c r="D631" s="1" t="s">
        <v>3240</v>
      </c>
      <c r="E631" s="1" t="s">
        <v>3241</v>
      </c>
      <c r="F631" s="1" t="s">
        <v>64</v>
      </c>
      <c r="G631" s="1">
        <v>293.0</v>
      </c>
      <c r="H631" s="1" t="s">
        <v>50</v>
      </c>
      <c r="I631" s="1">
        <v>70.0</v>
      </c>
      <c r="J631" s="1">
        <v>37.0</v>
      </c>
      <c r="K631" s="1">
        <v>34.0</v>
      </c>
      <c r="L631" s="1">
        <v>33.0</v>
      </c>
      <c r="M631" s="1">
        <v>27.0</v>
      </c>
      <c r="N631" s="1" t="s">
        <v>51</v>
      </c>
      <c r="O631" s="1">
        <v>63.0</v>
      </c>
      <c r="P631" s="1">
        <v>33.0</v>
      </c>
      <c r="Q631" s="1">
        <v>29.0</v>
      </c>
      <c r="R631" s="1">
        <v>30.0</v>
      </c>
      <c r="S631" s="1">
        <v>29.0</v>
      </c>
      <c r="T631" s="1" t="s">
        <v>52</v>
      </c>
      <c r="U631" s="1">
        <v>79.0</v>
      </c>
      <c r="V631" s="1">
        <v>40.0</v>
      </c>
      <c r="W631" s="1">
        <v>22.0</v>
      </c>
      <c r="X631" s="1">
        <v>39.0</v>
      </c>
      <c r="Y631" s="1">
        <v>22.0</v>
      </c>
      <c r="Z631" s="1" t="s">
        <v>53</v>
      </c>
      <c r="AA631" s="1">
        <v>69.0</v>
      </c>
      <c r="AB631" s="1">
        <v>32.0</v>
      </c>
      <c r="AC631" s="1">
        <v>29.0</v>
      </c>
      <c r="AD631" s="1">
        <v>37.0</v>
      </c>
      <c r="AE631" s="1">
        <v>32.0</v>
      </c>
      <c r="AF631" s="1" t="s">
        <v>54</v>
      </c>
      <c r="AG631" s="1">
        <v>70.0</v>
      </c>
      <c r="AH631" s="1">
        <v>31.0</v>
      </c>
      <c r="AI631" s="1">
        <v>30.0</v>
      </c>
      <c r="AJ631" s="1">
        <v>39.0</v>
      </c>
      <c r="AK631" s="1">
        <v>39.0</v>
      </c>
      <c r="AL631" s="1">
        <v>293.0</v>
      </c>
      <c r="AM631" s="1" t="s">
        <v>55</v>
      </c>
      <c r="AN631" s="1" t="s">
        <v>55</v>
      </c>
      <c r="AO631" s="1" t="s">
        <v>55</v>
      </c>
      <c r="AP631" s="1" t="s">
        <v>119</v>
      </c>
      <c r="AQ631" s="3" t="str">
        <f>HYPERLINK("https://icf.clappia.com/app/GMB253374/submission/RCM63212854/ICF247370-GMB253374-54pp7emfo48c00000000/SIG-20250701_125750914.jpeg", "SIG-20250701_125750914.jpeg")</f>
        <v>SIG-20250701_125750914.jpeg</v>
      </c>
      <c r="AR631" s="1" t="s">
        <v>3242</v>
      </c>
      <c r="AS631" s="3" t="str">
        <f>HYPERLINK("https://icf.clappia.com/app/GMB253374/submission/RCM63212854/ICF247370-GMB253374-6b6ghii00og400000000/SIG-20250701_125718hced.jpeg", "SIG-20250701_125718hced.jpeg")</f>
        <v>SIG-20250701_125718hced.jpeg</v>
      </c>
      <c r="AT631" s="1" t="s">
        <v>2119</v>
      </c>
      <c r="AU631" s="3" t="str">
        <f>HYPERLINK("https://icf.clappia.com/app/GMB253374/submission/RCM63212854/ICF247370-GMB253374-f5ddc3gcco0o0000000/SIG-20250701_1257ol583.jpeg", "SIG-20250701_1257ol583.jpeg")</f>
        <v>SIG-20250701_1257ol583.jpeg</v>
      </c>
      <c r="AV631" s="3" t="str">
        <f>HYPERLINK("https://www.google.com/maps/place/7.9651019%2C-11.7390368", "7.9651019,-11.7390368")</f>
        <v>7.9651019,-11.7390368</v>
      </c>
    </row>
    <row r="632" ht="15.75" customHeight="1">
      <c r="A632" s="1" t="s">
        <v>3243</v>
      </c>
      <c r="B632" s="1" t="s">
        <v>161</v>
      </c>
      <c r="C632" s="1" t="s">
        <v>3240</v>
      </c>
      <c r="D632" s="1" t="s">
        <v>3240</v>
      </c>
      <c r="E632" s="1" t="s">
        <v>3244</v>
      </c>
      <c r="F632" s="1" t="s">
        <v>64</v>
      </c>
      <c r="G632" s="1">
        <v>110.0</v>
      </c>
      <c r="H632" s="1" t="s">
        <v>50</v>
      </c>
      <c r="I632" s="1">
        <v>22.0</v>
      </c>
      <c r="J632" s="1">
        <v>10.0</v>
      </c>
      <c r="K632" s="1">
        <v>10.0</v>
      </c>
      <c r="L632" s="1">
        <v>12.0</v>
      </c>
      <c r="M632" s="1">
        <v>12.0</v>
      </c>
      <c r="N632" s="1" t="s">
        <v>51</v>
      </c>
      <c r="O632" s="1">
        <v>21.0</v>
      </c>
      <c r="P632" s="1">
        <v>11.0</v>
      </c>
      <c r="Q632" s="1">
        <v>11.0</v>
      </c>
      <c r="R632" s="1">
        <v>10.0</v>
      </c>
      <c r="S632" s="1">
        <v>10.0</v>
      </c>
      <c r="T632" s="1" t="s">
        <v>52</v>
      </c>
      <c r="U632" s="1">
        <v>23.0</v>
      </c>
      <c r="V632" s="1">
        <v>8.0</v>
      </c>
      <c r="W632" s="1">
        <v>8.0</v>
      </c>
      <c r="X632" s="1">
        <v>15.0</v>
      </c>
      <c r="Y632" s="1">
        <v>15.0</v>
      </c>
      <c r="Z632" s="1" t="s">
        <v>53</v>
      </c>
      <c r="AA632" s="1">
        <v>20.0</v>
      </c>
      <c r="AB632" s="1">
        <v>10.0</v>
      </c>
      <c r="AC632" s="1">
        <v>10.0</v>
      </c>
      <c r="AD632" s="1">
        <v>10.0</v>
      </c>
      <c r="AE632" s="1">
        <v>10.0</v>
      </c>
      <c r="AF632" s="1" t="s">
        <v>54</v>
      </c>
      <c r="AG632" s="1">
        <v>15.0</v>
      </c>
      <c r="AH632" s="1">
        <v>8.0</v>
      </c>
      <c r="AI632" s="1">
        <v>8.0</v>
      </c>
      <c r="AJ632" s="1">
        <v>7.0</v>
      </c>
      <c r="AK632" s="1">
        <v>6.0</v>
      </c>
      <c r="AL632" s="1">
        <v>100.0</v>
      </c>
      <c r="AM632" s="1">
        <v>10.0</v>
      </c>
      <c r="AN632" s="1" t="s">
        <v>55</v>
      </c>
      <c r="AO632" s="1" t="s">
        <v>55</v>
      </c>
      <c r="AP632" s="1" t="s">
        <v>3245</v>
      </c>
      <c r="AQ632" s="3" t="str">
        <f>HYPERLINK("https://icf.clappia.com/app/GMB253374/submission/IXH71583439/ICF247370-GMB253374-3f77m4mc8hdo00000000/SIG-20250701_1259fhlgi.jpeg", "SIG-20250701_1259fhlgi.jpeg")</f>
        <v>SIG-20250701_1259fhlgi.jpeg</v>
      </c>
      <c r="AR632" s="1" t="s">
        <v>1065</v>
      </c>
      <c r="AS632" s="3" t="str">
        <f>HYPERLINK("https://icf.clappia.com/app/GMB253374/submission/IXH71583439/ICF247370-GMB253374-5eb6e95nijmm00000000/SIG-20250701_1259ajmok.jpeg", "SIG-20250701_1259ajmok.jpeg")</f>
        <v>SIG-20250701_1259ajmok.jpeg</v>
      </c>
      <c r="AT632" s="1" t="s">
        <v>1064</v>
      </c>
      <c r="AU632" s="3" t="str">
        <f>HYPERLINK("https://icf.clappia.com/app/GMB253374/submission/IXH71583439/ICF247370-GMB253374-2439b8n443dge0000000/SIG-20250701_1301i2kf3.jpeg", "SIG-20250701_1301i2kf3.jpeg")</f>
        <v>SIG-20250701_1301i2kf3.jpeg</v>
      </c>
      <c r="AV632" s="3" t="str">
        <f>HYPERLINK("https://www.google.com/maps/place/7.9427902%2C-11.6885058", "7.9427902,-11.6885058")</f>
        <v>7.9427902,-11.6885058</v>
      </c>
    </row>
    <row r="633" ht="15.75" customHeight="1">
      <c r="A633" s="1" t="s">
        <v>3246</v>
      </c>
      <c r="B633" s="1" t="s">
        <v>167</v>
      </c>
      <c r="C633" s="1" t="s">
        <v>3247</v>
      </c>
      <c r="D633" s="1" t="s">
        <v>3240</v>
      </c>
      <c r="E633" s="1" t="s">
        <v>3248</v>
      </c>
      <c r="F633" s="1" t="s">
        <v>64</v>
      </c>
      <c r="G633" s="1">
        <v>200.0</v>
      </c>
      <c r="H633" s="1" t="s">
        <v>50</v>
      </c>
      <c r="I633" s="1">
        <v>190.0</v>
      </c>
      <c r="J633" s="1">
        <v>39.0</v>
      </c>
      <c r="K633" s="1">
        <v>39.0</v>
      </c>
      <c r="L633" s="1">
        <v>52.0</v>
      </c>
      <c r="M633" s="1">
        <v>52.0</v>
      </c>
      <c r="N633" s="1" t="s">
        <v>51</v>
      </c>
      <c r="O633" s="1">
        <v>37.0</v>
      </c>
      <c r="P633" s="1">
        <v>14.0</v>
      </c>
      <c r="Q633" s="1">
        <v>14.0</v>
      </c>
      <c r="R633" s="1">
        <v>23.0</v>
      </c>
      <c r="S633" s="1">
        <v>23.0</v>
      </c>
      <c r="T633" s="1" t="s">
        <v>52</v>
      </c>
      <c r="U633" s="1">
        <v>19.0</v>
      </c>
      <c r="V633" s="1">
        <v>8.0</v>
      </c>
      <c r="W633" s="1">
        <v>8.0</v>
      </c>
      <c r="X633" s="1">
        <v>11.0</v>
      </c>
      <c r="Y633" s="1">
        <v>11.0</v>
      </c>
      <c r="Z633" s="1" t="s">
        <v>53</v>
      </c>
      <c r="AA633" s="1">
        <v>30.0</v>
      </c>
      <c r="AB633" s="1">
        <v>13.0</v>
      </c>
      <c r="AC633" s="1">
        <v>13.0</v>
      </c>
      <c r="AD633" s="1">
        <v>17.0</v>
      </c>
      <c r="AE633" s="1">
        <v>17.0</v>
      </c>
      <c r="AF633" s="1" t="s">
        <v>54</v>
      </c>
      <c r="AG633" s="1">
        <v>13.0</v>
      </c>
      <c r="AH633" s="1">
        <v>4.0</v>
      </c>
      <c r="AI633" s="1">
        <v>4.0</v>
      </c>
      <c r="AJ633" s="1">
        <v>9.0</v>
      </c>
      <c r="AK633" s="1">
        <v>9.0</v>
      </c>
      <c r="AL633" s="1">
        <v>190.0</v>
      </c>
      <c r="AM633" s="1">
        <v>10.0</v>
      </c>
      <c r="AN633" s="1" t="s">
        <v>55</v>
      </c>
      <c r="AO633" s="1" t="s">
        <v>55</v>
      </c>
      <c r="AP633" s="1" t="s">
        <v>181</v>
      </c>
      <c r="AQ633" s="3" t="str">
        <f>HYPERLINK("https://icf.clappia.com/app/GMB253374/submission/SIQ74894373/ICF247370-GMB253374-30hk15467cp200000000/SIG-20250701_1252ha7ph.jpeg", "SIG-20250701_1252ha7ph.jpeg")</f>
        <v>SIG-20250701_1252ha7ph.jpeg</v>
      </c>
      <c r="AR633" s="1" t="s">
        <v>3249</v>
      </c>
      <c r="AS633" s="3" t="str">
        <f>HYPERLINK("https://icf.clappia.com/app/GMB253374/submission/SIQ74894373/ICF247370-GMB253374-3l874h5p6p8200000000/SIG-20250701_125215a8a1.jpeg", "SIG-20250701_125215a8a1.jpeg")</f>
        <v>SIG-20250701_125215a8a1.jpeg</v>
      </c>
      <c r="AT633" s="1" t="s">
        <v>3250</v>
      </c>
      <c r="AU633" s="3" t="str">
        <f>HYPERLINK("https://icf.clappia.com/app/GMB253374/submission/SIQ74894373/ICF247370-GMB253374-45e92ebocb5g00000000/SIG-20250701_125350g87.jpeg", "SIG-20250701_125350g87.jpeg")</f>
        <v>SIG-20250701_125350g87.jpeg</v>
      </c>
      <c r="AV633" s="3" t="str">
        <f>HYPERLINK("https://www.google.com/maps/place/7.7694763%2C-11.9485368", "7.7694763,-11.9485368")</f>
        <v>7.7694763,-11.9485368</v>
      </c>
    </row>
    <row r="634" ht="15.75" customHeight="1">
      <c r="A634" s="1" t="s">
        <v>3251</v>
      </c>
      <c r="B634" s="1" t="s">
        <v>60</v>
      </c>
      <c r="C634" s="1" t="s">
        <v>3247</v>
      </c>
      <c r="D634" s="1" t="s">
        <v>3247</v>
      </c>
      <c r="E634" s="1" t="s">
        <v>3252</v>
      </c>
      <c r="F634" s="1" t="s">
        <v>49</v>
      </c>
      <c r="G634" s="1">
        <v>350.0</v>
      </c>
      <c r="H634" s="1" t="s">
        <v>50</v>
      </c>
      <c r="I634" s="1">
        <v>65.0</v>
      </c>
      <c r="J634" s="1">
        <v>30.0</v>
      </c>
      <c r="K634" s="1">
        <v>30.0</v>
      </c>
      <c r="L634" s="1">
        <v>35.0</v>
      </c>
      <c r="M634" s="1">
        <v>35.0</v>
      </c>
      <c r="N634" s="1" t="s">
        <v>51</v>
      </c>
      <c r="O634" s="1">
        <v>89.0</v>
      </c>
      <c r="P634" s="1">
        <v>44.0</v>
      </c>
      <c r="Q634" s="1">
        <v>44.0</v>
      </c>
      <c r="R634" s="1">
        <v>45.0</v>
      </c>
      <c r="S634" s="1">
        <v>45.0</v>
      </c>
      <c r="T634" s="1" t="s">
        <v>52</v>
      </c>
      <c r="U634" s="1">
        <v>65.0</v>
      </c>
      <c r="V634" s="1">
        <v>36.0</v>
      </c>
      <c r="W634" s="1">
        <v>36.0</v>
      </c>
      <c r="X634" s="1">
        <v>29.0</v>
      </c>
      <c r="Y634" s="1">
        <v>29.0</v>
      </c>
      <c r="Z634" s="1" t="s">
        <v>53</v>
      </c>
      <c r="AA634" s="1">
        <v>55.0</v>
      </c>
      <c r="AB634" s="1">
        <v>29.0</v>
      </c>
      <c r="AC634" s="1">
        <v>29.0</v>
      </c>
      <c r="AD634" s="1">
        <v>26.0</v>
      </c>
      <c r="AE634" s="1">
        <v>26.0</v>
      </c>
      <c r="AF634" s="1" t="s">
        <v>54</v>
      </c>
      <c r="AG634" s="1">
        <v>76.0</v>
      </c>
      <c r="AH634" s="1">
        <v>37.0</v>
      </c>
      <c r="AI634" s="1">
        <v>37.0</v>
      </c>
      <c r="AJ634" s="1">
        <v>39.0</v>
      </c>
      <c r="AK634" s="1">
        <v>39.0</v>
      </c>
      <c r="AL634" s="1">
        <v>350.0</v>
      </c>
      <c r="AM634" s="1" t="s">
        <v>55</v>
      </c>
      <c r="AN634" s="1" t="s">
        <v>55</v>
      </c>
      <c r="AO634" s="1" t="s">
        <v>55</v>
      </c>
      <c r="AP634" s="1" t="s">
        <v>3253</v>
      </c>
      <c r="AQ634" s="3" t="str">
        <f>HYPERLINK("https://icf.clappia.com/app/GMB253374/submission/YYW83738737/ICF247370-GMB253374-4415e8j11pi800000000/SIG-20250701_1258154bg0.jpeg", "SIG-20250701_1258154bg0.jpeg")</f>
        <v>SIG-20250701_1258154bg0.jpeg</v>
      </c>
      <c r="AR634" s="1" t="s">
        <v>3254</v>
      </c>
      <c r="AS634" s="3" t="str">
        <f>HYPERLINK("https://icf.clappia.com/app/GMB253374/submission/YYW83738737/ICF247370-GMB253374-4mpeg9kob9mc00000000/SIG-20250701_1300gf5p3.jpeg", "SIG-20250701_1300gf5p3.jpeg")</f>
        <v>SIG-20250701_1300gf5p3.jpeg</v>
      </c>
      <c r="AT634" s="1" t="s">
        <v>3255</v>
      </c>
      <c r="AU634" s="3" t="str">
        <f>HYPERLINK("https://icf.clappia.com/app/GMB253374/submission/YYW83738737/ICF247370-GMB253374-28a1h9ndbcnpg0000000/SIG-20250701_1300mjocg.jpeg", "SIG-20250701_1300mjocg.jpeg")</f>
        <v>SIG-20250701_1300mjocg.jpeg</v>
      </c>
      <c r="AV634" s="3" t="str">
        <f>HYPERLINK("https://www.google.com/maps/place/8.870955%2C-12.0286483", "8.870955,-12.0286483")</f>
        <v>8.870955,-12.0286483</v>
      </c>
    </row>
    <row r="635" ht="15.75" customHeight="1">
      <c r="A635" s="1" t="s">
        <v>3256</v>
      </c>
      <c r="B635" s="1" t="s">
        <v>335</v>
      </c>
      <c r="C635" s="1" t="s">
        <v>3257</v>
      </c>
      <c r="D635" s="1" t="s">
        <v>3257</v>
      </c>
      <c r="E635" s="1" t="s">
        <v>3258</v>
      </c>
      <c r="F635" s="1" t="s">
        <v>64</v>
      </c>
      <c r="G635" s="1">
        <v>101.0</v>
      </c>
      <c r="H635" s="1" t="s">
        <v>50</v>
      </c>
      <c r="I635" s="1">
        <v>60.0</v>
      </c>
      <c r="J635" s="1">
        <v>29.0</v>
      </c>
      <c r="K635" s="1">
        <v>29.0</v>
      </c>
      <c r="L635" s="1">
        <v>31.0</v>
      </c>
      <c r="M635" s="1">
        <v>31.0</v>
      </c>
      <c r="N635" s="1" t="s">
        <v>51</v>
      </c>
      <c r="O635" s="1">
        <v>18.0</v>
      </c>
      <c r="P635" s="1">
        <v>10.0</v>
      </c>
      <c r="Q635" s="1">
        <v>10.0</v>
      </c>
      <c r="R635" s="1">
        <v>8.0</v>
      </c>
      <c r="S635" s="1">
        <v>8.0</v>
      </c>
      <c r="T635" s="1" t="s">
        <v>52</v>
      </c>
      <c r="U635" s="1">
        <v>11.0</v>
      </c>
      <c r="V635" s="1">
        <v>9.0</v>
      </c>
      <c r="W635" s="1">
        <v>8.0</v>
      </c>
      <c r="X635" s="1">
        <v>2.0</v>
      </c>
      <c r="Y635" s="1">
        <v>2.0</v>
      </c>
      <c r="Z635" s="1" t="s">
        <v>53</v>
      </c>
      <c r="AA635" s="1">
        <v>8.0</v>
      </c>
      <c r="AB635" s="1">
        <v>5.0</v>
      </c>
      <c r="AC635" s="1">
        <v>5.0</v>
      </c>
      <c r="AD635" s="1">
        <v>3.0</v>
      </c>
      <c r="AE635" s="1">
        <v>3.0</v>
      </c>
      <c r="AF635" s="1" t="s">
        <v>54</v>
      </c>
      <c r="AG635" s="1">
        <v>4.0</v>
      </c>
      <c r="AH635" s="1">
        <v>2.0</v>
      </c>
      <c r="AI635" s="1">
        <v>2.0</v>
      </c>
      <c r="AJ635" s="1">
        <v>2.0</v>
      </c>
      <c r="AK635" s="1">
        <v>2.0</v>
      </c>
      <c r="AL635" s="1">
        <v>100.0</v>
      </c>
      <c r="AM635" s="1">
        <v>1.0</v>
      </c>
      <c r="AN635" s="1" t="s">
        <v>55</v>
      </c>
      <c r="AO635" s="1" t="s">
        <v>55</v>
      </c>
      <c r="AP635" s="1" t="s">
        <v>2308</v>
      </c>
      <c r="AQ635" s="3" t="str">
        <f>HYPERLINK("https://icf.clappia.com/app/GMB253374/submission/GCW65967806/ICF247370-GMB253374-387lnejehhk000000000/SIG-20250701_1041e858h.jpeg", "SIG-20250701_1041e858h.jpeg")</f>
        <v>SIG-20250701_1041e858h.jpeg</v>
      </c>
      <c r="AR635" s="1" t="s">
        <v>2309</v>
      </c>
      <c r="AS635" s="3" t="str">
        <f>HYPERLINK("https://icf.clappia.com/app/GMB253374/submission/GCW65967806/ICF247370-GMB253374-4ke5fc5j0o7c00000000/SIG-20250701_1042hjgb8.jpeg", "SIG-20250701_1042hjgb8.jpeg")</f>
        <v>SIG-20250701_1042hjgb8.jpeg</v>
      </c>
      <c r="AT635" s="1" t="s">
        <v>3259</v>
      </c>
      <c r="AU635" s="3" t="str">
        <f>HYPERLINK("https://icf.clappia.com/app/GMB253374/submission/GCW65967806/ICF247370-GMB253374-48akpogf4l0g00000000/SIG-20250701_10426jom0.jpeg", "SIG-20250701_10426jom0.jpeg")</f>
        <v>SIG-20250701_10426jom0.jpeg</v>
      </c>
      <c r="AV635" s="3" t="str">
        <f>HYPERLINK("https://www.google.com/maps/place/8.1656983%2C-11.6608067", "8.1656983,-11.6608067")</f>
        <v>8.1656983,-11.6608067</v>
      </c>
    </row>
    <row r="636" ht="15.75" customHeight="1">
      <c r="A636" s="1" t="s">
        <v>3260</v>
      </c>
      <c r="B636" s="1" t="s">
        <v>167</v>
      </c>
      <c r="C636" s="1" t="s">
        <v>3261</v>
      </c>
      <c r="D636" s="1" t="s">
        <v>3261</v>
      </c>
      <c r="E636" s="1" t="s">
        <v>3262</v>
      </c>
      <c r="F636" s="1" t="s">
        <v>64</v>
      </c>
      <c r="G636" s="1">
        <v>259.0</v>
      </c>
      <c r="H636" s="1" t="s">
        <v>50</v>
      </c>
      <c r="I636" s="1">
        <v>35.0</v>
      </c>
      <c r="J636" s="1">
        <v>20.0</v>
      </c>
      <c r="K636" s="1">
        <v>20.0</v>
      </c>
      <c r="L636" s="1">
        <v>15.0</v>
      </c>
      <c r="M636" s="1">
        <v>15.0</v>
      </c>
      <c r="N636" s="1" t="s">
        <v>51</v>
      </c>
      <c r="O636" s="1">
        <v>40.0</v>
      </c>
      <c r="P636" s="1">
        <v>19.0</v>
      </c>
      <c r="Q636" s="1">
        <v>19.0</v>
      </c>
      <c r="R636" s="1">
        <v>21.0</v>
      </c>
      <c r="S636" s="1">
        <v>21.0</v>
      </c>
      <c r="T636" s="1" t="s">
        <v>52</v>
      </c>
      <c r="U636" s="1">
        <v>52.0</v>
      </c>
      <c r="V636" s="1">
        <v>22.0</v>
      </c>
      <c r="W636" s="1">
        <v>22.0</v>
      </c>
      <c r="X636" s="1">
        <v>30.0</v>
      </c>
      <c r="Y636" s="1">
        <v>30.0</v>
      </c>
      <c r="Z636" s="1" t="s">
        <v>53</v>
      </c>
      <c r="AA636" s="1">
        <v>57.0</v>
      </c>
      <c r="AB636" s="1">
        <v>23.0</v>
      </c>
      <c r="AC636" s="1">
        <v>23.0</v>
      </c>
      <c r="AD636" s="1">
        <v>34.0</v>
      </c>
      <c r="AE636" s="1">
        <v>34.0</v>
      </c>
      <c r="AF636" s="1" t="s">
        <v>54</v>
      </c>
      <c r="AG636" s="1">
        <v>65.0</v>
      </c>
      <c r="AH636" s="1">
        <v>35.0</v>
      </c>
      <c r="AI636" s="1">
        <v>35.0</v>
      </c>
      <c r="AJ636" s="1">
        <v>30.0</v>
      </c>
      <c r="AK636" s="1">
        <v>30.0</v>
      </c>
      <c r="AL636" s="1">
        <v>249.0</v>
      </c>
      <c r="AM636" s="1">
        <v>10.0</v>
      </c>
      <c r="AN636" s="1" t="s">
        <v>55</v>
      </c>
      <c r="AO636" s="1" t="s">
        <v>55</v>
      </c>
      <c r="AP636" s="1" t="s">
        <v>3263</v>
      </c>
      <c r="AQ636" s="3" t="str">
        <f>HYPERLINK("https://icf.clappia.com/app/GMB253374/submission/EKH91157219/ICF247370-GMB253374-1ckk943lf5cn20000000/SIG-20250701_12527him2.jpeg", "SIG-20250701_12527him2.jpeg")</f>
        <v>SIG-20250701_12527him2.jpeg</v>
      </c>
      <c r="AR636" s="1" t="s">
        <v>171</v>
      </c>
      <c r="AS636" s="3" t="str">
        <f>HYPERLINK("https://icf.clappia.com/app/GMB253374/submission/EKH91157219/ICF247370-GMB253374-5d1hhg0el3aa0000000/SIG-20250701_1244l214g.jpeg", "SIG-20250701_1244l214g.jpeg")</f>
        <v>SIG-20250701_1244l214g.jpeg</v>
      </c>
      <c r="AT636" s="1" t="s">
        <v>172</v>
      </c>
      <c r="AU636" s="3" t="str">
        <f>HYPERLINK("https://icf.clappia.com/app/GMB253374/submission/EKH91157219/ICF247370-GMB253374-698f6hljmfe200000000/SIG-20250701_124617ochl.jpeg", "SIG-20250701_124617ochl.jpeg")</f>
        <v>SIG-20250701_124617ochl.jpeg</v>
      </c>
      <c r="AV636" s="3" t="str">
        <f>HYPERLINK("https://www.google.com/maps/place/7.9328953%2C-11.7308506", "7.9328953,-11.7308506")</f>
        <v>7.9328953,-11.7308506</v>
      </c>
    </row>
    <row r="637" ht="15.75" customHeight="1">
      <c r="A637" s="1" t="s">
        <v>3264</v>
      </c>
      <c r="B637" s="1" t="s">
        <v>46</v>
      </c>
      <c r="C637" s="1" t="s">
        <v>3261</v>
      </c>
      <c r="D637" s="1" t="s">
        <v>3261</v>
      </c>
      <c r="E637" s="1" t="s">
        <v>3265</v>
      </c>
      <c r="F637" s="1" t="s">
        <v>64</v>
      </c>
      <c r="G637" s="1">
        <v>234.0</v>
      </c>
      <c r="H637" s="1" t="s">
        <v>50</v>
      </c>
      <c r="I637" s="1">
        <v>63.0</v>
      </c>
      <c r="J637" s="1">
        <v>26.0</v>
      </c>
      <c r="K637" s="1">
        <v>26.0</v>
      </c>
      <c r="L637" s="1">
        <v>37.0</v>
      </c>
      <c r="M637" s="1">
        <v>37.0</v>
      </c>
      <c r="N637" s="1" t="s">
        <v>51</v>
      </c>
      <c r="O637" s="1">
        <v>46.0</v>
      </c>
      <c r="P637" s="1">
        <v>14.0</v>
      </c>
      <c r="Q637" s="1">
        <v>14.0</v>
      </c>
      <c r="R637" s="1">
        <v>32.0</v>
      </c>
      <c r="S637" s="1">
        <v>32.0</v>
      </c>
      <c r="T637" s="1" t="s">
        <v>52</v>
      </c>
      <c r="U637" s="1">
        <v>48.0</v>
      </c>
      <c r="V637" s="1">
        <v>19.0</v>
      </c>
      <c r="W637" s="1">
        <v>19.0</v>
      </c>
      <c r="X637" s="1">
        <v>29.0</v>
      </c>
      <c r="Y637" s="1">
        <v>29.0</v>
      </c>
      <c r="Z637" s="1" t="s">
        <v>53</v>
      </c>
      <c r="AA637" s="1">
        <v>44.0</v>
      </c>
      <c r="AB637" s="1">
        <v>22.0</v>
      </c>
      <c r="AC637" s="1">
        <v>22.0</v>
      </c>
      <c r="AD637" s="1">
        <v>22.0</v>
      </c>
      <c r="AE637" s="1">
        <v>22.0</v>
      </c>
      <c r="AF637" s="1" t="s">
        <v>54</v>
      </c>
      <c r="AG637" s="1">
        <v>33.0</v>
      </c>
      <c r="AH637" s="1">
        <v>25.0</v>
      </c>
      <c r="AI637" s="1">
        <v>25.0</v>
      </c>
      <c r="AJ637" s="1">
        <v>8.0</v>
      </c>
      <c r="AK637" s="1">
        <v>8.0</v>
      </c>
      <c r="AL637" s="1">
        <v>234.0</v>
      </c>
      <c r="AM637" s="1" t="s">
        <v>55</v>
      </c>
      <c r="AN637" s="1" t="s">
        <v>55</v>
      </c>
      <c r="AO637" s="1" t="s">
        <v>55</v>
      </c>
      <c r="AP637" s="1" t="s">
        <v>2351</v>
      </c>
      <c r="AQ637" s="3" t="str">
        <f>HYPERLINK("https://icf.clappia.com/app/GMB253374/submission/BOF08542555/ICF247370-GMB253374-3b517h8flcji00000000/SIG-20250701_125414c63p.jpeg", "SIG-20250701_125414c63p.jpeg")</f>
        <v>SIG-20250701_125414c63p.jpeg</v>
      </c>
      <c r="AR637" s="1" t="s">
        <v>2352</v>
      </c>
      <c r="AS637" s="3" t="str">
        <f>HYPERLINK("https://icf.clappia.com/app/GMB253374/submission/BOF08542555/ICF247370-GMB253374-1a2n3keaj5gfi0000000/SIG-20250701_1255b7plh.jpeg", "SIG-20250701_1255b7plh.jpeg")</f>
        <v>SIG-20250701_1255b7plh.jpeg</v>
      </c>
      <c r="AT637" s="1" t="s">
        <v>2353</v>
      </c>
      <c r="AU637" s="3" t="str">
        <f>HYPERLINK("https://icf.clappia.com/app/GMB253374/submission/BOF08542555/ICF247370-GMB253374-3jd2m6ba1mcm00000000/SIG-20250701_1256884e2.jpeg", "SIG-20250701_1256884e2.jpeg")</f>
        <v>SIG-20250701_1256884e2.jpeg</v>
      </c>
      <c r="AV637" s="3" t="str">
        <f>HYPERLINK("https://www.google.com/maps/place/8.8988283%2C-12.0665517", "8.8988283,-12.0665517")</f>
        <v>8.8988283,-12.0665517</v>
      </c>
    </row>
    <row r="638" ht="15.75" customHeight="1">
      <c r="A638" s="1" t="s">
        <v>3266</v>
      </c>
      <c r="B638" s="1" t="s">
        <v>189</v>
      </c>
      <c r="C638" s="1" t="s">
        <v>3261</v>
      </c>
      <c r="D638" s="1" t="s">
        <v>3261</v>
      </c>
      <c r="E638" s="1" t="s">
        <v>3267</v>
      </c>
      <c r="F638" s="1" t="s">
        <v>64</v>
      </c>
      <c r="G638" s="1">
        <v>660.0</v>
      </c>
      <c r="H638" s="1" t="s">
        <v>50</v>
      </c>
      <c r="I638" s="1">
        <v>120.0</v>
      </c>
      <c r="J638" s="1">
        <v>60.0</v>
      </c>
      <c r="K638" s="1">
        <v>60.0</v>
      </c>
      <c r="L638" s="1">
        <v>60.0</v>
      </c>
      <c r="M638" s="1">
        <v>60.0</v>
      </c>
      <c r="N638" s="1" t="s">
        <v>51</v>
      </c>
      <c r="O638" s="1">
        <v>140.0</v>
      </c>
      <c r="P638" s="1">
        <v>80.0</v>
      </c>
      <c r="Q638" s="1">
        <v>80.0</v>
      </c>
      <c r="R638" s="1">
        <v>60.0</v>
      </c>
      <c r="S638" s="1">
        <v>60.0</v>
      </c>
      <c r="T638" s="1" t="s">
        <v>52</v>
      </c>
      <c r="U638" s="1">
        <v>163.0</v>
      </c>
      <c r="V638" s="1">
        <v>80.0</v>
      </c>
      <c r="W638" s="1">
        <v>70.0</v>
      </c>
      <c r="X638" s="1">
        <v>83.0</v>
      </c>
      <c r="Y638" s="1">
        <v>73.0</v>
      </c>
      <c r="Z638" s="1" t="s">
        <v>53</v>
      </c>
      <c r="AA638" s="1">
        <v>65.0</v>
      </c>
      <c r="AB638" s="1">
        <v>30.0</v>
      </c>
      <c r="AC638" s="1">
        <v>30.0</v>
      </c>
      <c r="AD638" s="1">
        <v>35.0</v>
      </c>
      <c r="AE638" s="1">
        <v>30.0</v>
      </c>
      <c r="AF638" s="1" t="s">
        <v>54</v>
      </c>
      <c r="AG638" s="1">
        <v>60.0</v>
      </c>
      <c r="AH638" s="1">
        <v>30.0</v>
      </c>
      <c r="AI638" s="1">
        <v>30.0</v>
      </c>
      <c r="AJ638" s="1">
        <v>30.0</v>
      </c>
      <c r="AK638" s="1">
        <v>30.0</v>
      </c>
      <c r="AL638" s="1">
        <v>523.0</v>
      </c>
      <c r="AM638" s="1" t="s">
        <v>55</v>
      </c>
      <c r="AN638" s="1">
        <v>137.0</v>
      </c>
      <c r="AO638" s="1" t="s">
        <v>55</v>
      </c>
      <c r="AP638" s="1" t="s">
        <v>3268</v>
      </c>
      <c r="AQ638" s="3" t="str">
        <f>HYPERLINK("https://icf.clappia.com/app/GMB253374/submission/JYK54364670/ICF247370-GMB253374-1p721nice36320000000/SIG-20250701_12138b6j.jpeg", "SIG-20250701_12138b6j.jpeg")</f>
        <v>SIG-20250701_12138b6j.jpeg</v>
      </c>
      <c r="AR638" s="1" t="s">
        <v>3269</v>
      </c>
      <c r="AS638" s="3" t="str">
        <f>HYPERLINK("https://icf.clappia.com/app/GMB253374/submission/JYK54364670/ICF247370-GMB253374-355pgg5geai800000000/SIG-20250701_12496h2ob.jpeg", "SIG-20250701_12496h2ob.jpeg")</f>
        <v>SIG-20250701_12496h2ob.jpeg</v>
      </c>
      <c r="AT638" s="1" t="s">
        <v>3270</v>
      </c>
      <c r="AU638" s="3" t="str">
        <f>HYPERLINK("https://icf.clappia.com/app/GMB253374/submission/JYK54364670/ICF247370-GMB253374-57pk4c450jd200000000/SIG-20250701_1214i4a90.jpeg", "SIG-20250701_1214i4a90.jpeg")</f>
        <v>SIG-20250701_1214i4a90.jpeg</v>
      </c>
      <c r="AV638" s="3" t="str">
        <f>HYPERLINK("https://www.google.com/maps/place/8.8893041%2C-12.0509425", "8.8893041,-12.0509425")</f>
        <v>8.8893041,-12.0509425</v>
      </c>
    </row>
    <row r="639" ht="15.75" customHeight="1">
      <c r="A639" s="1" t="s">
        <v>3271</v>
      </c>
      <c r="B639" s="1" t="s">
        <v>81</v>
      </c>
      <c r="C639" s="1" t="s">
        <v>3272</v>
      </c>
      <c r="D639" s="1" t="s">
        <v>3272</v>
      </c>
      <c r="E639" s="1" t="s">
        <v>3273</v>
      </c>
      <c r="F639" s="1" t="s">
        <v>64</v>
      </c>
      <c r="G639" s="1">
        <v>107.0</v>
      </c>
      <c r="H639" s="1" t="s">
        <v>50</v>
      </c>
      <c r="I639" s="1">
        <v>21.0</v>
      </c>
      <c r="J639" s="1">
        <v>11.0</v>
      </c>
      <c r="K639" s="1">
        <v>11.0</v>
      </c>
      <c r="L639" s="1">
        <v>10.0</v>
      </c>
      <c r="M639" s="1">
        <v>10.0</v>
      </c>
      <c r="N639" s="1" t="s">
        <v>51</v>
      </c>
      <c r="O639" s="1">
        <v>20.0</v>
      </c>
      <c r="P639" s="1">
        <v>8.0</v>
      </c>
      <c r="Q639" s="1">
        <v>8.0</v>
      </c>
      <c r="R639" s="1">
        <v>12.0</v>
      </c>
      <c r="S639" s="1">
        <v>12.0</v>
      </c>
      <c r="T639" s="1" t="s">
        <v>52</v>
      </c>
      <c r="U639" s="1">
        <v>30.0</v>
      </c>
      <c r="V639" s="1">
        <v>10.0</v>
      </c>
      <c r="W639" s="1">
        <v>10.0</v>
      </c>
      <c r="X639" s="1">
        <v>20.0</v>
      </c>
      <c r="Y639" s="1">
        <v>20.0</v>
      </c>
      <c r="Z639" s="1" t="s">
        <v>53</v>
      </c>
      <c r="AA639" s="1">
        <v>18.0</v>
      </c>
      <c r="AB639" s="1">
        <v>8.0</v>
      </c>
      <c r="AC639" s="1">
        <v>8.0</v>
      </c>
      <c r="AD639" s="1">
        <v>10.0</v>
      </c>
      <c r="AE639" s="1">
        <v>10.0</v>
      </c>
      <c r="AF639" s="1" t="s">
        <v>54</v>
      </c>
      <c r="AG639" s="1">
        <v>18.0</v>
      </c>
      <c r="AH639" s="1">
        <v>10.0</v>
      </c>
      <c r="AI639" s="1">
        <v>10.0</v>
      </c>
      <c r="AJ639" s="1">
        <v>8.0</v>
      </c>
      <c r="AK639" s="1">
        <v>8.0</v>
      </c>
      <c r="AL639" s="1">
        <v>107.0</v>
      </c>
      <c r="AM639" s="1" t="s">
        <v>55</v>
      </c>
      <c r="AN639" s="1" t="s">
        <v>55</v>
      </c>
      <c r="AO639" s="1" t="s">
        <v>55</v>
      </c>
      <c r="AP639" s="1" t="s">
        <v>1758</v>
      </c>
      <c r="AQ639" s="3" t="str">
        <f>HYPERLINK("https://icf.clappia.com/app/GMB253374/submission/PIO75911491/ICF247370-GMB253374-4d6h9bo757bm00000000/SIG-20250701_1247151cep.jpeg", "SIG-20250701_1247151cep.jpeg")</f>
        <v>SIG-20250701_1247151cep.jpeg</v>
      </c>
      <c r="AR639" s="1" t="s">
        <v>1759</v>
      </c>
      <c r="AS639" s="3" t="str">
        <f>HYPERLINK("https://icf.clappia.com/app/GMB253374/submission/PIO75911491/ICF247370-GMB253374-30mbiil7me2200000000/SIG-20250701_124719o84m.jpeg", "SIG-20250701_124719o84m.jpeg")</f>
        <v>SIG-20250701_124719o84m.jpeg</v>
      </c>
      <c r="AT639" s="1" t="s">
        <v>3274</v>
      </c>
      <c r="AU639" s="3" t="str">
        <f>HYPERLINK("https://icf.clappia.com/app/GMB253374/submission/PIO75911491/ICF247370-GMB253374-1mappp8p9i0g00000000/SIG-20250701_1249c8306.jpeg", "SIG-20250701_1249c8306.jpeg")</f>
        <v>SIG-20250701_1249c8306.jpeg</v>
      </c>
      <c r="AV639" s="3" t="str">
        <f>HYPERLINK("https://www.google.com/maps/place/7.9586372%2C-11.7423677", "7.9586372,-11.7423677")</f>
        <v>7.9586372,-11.7423677</v>
      </c>
    </row>
    <row r="640" ht="15.75" customHeight="1">
      <c r="A640" s="1" t="s">
        <v>3275</v>
      </c>
      <c r="B640" s="1" t="s">
        <v>81</v>
      </c>
      <c r="C640" s="1" t="s">
        <v>3276</v>
      </c>
      <c r="D640" s="1" t="s">
        <v>3276</v>
      </c>
      <c r="E640" s="1" t="s">
        <v>3277</v>
      </c>
      <c r="F640" s="1" t="s">
        <v>64</v>
      </c>
      <c r="G640" s="1">
        <v>140.0</v>
      </c>
      <c r="H640" s="1" t="s">
        <v>50</v>
      </c>
      <c r="I640" s="1">
        <v>34.0</v>
      </c>
      <c r="J640" s="1">
        <v>15.0</v>
      </c>
      <c r="K640" s="1">
        <v>15.0</v>
      </c>
      <c r="L640" s="1">
        <v>19.0</v>
      </c>
      <c r="M640" s="1">
        <v>19.0</v>
      </c>
      <c r="N640" s="1" t="s">
        <v>51</v>
      </c>
      <c r="O640" s="1">
        <v>19.0</v>
      </c>
      <c r="P640" s="1">
        <v>11.0</v>
      </c>
      <c r="Q640" s="1">
        <v>11.0</v>
      </c>
      <c r="R640" s="1">
        <v>8.0</v>
      </c>
      <c r="S640" s="1">
        <v>8.0</v>
      </c>
      <c r="T640" s="1" t="s">
        <v>52</v>
      </c>
      <c r="U640" s="1">
        <v>40.0</v>
      </c>
      <c r="V640" s="1">
        <v>18.0</v>
      </c>
      <c r="W640" s="1">
        <v>18.0</v>
      </c>
      <c r="X640" s="1">
        <v>22.0</v>
      </c>
      <c r="Y640" s="1">
        <v>22.0</v>
      </c>
      <c r="Z640" s="1" t="s">
        <v>53</v>
      </c>
      <c r="AA640" s="1">
        <v>19.0</v>
      </c>
      <c r="AB640" s="1">
        <v>7.0</v>
      </c>
      <c r="AC640" s="1">
        <v>7.0</v>
      </c>
      <c r="AD640" s="1">
        <v>12.0</v>
      </c>
      <c r="AE640" s="1">
        <v>12.0</v>
      </c>
      <c r="AF640" s="1" t="s">
        <v>54</v>
      </c>
      <c r="AG640" s="1">
        <v>28.0</v>
      </c>
      <c r="AH640" s="1">
        <v>12.0</v>
      </c>
      <c r="AI640" s="1">
        <v>12.0</v>
      </c>
      <c r="AJ640" s="1">
        <v>16.0</v>
      </c>
      <c r="AK640" s="1">
        <v>16.0</v>
      </c>
      <c r="AL640" s="1">
        <v>140.0</v>
      </c>
      <c r="AM640" s="1" t="s">
        <v>55</v>
      </c>
      <c r="AN640" s="1" t="s">
        <v>55</v>
      </c>
      <c r="AO640" s="1" t="s">
        <v>55</v>
      </c>
      <c r="AP640" s="1" t="s">
        <v>897</v>
      </c>
      <c r="AQ640" s="3" t="str">
        <f>HYPERLINK("https://icf.clappia.com/app/GMB253374/submission/PJI17405222/ICF247370-GMB253374-47h73chdf7ja00000000/SIG-20250701_1111km9di.jpeg", "SIG-20250701_1111km9di.jpeg")</f>
        <v>SIG-20250701_1111km9di.jpeg</v>
      </c>
      <c r="AR640" s="1" t="s">
        <v>898</v>
      </c>
      <c r="AS640" s="3" t="str">
        <f>HYPERLINK("https://icf.clappia.com/app/GMB253374/submission/PJI17405222/ICF247370-GMB253374-26n85lo7fefok0000000/SIG-20250701_1111bkgmn.jpeg", "SIG-20250701_1111bkgmn.jpeg")</f>
        <v>SIG-20250701_1111bkgmn.jpeg</v>
      </c>
      <c r="AT640" s="1" t="s">
        <v>899</v>
      </c>
      <c r="AU640" s="3" t="str">
        <f>HYPERLINK("https://icf.clappia.com/app/GMB253374/submission/PJI17405222/ICF247370-GMB253374-842cdganih1i0000000/SIG-20250701_1113gbbg1.jpeg", "SIG-20250701_1113gbbg1.jpeg")</f>
        <v>SIG-20250701_1113gbbg1.jpeg</v>
      </c>
      <c r="AV640" s="3" t="str">
        <f>HYPERLINK("https://www.google.com/maps/place/7.9624384%2C-11.7485734", "7.9624384,-11.7485734")</f>
        <v>7.9624384,-11.7485734</v>
      </c>
    </row>
    <row r="641" ht="15.75" customHeight="1">
      <c r="A641" s="1" t="s">
        <v>3278</v>
      </c>
      <c r="B641" s="1" t="s">
        <v>2328</v>
      </c>
      <c r="C641" s="1" t="s">
        <v>3276</v>
      </c>
      <c r="D641" s="1" t="s">
        <v>3276</v>
      </c>
      <c r="E641" s="1" t="s">
        <v>3279</v>
      </c>
      <c r="F641" s="1" t="s">
        <v>64</v>
      </c>
      <c r="G641" s="1">
        <v>100.0</v>
      </c>
      <c r="H641" s="1" t="s">
        <v>50</v>
      </c>
      <c r="I641" s="1">
        <v>44.0</v>
      </c>
      <c r="J641" s="1">
        <v>19.0</v>
      </c>
      <c r="K641" s="1">
        <v>19.0</v>
      </c>
      <c r="L641" s="1">
        <v>25.0</v>
      </c>
      <c r="M641" s="1">
        <v>25.0</v>
      </c>
      <c r="N641" s="1" t="s">
        <v>51</v>
      </c>
      <c r="O641" s="1">
        <v>19.0</v>
      </c>
      <c r="P641" s="1">
        <v>11.0</v>
      </c>
      <c r="Q641" s="1">
        <v>11.0</v>
      </c>
      <c r="R641" s="1">
        <v>8.0</v>
      </c>
      <c r="S641" s="1">
        <v>8.0</v>
      </c>
      <c r="T641" s="1" t="s">
        <v>52</v>
      </c>
      <c r="U641" s="1">
        <v>8.0</v>
      </c>
      <c r="V641" s="1">
        <v>3.0</v>
      </c>
      <c r="W641" s="1">
        <v>3.0</v>
      </c>
      <c r="X641" s="1">
        <v>5.0</v>
      </c>
      <c r="Y641" s="1">
        <v>5.0</v>
      </c>
      <c r="Z641" s="1" t="s">
        <v>53</v>
      </c>
      <c r="AA641" s="1">
        <v>12.0</v>
      </c>
      <c r="AB641" s="1">
        <v>7.0</v>
      </c>
      <c r="AC641" s="1">
        <v>7.0</v>
      </c>
      <c r="AD641" s="1">
        <v>5.0</v>
      </c>
      <c r="AE641" s="1">
        <v>5.0</v>
      </c>
      <c r="AF641" s="1" t="s">
        <v>54</v>
      </c>
      <c r="AG641" s="1">
        <v>12.0</v>
      </c>
      <c r="AH641" s="1">
        <v>10.0</v>
      </c>
      <c r="AI641" s="1">
        <v>10.0</v>
      </c>
      <c r="AJ641" s="1">
        <v>2.0</v>
      </c>
      <c r="AK641" s="1">
        <v>2.0</v>
      </c>
      <c r="AL641" s="1">
        <v>95.0</v>
      </c>
      <c r="AM641" s="1" t="s">
        <v>55</v>
      </c>
      <c r="AN641" s="1">
        <v>5.0</v>
      </c>
      <c r="AO641" s="1">
        <v>5.0</v>
      </c>
      <c r="AP641" s="1" t="s">
        <v>3280</v>
      </c>
      <c r="AQ641" s="3" t="str">
        <f>HYPERLINK("https://icf.clappia.com/app/GMB253374/submission/SVP17755223/ICF247370-GMB253374-6af01i1oam4a00000000/SIG-20250701_1249mokdk.jpeg", "SIG-20250701_1249mokdk.jpeg")</f>
        <v>SIG-20250701_1249mokdk.jpeg</v>
      </c>
      <c r="AR641" s="1" t="s">
        <v>3281</v>
      </c>
      <c r="AS641" s="3" t="str">
        <f>HYPERLINK("https://icf.clappia.com/app/GMB253374/submission/SVP17755223/ICF247370-GMB253374-6a4egbc5ck0k00000000/SIG-20250701_1249hdk82.jpeg", "SIG-20250701_1249hdk82.jpeg")</f>
        <v>SIG-20250701_1249hdk82.jpeg</v>
      </c>
      <c r="AT641" s="1" t="s">
        <v>3133</v>
      </c>
      <c r="AU641" s="3" t="str">
        <f>HYPERLINK("https://icf.clappia.com/app/GMB253374/submission/SVP17755223/ICF247370-GMB253374-2h6bnddin2p800000000/SIG-20250701_1252o005i.jpeg", "SIG-20250701_1252o005i.jpeg")</f>
        <v>SIG-20250701_1252o005i.jpeg</v>
      </c>
      <c r="AV641" s="3" t="str">
        <f>HYPERLINK("https://www.google.com/maps/place/8.0324633%2C-11.4240483", "8.0324633,-11.4240483")</f>
        <v>8.0324633,-11.4240483</v>
      </c>
    </row>
    <row r="642" ht="15.75" customHeight="1">
      <c r="A642" s="1" t="s">
        <v>3282</v>
      </c>
      <c r="B642" s="1" t="s">
        <v>189</v>
      </c>
      <c r="C642" s="1" t="s">
        <v>3283</v>
      </c>
      <c r="D642" s="1" t="s">
        <v>3283</v>
      </c>
      <c r="E642" s="1" t="s">
        <v>3284</v>
      </c>
      <c r="F642" s="1" t="s">
        <v>64</v>
      </c>
      <c r="G642" s="1">
        <v>500.0</v>
      </c>
      <c r="H642" s="1" t="s">
        <v>50</v>
      </c>
      <c r="I642" s="1">
        <v>110.0</v>
      </c>
      <c r="J642" s="1">
        <v>56.0</v>
      </c>
      <c r="K642" s="1">
        <v>56.0</v>
      </c>
      <c r="L642" s="1">
        <v>54.0</v>
      </c>
      <c r="M642" s="1">
        <v>54.0</v>
      </c>
      <c r="N642" s="1" t="s">
        <v>51</v>
      </c>
      <c r="O642" s="1">
        <v>103.0</v>
      </c>
      <c r="P642" s="1">
        <v>39.0</v>
      </c>
      <c r="Q642" s="1">
        <v>39.0</v>
      </c>
      <c r="R642" s="1">
        <v>64.0</v>
      </c>
      <c r="S642" s="1">
        <v>64.0</v>
      </c>
      <c r="T642" s="1" t="s">
        <v>52</v>
      </c>
      <c r="U642" s="1">
        <v>111.0</v>
      </c>
      <c r="V642" s="1">
        <v>54.0</v>
      </c>
      <c r="W642" s="1">
        <v>50.0</v>
      </c>
      <c r="X642" s="1">
        <v>57.0</v>
      </c>
      <c r="Y642" s="1">
        <v>57.0</v>
      </c>
      <c r="Z642" s="1" t="s">
        <v>53</v>
      </c>
      <c r="AA642" s="1">
        <v>86.0</v>
      </c>
      <c r="AB642" s="1">
        <v>39.0</v>
      </c>
      <c r="AC642" s="1">
        <v>39.0</v>
      </c>
      <c r="AD642" s="1">
        <v>47.0</v>
      </c>
      <c r="AE642" s="1">
        <v>45.0</v>
      </c>
      <c r="AF642" s="1" t="s">
        <v>54</v>
      </c>
      <c r="AG642" s="1">
        <v>93.0</v>
      </c>
      <c r="AH642" s="1">
        <v>47.0</v>
      </c>
      <c r="AI642" s="1">
        <v>47.0</v>
      </c>
      <c r="AJ642" s="1">
        <v>46.0</v>
      </c>
      <c r="AK642" s="1">
        <v>42.0</v>
      </c>
      <c r="AL642" s="1">
        <v>493.0</v>
      </c>
      <c r="AM642" s="1" t="s">
        <v>55</v>
      </c>
      <c r="AN642" s="1">
        <v>7.0</v>
      </c>
      <c r="AO642" s="1">
        <v>7.0</v>
      </c>
      <c r="AP642" s="1" t="s">
        <v>3285</v>
      </c>
      <c r="AQ642" s="3" t="str">
        <f>HYPERLINK("https://icf.clappia.com/app/GMB253374/submission/KZI63291378/ICF247370-GMB253374-228f5je3f20160000000/SIG-20250701_1248e6b5o.jpeg", "SIG-20250701_1248e6b5o.jpeg")</f>
        <v>SIG-20250701_1248e6b5o.jpeg</v>
      </c>
      <c r="AR642" s="1" t="s">
        <v>3286</v>
      </c>
      <c r="AS642" s="3" t="str">
        <f>HYPERLINK("https://icf.clappia.com/app/GMB253374/submission/KZI63291378/ICF247370-GMB253374-4p31c2om6k4e00000000/SIG-20250701_1247283ak.jpeg", "SIG-20250701_1247283ak.jpeg")</f>
        <v>SIG-20250701_1247283ak.jpeg</v>
      </c>
      <c r="AT642" s="1" t="s">
        <v>3287</v>
      </c>
      <c r="AU642" s="3" t="str">
        <f>HYPERLINK("https://icf.clappia.com/app/GMB253374/submission/KZI63291378/ICF247370-GMB253374-31ina0kai36400000000/SIG-20250701_12474m1jm.jpeg", "SIG-20250701_12474m1jm.jpeg")</f>
        <v>SIG-20250701_12474m1jm.jpeg</v>
      </c>
      <c r="AV642" s="3" t="str">
        <f>HYPERLINK("https://www.google.com/maps/place/8.8784966%2C-12.0534517", "8.8784966,-12.0534517")</f>
        <v>8.8784966,-12.0534517</v>
      </c>
    </row>
    <row r="643" ht="15.75" customHeight="1">
      <c r="A643" s="1" t="s">
        <v>3288</v>
      </c>
      <c r="B643" s="1" t="s">
        <v>690</v>
      </c>
      <c r="C643" s="1" t="s">
        <v>3289</v>
      </c>
      <c r="D643" s="1" t="s">
        <v>3289</v>
      </c>
      <c r="E643" s="1" t="s">
        <v>3290</v>
      </c>
      <c r="F643" s="1" t="s">
        <v>64</v>
      </c>
      <c r="G643" s="1">
        <v>303.0</v>
      </c>
      <c r="H643" s="1" t="s">
        <v>50</v>
      </c>
      <c r="I643" s="1">
        <v>76.0</v>
      </c>
      <c r="J643" s="1">
        <v>36.0</v>
      </c>
      <c r="K643" s="1">
        <v>36.0</v>
      </c>
      <c r="L643" s="1">
        <v>38.0</v>
      </c>
      <c r="M643" s="1">
        <v>31.0</v>
      </c>
      <c r="N643" s="1" t="s">
        <v>51</v>
      </c>
      <c r="O643" s="1">
        <v>70.0</v>
      </c>
      <c r="P643" s="1">
        <v>31.0</v>
      </c>
      <c r="Q643" s="1">
        <v>21.0</v>
      </c>
      <c r="R643" s="1">
        <v>39.0</v>
      </c>
      <c r="S643" s="1">
        <v>21.0</v>
      </c>
      <c r="T643" s="1" t="s">
        <v>52</v>
      </c>
      <c r="U643" s="1">
        <v>78.0</v>
      </c>
      <c r="V643" s="1">
        <v>39.0</v>
      </c>
      <c r="W643" s="1">
        <v>32.0</v>
      </c>
      <c r="X643" s="1">
        <v>39.0</v>
      </c>
      <c r="Y643" s="1">
        <v>20.0</v>
      </c>
      <c r="Z643" s="1" t="s">
        <v>53</v>
      </c>
      <c r="AA643" s="1">
        <v>68.0</v>
      </c>
      <c r="AB643" s="1">
        <v>29.0</v>
      </c>
      <c r="AC643" s="1">
        <v>16.0</v>
      </c>
      <c r="AD643" s="1">
        <v>39.0</v>
      </c>
      <c r="AE643" s="1">
        <v>23.0</v>
      </c>
      <c r="AF643" s="1" t="s">
        <v>54</v>
      </c>
      <c r="AG643" s="1">
        <v>48.0</v>
      </c>
      <c r="AH643" s="1">
        <v>17.0</v>
      </c>
      <c r="AI643" s="1">
        <v>17.0</v>
      </c>
      <c r="AJ643" s="1">
        <v>31.0</v>
      </c>
      <c r="AK643" s="1">
        <v>31.0</v>
      </c>
      <c r="AL643" s="1">
        <v>248.0</v>
      </c>
      <c r="AM643" s="1" t="s">
        <v>55</v>
      </c>
      <c r="AN643" s="1">
        <v>55.0</v>
      </c>
      <c r="AO643" s="1">
        <v>55.0</v>
      </c>
      <c r="AP643" s="1" t="s">
        <v>3291</v>
      </c>
      <c r="AQ643" s="3" t="str">
        <f>HYPERLINK("https://icf.clappia.com/app/GMB253374/submission/ZKB99482757/ICF247370-GMB253374-2hpf4ei5i0ak00000000/SIG-20250701_1245jkn25.jpeg", "SIG-20250701_1245jkn25.jpeg")</f>
        <v>SIG-20250701_1245jkn25.jpeg</v>
      </c>
      <c r="AR643" s="1" t="s">
        <v>3292</v>
      </c>
      <c r="AS643" s="3" t="str">
        <f>HYPERLINK("https://icf.clappia.com/app/GMB253374/submission/ZKB99482757/ICF247370-GMB253374-c99p6jah395i0000000/SIG-20250701_12451jf19.jpeg", "SIG-20250701_12451jf19.jpeg")</f>
        <v>SIG-20250701_12451jf19.jpeg</v>
      </c>
      <c r="AT643" s="1" t="s">
        <v>3293</v>
      </c>
      <c r="AU643" s="3" t="str">
        <f>HYPERLINK("https://icf.clappia.com/app/GMB253374/submission/ZKB99482757/ICF247370-GMB253374-3b9lgdlfnf1k00000000/SIG-20250701_1246f3di2.jpeg", "SIG-20250701_1246f3di2.jpeg")</f>
        <v>SIG-20250701_1246f3di2.jpeg</v>
      </c>
      <c r="AV643" s="3" t="str">
        <f>HYPERLINK("https://www.google.com/maps/place/8.8561011%2C-12.0550265", "8.8561011,-12.0550265")</f>
        <v>8.8561011,-12.0550265</v>
      </c>
    </row>
    <row r="644" ht="15.75" customHeight="1">
      <c r="A644" s="1" t="s">
        <v>3294</v>
      </c>
      <c r="B644" s="1" t="s">
        <v>189</v>
      </c>
      <c r="C644" s="1" t="s">
        <v>3295</v>
      </c>
      <c r="D644" s="1" t="s">
        <v>3295</v>
      </c>
      <c r="E644" s="1" t="s">
        <v>3296</v>
      </c>
      <c r="F644" s="1" t="s">
        <v>64</v>
      </c>
      <c r="G644" s="1">
        <v>412.0</v>
      </c>
      <c r="H644" s="1" t="s">
        <v>50</v>
      </c>
      <c r="I644" s="1">
        <v>82.0</v>
      </c>
      <c r="J644" s="1">
        <v>38.0</v>
      </c>
      <c r="K644" s="1">
        <v>38.0</v>
      </c>
      <c r="L644" s="1">
        <v>44.0</v>
      </c>
      <c r="M644" s="1">
        <v>44.0</v>
      </c>
      <c r="N644" s="1" t="s">
        <v>51</v>
      </c>
      <c r="O644" s="1">
        <v>80.0</v>
      </c>
      <c r="P644" s="1">
        <v>35.0</v>
      </c>
      <c r="Q644" s="1">
        <v>35.0</v>
      </c>
      <c r="R644" s="1">
        <v>45.0</v>
      </c>
      <c r="S644" s="1">
        <v>45.0</v>
      </c>
      <c r="T644" s="1" t="s">
        <v>52</v>
      </c>
      <c r="U644" s="1">
        <v>80.0</v>
      </c>
      <c r="V644" s="1">
        <v>34.0</v>
      </c>
      <c r="W644" s="1">
        <v>34.0</v>
      </c>
      <c r="X644" s="1">
        <v>46.0</v>
      </c>
      <c r="Y644" s="1">
        <v>46.0</v>
      </c>
      <c r="Z644" s="1" t="s">
        <v>53</v>
      </c>
      <c r="AA644" s="1">
        <v>74.0</v>
      </c>
      <c r="AB644" s="1">
        <v>32.0</v>
      </c>
      <c r="AC644" s="1">
        <v>32.0</v>
      </c>
      <c r="AD644" s="1">
        <v>42.0</v>
      </c>
      <c r="AE644" s="1">
        <v>42.0</v>
      </c>
      <c r="AF644" s="1" t="s">
        <v>54</v>
      </c>
      <c r="AG644" s="1">
        <v>82.0</v>
      </c>
      <c r="AH644" s="1">
        <v>38.0</v>
      </c>
      <c r="AI644" s="1">
        <v>38.0</v>
      </c>
      <c r="AJ644" s="1">
        <v>42.0</v>
      </c>
      <c r="AK644" s="1">
        <v>42.0</v>
      </c>
      <c r="AL644" s="1">
        <v>396.0</v>
      </c>
      <c r="AM644" s="1">
        <v>8.0</v>
      </c>
      <c r="AN644" s="1">
        <v>8.0</v>
      </c>
      <c r="AO644" s="1">
        <v>8.0</v>
      </c>
      <c r="AP644" s="1" t="s">
        <v>2528</v>
      </c>
      <c r="AQ644" s="3" t="str">
        <f>HYPERLINK("https://icf.clappia.com/app/GMB253374/submission/GWG78656552/ICF247370-GMB253374-136ka2kec5e2c0000000/SIG-20250701_1146hll87.jpeg", "SIG-20250701_1146hll87.jpeg")</f>
        <v>SIG-20250701_1146hll87.jpeg</v>
      </c>
      <c r="AR644" s="1" t="s">
        <v>2529</v>
      </c>
      <c r="AS644" s="3" t="str">
        <f>HYPERLINK("https://icf.clappia.com/app/GMB253374/submission/GWG78656552/ICF247370-GMB253374-185o0c63gkfeo0000000/SIG-20250701_114817jc8o.jpeg", "SIG-20250701_114817jc8o.jpeg")</f>
        <v>SIG-20250701_114817jc8o.jpeg</v>
      </c>
      <c r="AT644" s="1" t="s">
        <v>2530</v>
      </c>
      <c r="AU644" s="3" t="str">
        <f>HYPERLINK("https://icf.clappia.com/app/GMB253374/submission/GWG78656552/ICF247370-GMB253374-2m52acckb4e000000000/SIG-20250701_114913f3dm.jpeg", "SIG-20250701_114913f3dm.jpeg")</f>
        <v>SIG-20250701_114913f3dm.jpeg</v>
      </c>
      <c r="AV644" s="3" t="str">
        <f>HYPERLINK("https://www.google.com/maps/place/8.8687433%2C-12.0395717", "8.8687433,-12.0395717")</f>
        <v>8.8687433,-12.0395717</v>
      </c>
    </row>
    <row r="645" ht="15.75" customHeight="1">
      <c r="A645" s="1" t="s">
        <v>3297</v>
      </c>
      <c r="B645" s="1" t="s">
        <v>94</v>
      </c>
      <c r="C645" s="1" t="s">
        <v>3295</v>
      </c>
      <c r="D645" s="1" t="s">
        <v>3295</v>
      </c>
      <c r="E645" s="1" t="s">
        <v>3298</v>
      </c>
      <c r="F645" s="1" t="s">
        <v>64</v>
      </c>
      <c r="G645" s="1">
        <v>120.0</v>
      </c>
      <c r="H645" s="1" t="s">
        <v>50</v>
      </c>
      <c r="I645" s="1">
        <v>15.0</v>
      </c>
      <c r="J645" s="1">
        <v>6.0</v>
      </c>
      <c r="K645" s="1">
        <v>6.0</v>
      </c>
      <c r="L645" s="1">
        <v>9.0</v>
      </c>
      <c r="M645" s="1">
        <v>9.0</v>
      </c>
      <c r="N645" s="1" t="s">
        <v>51</v>
      </c>
      <c r="O645" s="1">
        <v>13.0</v>
      </c>
      <c r="P645" s="1">
        <v>3.0</v>
      </c>
      <c r="Q645" s="1">
        <v>3.0</v>
      </c>
      <c r="R645" s="1">
        <v>10.0</v>
      </c>
      <c r="S645" s="1">
        <v>10.0</v>
      </c>
      <c r="T645" s="1" t="s">
        <v>52</v>
      </c>
      <c r="U645" s="1">
        <v>35.0</v>
      </c>
      <c r="V645" s="1">
        <v>15.0</v>
      </c>
      <c r="W645" s="1">
        <v>15.0</v>
      </c>
      <c r="X645" s="1">
        <v>20.0</v>
      </c>
      <c r="Y645" s="1">
        <v>20.0</v>
      </c>
      <c r="Z645" s="1" t="s">
        <v>53</v>
      </c>
      <c r="AA645" s="1">
        <v>20.0</v>
      </c>
      <c r="AB645" s="1">
        <v>8.0</v>
      </c>
      <c r="AC645" s="1">
        <v>8.0</v>
      </c>
      <c r="AD645" s="1">
        <v>12.0</v>
      </c>
      <c r="AE645" s="1">
        <v>12.0</v>
      </c>
      <c r="AF645" s="1" t="s">
        <v>54</v>
      </c>
      <c r="AG645" s="1">
        <v>37.0</v>
      </c>
      <c r="AH645" s="1">
        <v>20.0</v>
      </c>
      <c r="AI645" s="1">
        <v>20.0</v>
      </c>
      <c r="AJ645" s="1">
        <v>17.0</v>
      </c>
      <c r="AK645" s="1">
        <v>17.0</v>
      </c>
      <c r="AL645" s="1">
        <v>120.0</v>
      </c>
      <c r="AM645" s="1" t="s">
        <v>55</v>
      </c>
      <c r="AN645" s="1" t="s">
        <v>55</v>
      </c>
      <c r="AO645" s="1" t="s">
        <v>55</v>
      </c>
      <c r="AP645" s="1" t="s">
        <v>2230</v>
      </c>
      <c r="AQ645" s="3" t="str">
        <f>HYPERLINK("https://icf.clappia.com/app/GMB253374/submission/XFM21753454/ICF247370-GMB253374-5g05cbke8f2600000000/SIG-20250701_1213e39f0.jpeg", "SIG-20250701_1213e39f0.jpeg")</f>
        <v>SIG-20250701_1213e39f0.jpeg</v>
      </c>
      <c r="AR645" s="1" t="s">
        <v>3299</v>
      </c>
      <c r="AS645" s="3" t="str">
        <f>HYPERLINK("https://icf.clappia.com/app/GMB253374/submission/XFM21753454/ICF247370-GMB253374-1kjmem0pm17da0000000/SIG-20250701_121419of68.jpeg", "SIG-20250701_121419of68.jpeg")</f>
        <v>SIG-20250701_121419of68.jpeg</v>
      </c>
      <c r="AT645" s="1" t="s">
        <v>3300</v>
      </c>
      <c r="AU645" s="3" t="str">
        <f>HYPERLINK("https://icf.clappia.com/app/GMB253374/submission/XFM21753454/ICF247370-GMB253374-17h1048c0cop60000000/SIG-20250701_1215e04oa.jpeg", "SIG-20250701_1215e04oa.jpeg")</f>
        <v>SIG-20250701_1215e04oa.jpeg</v>
      </c>
      <c r="AV645" s="3" t="str">
        <f>HYPERLINK("https://www.google.com/maps/place/7.6246633%2C-11.950885", "7.6246633,-11.950885")</f>
        <v>7.6246633,-11.950885</v>
      </c>
    </row>
    <row r="646" ht="15.75" customHeight="1">
      <c r="A646" s="1" t="s">
        <v>3301</v>
      </c>
      <c r="B646" s="1" t="s">
        <v>155</v>
      </c>
      <c r="C646" s="1" t="s">
        <v>3302</v>
      </c>
      <c r="D646" s="1" t="s">
        <v>3303</v>
      </c>
      <c r="E646" s="2" t="s">
        <v>3002</v>
      </c>
      <c r="F646" s="1" t="s">
        <v>64</v>
      </c>
      <c r="G646" s="1">
        <v>400.0</v>
      </c>
      <c r="H646" s="1" t="s">
        <v>50</v>
      </c>
      <c r="I646" s="1">
        <v>151.0</v>
      </c>
      <c r="J646" s="1">
        <v>74.0</v>
      </c>
      <c r="K646" s="1">
        <v>74.0</v>
      </c>
      <c r="L646" s="1">
        <v>77.0</v>
      </c>
      <c r="M646" s="1">
        <v>77.0</v>
      </c>
      <c r="N646" s="1" t="s">
        <v>51</v>
      </c>
      <c r="O646" s="1">
        <v>71.0</v>
      </c>
      <c r="P646" s="1">
        <v>37.0</v>
      </c>
      <c r="Q646" s="1">
        <v>37.0</v>
      </c>
      <c r="R646" s="1">
        <v>34.0</v>
      </c>
      <c r="S646" s="1">
        <v>34.0</v>
      </c>
      <c r="T646" s="1" t="s">
        <v>52</v>
      </c>
      <c r="U646" s="1">
        <v>57.0</v>
      </c>
      <c r="V646" s="1">
        <v>27.0</v>
      </c>
      <c r="W646" s="1">
        <v>27.0</v>
      </c>
      <c r="X646" s="1">
        <v>30.0</v>
      </c>
      <c r="Y646" s="1">
        <v>30.0</v>
      </c>
      <c r="Z646" s="1" t="s">
        <v>53</v>
      </c>
      <c r="AA646" s="1">
        <v>55.0</v>
      </c>
      <c r="AB646" s="1">
        <v>31.0</v>
      </c>
      <c r="AC646" s="1">
        <v>29.0</v>
      </c>
      <c r="AD646" s="1">
        <v>24.0</v>
      </c>
      <c r="AE646" s="1">
        <v>20.0</v>
      </c>
      <c r="AF646" s="1" t="s">
        <v>54</v>
      </c>
      <c r="AG646" s="1">
        <v>52.0</v>
      </c>
      <c r="AH646" s="1">
        <v>26.0</v>
      </c>
      <c r="AI646" s="1">
        <v>24.0</v>
      </c>
      <c r="AJ646" s="1">
        <v>26.0</v>
      </c>
      <c r="AK646" s="1">
        <v>25.0</v>
      </c>
      <c r="AL646" s="1">
        <v>377.0</v>
      </c>
      <c r="AM646" s="1">
        <v>9.0</v>
      </c>
      <c r="AN646" s="1">
        <v>14.0</v>
      </c>
      <c r="AO646" s="1">
        <v>14.0</v>
      </c>
      <c r="AP646" s="1" t="s">
        <v>1735</v>
      </c>
      <c r="AQ646" s="3" t="str">
        <f>HYPERLINK("https://icf.clappia.com/app/GMB253374/submission/JDP33149787/ICF247370-GMB253374-3083imdbe6ng00000000/SIG-20250701_12377llej.jpeg", "SIG-20250701_12377llej.jpeg")</f>
        <v>SIG-20250701_12377llej.jpeg</v>
      </c>
      <c r="AR646" s="1" t="s">
        <v>1736</v>
      </c>
      <c r="AS646" s="3" t="str">
        <f>HYPERLINK("https://icf.clappia.com/app/GMB253374/submission/JDP33149787/ICF247370-GMB253374-41e29gb7j9c800000000/SIG-20250701_12381acn71.jpeg", "SIG-20250701_12381acn71.jpeg")</f>
        <v>SIG-20250701_12381acn71.jpeg</v>
      </c>
      <c r="AT646" s="1" t="s">
        <v>1737</v>
      </c>
      <c r="AU646" s="3" t="str">
        <f>HYPERLINK("https://icf.clappia.com/app/GMB253374/submission/JDP33149787/ICF247370-GMB253374-2bfije7lp2gm40000000/SIG-20250701_12397e56n.jpeg", "SIG-20250701_12397e56n.jpeg")</f>
        <v>SIG-20250701_12397e56n.jpeg</v>
      </c>
      <c r="AV646" s="3" t="str">
        <f>HYPERLINK("https://www.google.com/maps/place/8.8007617%2C-11.9646133", "8.8007617,-11.9646133")</f>
        <v>8.8007617,-11.9646133</v>
      </c>
    </row>
    <row r="647" ht="15.75" customHeight="1">
      <c r="A647" s="1" t="s">
        <v>3304</v>
      </c>
      <c r="B647" s="1" t="s">
        <v>81</v>
      </c>
      <c r="C647" s="1" t="s">
        <v>3303</v>
      </c>
      <c r="D647" s="1" t="s">
        <v>3303</v>
      </c>
      <c r="E647" s="1" t="s">
        <v>3305</v>
      </c>
      <c r="F647" s="1" t="s">
        <v>64</v>
      </c>
      <c r="G647" s="1">
        <v>201.0</v>
      </c>
      <c r="H647" s="1" t="s">
        <v>50</v>
      </c>
      <c r="I647" s="1">
        <v>54.0</v>
      </c>
      <c r="J647" s="1">
        <v>23.0</v>
      </c>
      <c r="K647" s="1">
        <v>23.0</v>
      </c>
      <c r="L647" s="1">
        <v>31.0</v>
      </c>
      <c r="M647" s="1">
        <v>31.0</v>
      </c>
      <c r="N647" s="1" t="s">
        <v>51</v>
      </c>
      <c r="O647" s="1">
        <v>30.0</v>
      </c>
      <c r="P647" s="1">
        <v>10.0</v>
      </c>
      <c r="Q647" s="1">
        <v>10.0</v>
      </c>
      <c r="R647" s="1">
        <v>20.0</v>
      </c>
      <c r="S647" s="1">
        <v>20.0</v>
      </c>
      <c r="T647" s="1" t="s">
        <v>52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53</v>
      </c>
      <c r="AA647" s="1">
        <v>47.0</v>
      </c>
      <c r="AB647" s="1">
        <v>24.0</v>
      </c>
      <c r="AC647" s="1">
        <v>24.0</v>
      </c>
      <c r="AD647" s="1">
        <v>23.0</v>
      </c>
      <c r="AE647" s="1">
        <v>23.0</v>
      </c>
      <c r="AF647" s="1" t="s">
        <v>54</v>
      </c>
      <c r="AG647" s="1">
        <v>40.0</v>
      </c>
      <c r="AH647" s="1">
        <v>16.0</v>
      </c>
      <c r="AI647" s="1">
        <v>16.0</v>
      </c>
      <c r="AJ647" s="1">
        <v>24.0</v>
      </c>
      <c r="AK647" s="1">
        <v>24.0</v>
      </c>
      <c r="AL647" s="1">
        <v>191.0</v>
      </c>
      <c r="AM647" s="1">
        <v>10.0</v>
      </c>
      <c r="AN647" s="1" t="s">
        <v>55</v>
      </c>
      <c r="AO647" s="1" t="s">
        <v>55</v>
      </c>
      <c r="AP647" s="1" t="s">
        <v>3306</v>
      </c>
      <c r="AQ647" s="3" t="str">
        <f>HYPERLINK("https://icf.clappia.com/app/GMB253374/submission/MUI09012321/ICF247370-GMB253374-4gpcbg451op000000000/SIG-20250701_12167p605.jpeg", "SIG-20250701_12167p605.jpeg")</f>
        <v>SIG-20250701_12167p605.jpeg</v>
      </c>
      <c r="AR647" s="1" t="s">
        <v>1983</v>
      </c>
      <c r="AS647" s="3" t="str">
        <f>HYPERLINK("https://icf.clappia.com/app/GMB253374/submission/MUI09012321/ICF247370-GMB253374-487416djc9e400000000/SIG-20250701_1217nnhb5.jpeg", "SIG-20250701_1217nnhb5.jpeg")</f>
        <v>SIG-20250701_1217nnhb5.jpeg</v>
      </c>
      <c r="AT647" s="1" t="s">
        <v>3307</v>
      </c>
      <c r="AU647" s="3" t="str">
        <f>HYPERLINK("https://icf.clappia.com/app/GMB253374/submission/MUI09012321/ICF247370-GMB253374-2lg7f3b3k5o600000000/SIG-20250701_1234omgi4.jpeg", "SIG-20250701_1234omgi4.jpeg")</f>
        <v>SIG-20250701_1234omgi4.jpeg</v>
      </c>
      <c r="AV647" s="3" t="str">
        <f>HYPERLINK("https://www.google.com/maps/place/7.9444433%2C-11.712875", "7.9444433,-11.712875")</f>
        <v>7.9444433,-11.712875</v>
      </c>
    </row>
    <row r="648" ht="15.75" customHeight="1">
      <c r="A648" s="1" t="s">
        <v>3308</v>
      </c>
      <c r="B648" s="1" t="s">
        <v>248</v>
      </c>
      <c r="C648" s="1" t="s">
        <v>3309</v>
      </c>
      <c r="D648" s="1" t="s">
        <v>3309</v>
      </c>
      <c r="E648" s="1" t="s">
        <v>3310</v>
      </c>
      <c r="F648" s="1" t="s">
        <v>64</v>
      </c>
      <c r="G648" s="1">
        <v>193.0</v>
      </c>
      <c r="H648" s="1" t="s">
        <v>50</v>
      </c>
      <c r="I648" s="1">
        <v>79.0</v>
      </c>
      <c r="J648" s="1">
        <v>40.0</v>
      </c>
      <c r="K648" s="1">
        <v>40.0</v>
      </c>
      <c r="L648" s="1">
        <v>39.0</v>
      </c>
      <c r="M648" s="1">
        <v>39.0</v>
      </c>
      <c r="N648" s="1" t="s">
        <v>51</v>
      </c>
      <c r="O648" s="1">
        <v>61.0</v>
      </c>
      <c r="P648" s="1">
        <v>31.0</v>
      </c>
      <c r="Q648" s="1">
        <v>31.0</v>
      </c>
      <c r="R648" s="1">
        <v>30.0</v>
      </c>
      <c r="S648" s="1">
        <v>30.0</v>
      </c>
      <c r="T648" s="1" t="s">
        <v>52</v>
      </c>
      <c r="U648" s="1">
        <v>21.0</v>
      </c>
      <c r="V648" s="1">
        <v>9.0</v>
      </c>
      <c r="W648" s="1">
        <v>9.0</v>
      </c>
      <c r="X648" s="1">
        <v>12.0</v>
      </c>
      <c r="Y648" s="1">
        <v>12.0</v>
      </c>
      <c r="Z648" s="1" t="s">
        <v>53</v>
      </c>
      <c r="AA648" s="1">
        <v>9.0</v>
      </c>
      <c r="AB648" s="1">
        <v>7.0</v>
      </c>
      <c r="AC648" s="1">
        <v>7.0</v>
      </c>
      <c r="AD648" s="1">
        <v>2.0</v>
      </c>
      <c r="AE648" s="1">
        <v>2.0</v>
      </c>
      <c r="AF648" s="1" t="s">
        <v>54</v>
      </c>
      <c r="AG648" s="1">
        <v>12.0</v>
      </c>
      <c r="AH648" s="1">
        <v>7.0</v>
      </c>
      <c r="AI648" s="1">
        <v>7.0</v>
      </c>
      <c r="AJ648" s="1">
        <v>5.0</v>
      </c>
      <c r="AK648" s="1">
        <v>5.0</v>
      </c>
      <c r="AL648" s="1">
        <v>182.0</v>
      </c>
      <c r="AM648" s="1" t="s">
        <v>55</v>
      </c>
      <c r="AN648" s="1">
        <v>11.0</v>
      </c>
      <c r="AO648" s="1">
        <v>11.0</v>
      </c>
      <c r="AP648" s="1" t="s">
        <v>1298</v>
      </c>
      <c r="AQ648" s="3" t="str">
        <f>HYPERLINK("https://icf.clappia.com/app/GMB253374/submission/PSM52589757/ICF247370-GMB253374-5lo2mpjm9k8g00000000/SIG-20250701_1213142f6.jpeg", "SIG-20250701_1213142f6.jpeg")</f>
        <v>SIG-20250701_1213142f6.jpeg</v>
      </c>
      <c r="AR648" s="1" t="s">
        <v>1299</v>
      </c>
      <c r="AS648" s="3" t="str">
        <f>HYPERLINK("https://icf.clappia.com/app/GMB253374/submission/PSM52589757/ICF247370-GMB253374-5hnlp5071g8o00000000/SIG-20250701_1215obk2f.jpeg", "SIG-20250701_1215obk2f.jpeg")</f>
        <v>SIG-20250701_1215obk2f.jpeg</v>
      </c>
      <c r="AT648" s="1" t="s">
        <v>1300</v>
      </c>
      <c r="AU648" s="3" t="str">
        <f>HYPERLINK("https://icf.clappia.com/app/GMB253374/submission/PSM52589757/ICF247370-GMB253374-30panb207ohm00000000/SIG-20250701_12421549h.jpeg", "SIG-20250701_12421549h.jpeg")</f>
        <v>SIG-20250701_12421549h.jpeg</v>
      </c>
      <c r="AV648" s="3" t="str">
        <f>HYPERLINK("https://www.google.com/maps/place/7.8585619%2C-11.56527", "7.8585619,-11.56527")</f>
        <v>7.8585619,-11.56527</v>
      </c>
    </row>
    <row r="649" ht="15.75" customHeight="1">
      <c r="A649" s="1" t="s">
        <v>3311</v>
      </c>
      <c r="B649" s="1" t="s">
        <v>189</v>
      </c>
      <c r="C649" s="1" t="s">
        <v>3312</v>
      </c>
      <c r="D649" s="1" t="s">
        <v>3312</v>
      </c>
      <c r="E649" s="1" t="s">
        <v>3313</v>
      </c>
      <c r="F649" s="1" t="s">
        <v>64</v>
      </c>
      <c r="G649" s="1">
        <v>383.0</v>
      </c>
      <c r="H649" s="1" t="s">
        <v>50</v>
      </c>
      <c r="I649" s="1">
        <v>79.0</v>
      </c>
      <c r="J649" s="1">
        <v>39.0</v>
      </c>
      <c r="K649" s="1">
        <v>29.0</v>
      </c>
      <c r="L649" s="1">
        <v>40.0</v>
      </c>
      <c r="M649" s="1">
        <v>35.0</v>
      </c>
      <c r="N649" s="1" t="s">
        <v>51</v>
      </c>
      <c r="O649" s="1">
        <v>85.0</v>
      </c>
      <c r="P649" s="1">
        <v>50.0</v>
      </c>
      <c r="Q649" s="1">
        <v>42.0</v>
      </c>
      <c r="R649" s="1">
        <v>35.0</v>
      </c>
      <c r="S649" s="1">
        <v>28.0</v>
      </c>
      <c r="T649" s="1" t="s">
        <v>52</v>
      </c>
      <c r="U649" s="1">
        <v>80.0</v>
      </c>
      <c r="V649" s="1">
        <v>37.0</v>
      </c>
      <c r="W649" s="1">
        <v>30.0</v>
      </c>
      <c r="X649" s="1">
        <v>43.0</v>
      </c>
      <c r="Y649" s="1">
        <v>38.0</v>
      </c>
      <c r="Z649" s="1" t="s">
        <v>53</v>
      </c>
      <c r="AA649" s="1">
        <v>70.0</v>
      </c>
      <c r="AB649" s="1">
        <v>35.0</v>
      </c>
      <c r="AC649" s="1">
        <v>28.0</v>
      </c>
      <c r="AD649" s="1">
        <v>35.0</v>
      </c>
      <c r="AE649" s="1">
        <v>22.0</v>
      </c>
      <c r="AF649" s="1" t="s">
        <v>54</v>
      </c>
      <c r="AG649" s="1">
        <v>72.0</v>
      </c>
      <c r="AH649" s="1">
        <v>40.0</v>
      </c>
      <c r="AI649" s="1">
        <v>33.0</v>
      </c>
      <c r="AJ649" s="1">
        <v>32.0</v>
      </c>
      <c r="AK649" s="1">
        <v>24.0</v>
      </c>
      <c r="AL649" s="1">
        <v>309.0</v>
      </c>
      <c r="AM649" s="1" t="s">
        <v>55</v>
      </c>
      <c r="AN649" s="1">
        <v>74.0</v>
      </c>
      <c r="AO649" s="1">
        <v>74.0</v>
      </c>
      <c r="AP649" s="1" t="s">
        <v>3314</v>
      </c>
      <c r="AQ649" s="3" t="str">
        <f>HYPERLINK("https://icf.clappia.com/app/GMB253374/submission/BKX07819348/ICF247370-GMB253374-3ji554e56jei00000000/SIG-20250701_1238h7ai6.jpeg", "SIG-20250701_1238h7ai6.jpeg")</f>
        <v>SIG-20250701_1238h7ai6.jpeg</v>
      </c>
      <c r="AR649" s="1" t="s">
        <v>1038</v>
      </c>
      <c r="AS649" s="3" t="str">
        <f>HYPERLINK("https://icf.clappia.com/app/GMB253374/submission/BKX07819348/ICF247370-GMB253374-426i54gji1hc00000000/SIG-20250701_1237no95.jpeg", "SIG-20250701_1237no95.jpeg")</f>
        <v>SIG-20250701_1237no95.jpeg</v>
      </c>
      <c r="AT649" s="1" t="s">
        <v>3315</v>
      </c>
      <c r="AU649" s="3" t="str">
        <f>HYPERLINK("https://icf.clappia.com/app/GMB253374/submission/BKX07819348/ICF247370-GMB253374-4ehp4i9nmi9a00000000/SIG-20250701_123815862g.jpeg", "SIG-20250701_123815862g.jpeg")</f>
        <v>SIG-20250701_123815862g.jpeg</v>
      </c>
      <c r="AV649" s="3" t="str">
        <f>HYPERLINK("https://www.google.com/maps/place/8.876335%2C-12.01482", "8.876335,-12.01482")</f>
        <v>8.876335,-12.01482</v>
      </c>
    </row>
    <row r="650" ht="15.75" customHeight="1">
      <c r="A650" s="1" t="s">
        <v>3316</v>
      </c>
      <c r="B650" s="1" t="s">
        <v>102</v>
      </c>
      <c r="C650" s="1" t="s">
        <v>3317</v>
      </c>
      <c r="D650" s="1" t="s">
        <v>3317</v>
      </c>
      <c r="E650" s="1" t="s">
        <v>3318</v>
      </c>
      <c r="F650" s="1" t="s">
        <v>64</v>
      </c>
      <c r="G650" s="1">
        <v>100.0</v>
      </c>
      <c r="H650" s="1" t="s">
        <v>50</v>
      </c>
      <c r="I650" s="1">
        <v>17.0</v>
      </c>
      <c r="J650" s="1">
        <v>9.0</v>
      </c>
      <c r="K650" s="1">
        <v>9.0</v>
      </c>
      <c r="L650" s="1">
        <v>8.0</v>
      </c>
      <c r="M650" s="1">
        <v>7.0</v>
      </c>
      <c r="N650" s="1" t="s">
        <v>51</v>
      </c>
      <c r="O650" s="1">
        <v>14.0</v>
      </c>
      <c r="P650" s="1">
        <v>9.0</v>
      </c>
      <c r="Q650" s="1">
        <v>8.0</v>
      </c>
      <c r="R650" s="1">
        <v>5.0</v>
      </c>
      <c r="S650" s="1">
        <v>5.0</v>
      </c>
      <c r="T650" s="1" t="s">
        <v>52</v>
      </c>
      <c r="U650" s="1">
        <v>8.0</v>
      </c>
      <c r="V650" s="1">
        <v>5.0</v>
      </c>
      <c r="W650" s="1">
        <v>5.0</v>
      </c>
      <c r="X650" s="1">
        <v>3.0</v>
      </c>
      <c r="Y650" s="1">
        <v>3.0</v>
      </c>
      <c r="Z650" s="1" t="s">
        <v>53</v>
      </c>
      <c r="AA650" s="1">
        <v>11.0</v>
      </c>
      <c r="AB650" s="1">
        <v>5.0</v>
      </c>
      <c r="AC650" s="1">
        <v>4.0</v>
      </c>
      <c r="AD650" s="1">
        <v>6.0</v>
      </c>
      <c r="AE650" s="1">
        <v>6.0</v>
      </c>
      <c r="AF650" s="1" t="s">
        <v>54</v>
      </c>
      <c r="AG650" s="1">
        <v>6.0</v>
      </c>
      <c r="AH650" s="1">
        <v>3.0</v>
      </c>
      <c r="AI650" s="1">
        <v>3.0</v>
      </c>
      <c r="AJ650" s="1">
        <v>3.0</v>
      </c>
      <c r="AK650" s="1">
        <v>3.0</v>
      </c>
      <c r="AL650" s="1">
        <v>53.0</v>
      </c>
      <c r="AM650" s="1" t="s">
        <v>55</v>
      </c>
      <c r="AN650" s="1">
        <v>47.0</v>
      </c>
      <c r="AO650" s="1">
        <v>47.0</v>
      </c>
      <c r="AP650" s="1" t="s">
        <v>223</v>
      </c>
      <c r="AQ650" s="3" t="str">
        <f>HYPERLINK("https://icf.clappia.com/app/GMB253374/submission/NLG53486794/ICF247370-GMB253374-5m8e8g175be200000000/SIG-20250701_10592p3ik.jpeg", "SIG-20250701_10592p3ik.jpeg")</f>
        <v>SIG-20250701_10592p3ik.jpeg</v>
      </c>
      <c r="AR650" s="1" t="s">
        <v>224</v>
      </c>
      <c r="AS650" s="3" t="str">
        <f>HYPERLINK("https://icf.clappia.com/app/GMB253374/submission/NLG53486794/ICF247370-GMB253374-5i71e6iai2g400000000/SIG-20250701_11012oam1.jpeg", "SIG-20250701_11012oam1.jpeg")</f>
        <v>SIG-20250701_11012oam1.jpeg</v>
      </c>
      <c r="AT650" s="1" t="s">
        <v>3319</v>
      </c>
      <c r="AU650" s="3" t="str">
        <f>HYPERLINK("https://icf.clappia.com/app/GMB253374/submission/NLG53486794/ICF247370-GMB253374-5m85249h2af200000000/SIG-20250701_12389eij6.jpeg", "SIG-20250701_12389eij6.jpeg")</f>
        <v>SIG-20250701_12389eij6.jpeg</v>
      </c>
      <c r="AV650" s="3" t="str">
        <f>HYPERLINK("https://www.google.com/maps/place/9.2149733%2C-11.9648833", "9.2149733,-11.9648833")</f>
        <v>9.2149733,-11.9648833</v>
      </c>
    </row>
    <row r="651" ht="15.75" customHeight="1">
      <c r="A651" s="1" t="s">
        <v>3320</v>
      </c>
      <c r="B651" s="1" t="s">
        <v>161</v>
      </c>
      <c r="C651" s="1" t="s">
        <v>3317</v>
      </c>
      <c r="D651" s="1" t="s">
        <v>3317</v>
      </c>
      <c r="E651" s="1" t="s">
        <v>3321</v>
      </c>
      <c r="F651" s="1" t="s">
        <v>64</v>
      </c>
      <c r="G651" s="1">
        <v>266.0</v>
      </c>
      <c r="H651" s="1" t="s">
        <v>50</v>
      </c>
      <c r="I651" s="1">
        <v>80.0</v>
      </c>
      <c r="J651" s="1">
        <v>24.0</v>
      </c>
      <c r="K651" s="1">
        <v>19.0</v>
      </c>
      <c r="L651" s="1">
        <v>56.0</v>
      </c>
      <c r="M651" s="1">
        <v>43.0</v>
      </c>
      <c r="N651" s="1" t="s">
        <v>51</v>
      </c>
      <c r="O651" s="1">
        <v>77.0</v>
      </c>
      <c r="P651" s="1">
        <v>39.0</v>
      </c>
      <c r="Q651" s="1">
        <v>20.0</v>
      </c>
      <c r="R651" s="1">
        <v>38.0</v>
      </c>
      <c r="S651" s="1">
        <v>15.0</v>
      </c>
      <c r="T651" s="1" t="s">
        <v>52</v>
      </c>
      <c r="U651" s="1">
        <v>71.0</v>
      </c>
      <c r="V651" s="1">
        <v>36.0</v>
      </c>
      <c r="W651" s="1">
        <v>21.0</v>
      </c>
      <c r="X651" s="1">
        <v>35.0</v>
      </c>
      <c r="Y651" s="1">
        <v>19.0</v>
      </c>
      <c r="Z651" s="1" t="s">
        <v>53</v>
      </c>
      <c r="AA651" s="1">
        <v>58.0</v>
      </c>
      <c r="AB651" s="1">
        <v>34.0</v>
      </c>
      <c r="AC651" s="1">
        <v>30.0</v>
      </c>
      <c r="AD651" s="1">
        <v>24.0</v>
      </c>
      <c r="AE651" s="1">
        <v>21.0</v>
      </c>
      <c r="AF651" s="1" t="s">
        <v>54</v>
      </c>
      <c r="AG651" s="1">
        <v>64.0</v>
      </c>
      <c r="AH651" s="1">
        <v>27.0</v>
      </c>
      <c r="AI651" s="1">
        <v>21.0</v>
      </c>
      <c r="AJ651" s="1">
        <v>37.0</v>
      </c>
      <c r="AK651" s="1">
        <v>32.0</v>
      </c>
      <c r="AL651" s="1">
        <v>241.0</v>
      </c>
      <c r="AM651" s="1" t="s">
        <v>55</v>
      </c>
      <c r="AN651" s="1">
        <v>25.0</v>
      </c>
      <c r="AO651" s="1">
        <v>25.0</v>
      </c>
      <c r="AP651" s="1" t="s">
        <v>3322</v>
      </c>
      <c r="AQ651" s="3" t="str">
        <f>HYPERLINK("https://icf.clappia.com/app/GMB253374/submission/ERG26658080/ICF247370-GMB253374-5llfdfbgfcac00000000/SIG-20250701_122412k5p3.jpeg", "SIG-20250701_122412k5p3.jpeg")</f>
        <v>SIG-20250701_122412k5p3.jpeg</v>
      </c>
      <c r="AR651" s="1" t="s">
        <v>3323</v>
      </c>
      <c r="AS651" s="3" t="str">
        <f>HYPERLINK("https://icf.clappia.com/app/GMB253374/submission/ERG26658080/ICF247370-GMB253374-471f8kolgm8400000000/SIG-20250701_1227bn0oc.jpeg", "SIG-20250701_1227bn0oc.jpeg")</f>
        <v>SIG-20250701_1227bn0oc.jpeg</v>
      </c>
      <c r="AT651" s="1" t="s">
        <v>964</v>
      </c>
      <c r="AU651" s="3" t="str">
        <f>HYPERLINK("https://icf.clappia.com/app/GMB253374/submission/ERG26658080/ICF247370-GMB253374-2p1d807bd4e400000000/SIG-20250701_1239kmcm1.jpeg", "SIG-20250701_1239kmcm1.jpeg")</f>
        <v>SIG-20250701_1239kmcm1.jpeg</v>
      </c>
      <c r="AV651" s="3" t="str">
        <f>HYPERLINK("https://www.google.com/maps/place/7.9832298%2C-11.7259994", "7.9832298,-11.7259994")</f>
        <v>7.9832298,-11.7259994</v>
      </c>
    </row>
    <row r="652" ht="15.75" customHeight="1">
      <c r="A652" s="1" t="s">
        <v>3324</v>
      </c>
      <c r="B652" s="1" t="s">
        <v>189</v>
      </c>
      <c r="C652" s="1" t="s">
        <v>3325</v>
      </c>
      <c r="D652" s="1" t="s">
        <v>3325</v>
      </c>
      <c r="E652" s="1" t="s">
        <v>3284</v>
      </c>
      <c r="F652" s="1" t="s">
        <v>64</v>
      </c>
      <c r="G652" s="1">
        <v>500.0</v>
      </c>
      <c r="H652" s="1" t="s">
        <v>50</v>
      </c>
      <c r="I652" s="1">
        <v>110.0</v>
      </c>
      <c r="J652" s="1">
        <v>56.0</v>
      </c>
      <c r="K652" s="1">
        <v>56.0</v>
      </c>
      <c r="L652" s="1">
        <v>54.0</v>
      </c>
      <c r="M652" s="1">
        <v>54.0</v>
      </c>
      <c r="N652" s="1" t="s">
        <v>51</v>
      </c>
      <c r="O652" s="1">
        <v>103.0</v>
      </c>
      <c r="P652" s="1">
        <v>39.0</v>
      </c>
      <c r="Q652" s="1">
        <v>39.0</v>
      </c>
      <c r="R652" s="1">
        <v>64.0</v>
      </c>
      <c r="S652" s="1">
        <v>60.0</v>
      </c>
      <c r="T652" s="1" t="s">
        <v>52</v>
      </c>
      <c r="U652" s="1">
        <v>111.0</v>
      </c>
      <c r="V652" s="1">
        <v>54.0</v>
      </c>
      <c r="W652" s="1">
        <v>50.0</v>
      </c>
      <c r="X652" s="1">
        <v>57.0</v>
      </c>
      <c r="Y652" s="1">
        <v>57.0</v>
      </c>
      <c r="Z652" s="1" t="s">
        <v>53</v>
      </c>
      <c r="AA652" s="1">
        <v>86.0</v>
      </c>
      <c r="AB652" s="1">
        <v>39.0</v>
      </c>
      <c r="AC652" s="1">
        <v>39.0</v>
      </c>
      <c r="AD652" s="1">
        <v>47.0</v>
      </c>
      <c r="AE652" s="1">
        <v>47.0</v>
      </c>
      <c r="AF652" s="1" t="s">
        <v>54</v>
      </c>
      <c r="AG652" s="1">
        <v>93.0</v>
      </c>
      <c r="AH652" s="1">
        <v>47.0</v>
      </c>
      <c r="AI652" s="1">
        <v>47.0</v>
      </c>
      <c r="AJ652" s="1">
        <v>46.0</v>
      </c>
      <c r="AK652" s="1">
        <v>44.0</v>
      </c>
      <c r="AL652" s="1">
        <v>493.0</v>
      </c>
      <c r="AM652" s="1" t="s">
        <v>55</v>
      </c>
      <c r="AN652" s="1">
        <v>7.0</v>
      </c>
      <c r="AO652" s="1">
        <v>7.0</v>
      </c>
      <c r="AP652" s="1" t="s">
        <v>3285</v>
      </c>
      <c r="AQ652" s="3" t="str">
        <f>HYPERLINK("https://icf.clappia.com/app/GMB253374/submission/UWE51526185/ICF247370-GMB253374-59ii0c7lleki00000000/SIG-20250701_12365j7k6.jpeg", "SIG-20250701_12365j7k6.jpeg")</f>
        <v>SIG-20250701_12365j7k6.jpeg</v>
      </c>
      <c r="AR652" s="1" t="s">
        <v>3326</v>
      </c>
      <c r="AS652" s="3" t="str">
        <f>HYPERLINK("https://icf.clappia.com/app/GMB253374/submission/UWE51526185/ICF247370-GMB253374-9mmjjn0l7bne0000000/SIG-20250701_1236i1alf.jpeg", "SIG-20250701_1236i1alf.jpeg")</f>
        <v>SIG-20250701_1236i1alf.jpeg</v>
      </c>
      <c r="AT652" s="1" t="s">
        <v>3287</v>
      </c>
      <c r="AU652" s="3" t="str">
        <f>HYPERLINK("https://icf.clappia.com/app/GMB253374/submission/UWE51526185/ICF247370-GMB253374-iij93e3dgalm0000000/SIG-20250701_123765c2b.jpeg", "SIG-20250701_123765c2b.jpeg")</f>
        <v>SIG-20250701_123765c2b.jpeg</v>
      </c>
      <c r="AV652" s="3" t="str">
        <f>HYPERLINK("https://www.google.com/maps/place/8.8784291%2C-12.0523704", "8.8784291,-12.0523704")</f>
        <v>8.8784291,-12.0523704</v>
      </c>
    </row>
    <row r="653" ht="15.75" customHeight="1">
      <c r="A653" s="1" t="s">
        <v>3327</v>
      </c>
      <c r="B653" s="1" t="s">
        <v>60</v>
      </c>
      <c r="C653" s="1" t="s">
        <v>1401</v>
      </c>
      <c r="D653" s="1" t="s">
        <v>1401</v>
      </c>
      <c r="E653" s="1" t="s">
        <v>3328</v>
      </c>
      <c r="F653" s="1" t="s">
        <v>64</v>
      </c>
      <c r="G653" s="1">
        <v>106.0</v>
      </c>
      <c r="H653" s="1" t="s">
        <v>50</v>
      </c>
      <c r="I653" s="1">
        <v>27.0</v>
      </c>
      <c r="J653" s="1">
        <v>10.0</v>
      </c>
      <c r="K653" s="1">
        <v>10.0</v>
      </c>
      <c r="L653" s="1">
        <v>17.0</v>
      </c>
      <c r="M653" s="1">
        <v>17.0</v>
      </c>
      <c r="N653" s="1" t="s">
        <v>51</v>
      </c>
      <c r="O653" s="1">
        <v>20.0</v>
      </c>
      <c r="P653" s="1">
        <v>9.0</v>
      </c>
      <c r="Q653" s="1">
        <v>9.0</v>
      </c>
      <c r="R653" s="1">
        <v>11.0</v>
      </c>
      <c r="S653" s="1">
        <v>11.0</v>
      </c>
      <c r="T653" s="1" t="s">
        <v>52</v>
      </c>
      <c r="U653" s="1">
        <v>13.0</v>
      </c>
      <c r="V653" s="1">
        <v>9.0</v>
      </c>
      <c r="W653" s="1">
        <v>9.0</v>
      </c>
      <c r="X653" s="1">
        <v>4.0</v>
      </c>
      <c r="Y653" s="1">
        <v>4.0</v>
      </c>
      <c r="Z653" s="1" t="s">
        <v>53</v>
      </c>
      <c r="AA653" s="1">
        <v>18.0</v>
      </c>
      <c r="AB653" s="1">
        <v>11.0</v>
      </c>
      <c r="AC653" s="1">
        <v>11.0</v>
      </c>
      <c r="AD653" s="1">
        <v>7.0</v>
      </c>
      <c r="AE653" s="1">
        <v>7.0</v>
      </c>
      <c r="AF653" s="1" t="s">
        <v>54</v>
      </c>
      <c r="AG653" s="1">
        <v>8.0</v>
      </c>
      <c r="AH653" s="1">
        <v>6.0</v>
      </c>
      <c r="AI653" s="1">
        <v>6.0</v>
      </c>
      <c r="AJ653" s="1">
        <v>2.0</v>
      </c>
      <c r="AK653" s="1">
        <v>2.0</v>
      </c>
      <c r="AL653" s="1">
        <v>86.0</v>
      </c>
      <c r="AM653" s="1">
        <v>7.0</v>
      </c>
      <c r="AN653" s="1">
        <v>13.0</v>
      </c>
      <c r="AO653" s="1">
        <v>13.0</v>
      </c>
      <c r="AP653" s="1" t="s">
        <v>3329</v>
      </c>
      <c r="AQ653" s="3" t="str">
        <f>HYPERLINK("https://icf.clappia.com/app/GMB253374/submission/IBY91761451/ICF247370-GMB253374-jjb5oc54bim40000000/SIG-20250701_122715ia2l.jpeg", "SIG-20250701_122715ia2l.jpeg")</f>
        <v>SIG-20250701_122715ia2l.jpeg</v>
      </c>
      <c r="AR653" s="1" t="s">
        <v>2419</v>
      </c>
      <c r="AS653" s="3" t="str">
        <f>HYPERLINK("https://icf.clappia.com/app/GMB253374/submission/IBY91761451/ICF247370-GMB253374-108e36bc7o3360000000/SIG-20250701_1227co09.jpeg", "SIG-20250701_1227co09.jpeg")</f>
        <v>SIG-20250701_1227co09.jpeg</v>
      </c>
      <c r="AT653" s="1" t="s">
        <v>3330</v>
      </c>
      <c r="AU653" s="3" t="str">
        <f>HYPERLINK("https://icf.clappia.com/app/GMB253374/submission/IBY91761451/ICF247370-GMB253374-3p5k8miolpja00000000/SIG-20250701_12274155n.jpeg", "SIG-20250701_12274155n.jpeg")</f>
        <v>SIG-20250701_12274155n.jpeg</v>
      </c>
      <c r="AV653" s="3" t="str">
        <f>HYPERLINK("https://www.google.com/maps/place/8.8391617%2C-11.896905", "8.8391617,-11.896905")</f>
        <v>8.8391617,-11.896905</v>
      </c>
    </row>
    <row r="654" ht="15.75" customHeight="1">
      <c r="A654" s="1" t="s">
        <v>3331</v>
      </c>
      <c r="B654" s="1" t="s">
        <v>580</v>
      </c>
      <c r="C654" s="1" t="s">
        <v>3332</v>
      </c>
      <c r="D654" s="1" t="s">
        <v>1401</v>
      </c>
      <c r="E654" s="1" t="s">
        <v>3333</v>
      </c>
      <c r="F654" s="1" t="s">
        <v>49</v>
      </c>
      <c r="G654" s="1">
        <v>173.0</v>
      </c>
      <c r="H654" s="1" t="s">
        <v>50</v>
      </c>
      <c r="I654" s="1">
        <v>58.0</v>
      </c>
      <c r="J654" s="1">
        <v>34.0</v>
      </c>
      <c r="K654" s="1">
        <v>19.0</v>
      </c>
      <c r="L654" s="1">
        <v>24.0</v>
      </c>
      <c r="M654" s="1">
        <v>12.0</v>
      </c>
      <c r="N654" s="1" t="s">
        <v>51</v>
      </c>
      <c r="O654" s="1">
        <v>10.0</v>
      </c>
      <c r="P654" s="1">
        <v>5.0</v>
      </c>
      <c r="Q654" s="1">
        <v>2.0</v>
      </c>
      <c r="R654" s="1">
        <v>5.0</v>
      </c>
      <c r="S654" s="1">
        <v>4.0</v>
      </c>
      <c r="T654" s="1" t="s">
        <v>52</v>
      </c>
      <c r="U654" s="1">
        <v>12.0</v>
      </c>
      <c r="V654" s="1">
        <v>7.0</v>
      </c>
      <c r="W654" s="1">
        <v>1.0</v>
      </c>
      <c r="X654" s="1">
        <v>5.0</v>
      </c>
      <c r="Y654" s="1">
        <v>3.0</v>
      </c>
      <c r="Z654" s="1" t="s">
        <v>53</v>
      </c>
      <c r="AA654" s="1" t="s">
        <v>55</v>
      </c>
      <c r="AB654" s="1" t="s">
        <v>55</v>
      </c>
      <c r="AC654" s="1" t="s">
        <v>55</v>
      </c>
      <c r="AD654" s="1" t="s">
        <v>55</v>
      </c>
      <c r="AE654" s="1" t="s">
        <v>55</v>
      </c>
      <c r="AF654" s="1" t="s">
        <v>54</v>
      </c>
      <c r="AG654" s="1" t="s">
        <v>55</v>
      </c>
      <c r="AH654" s="1" t="s">
        <v>55</v>
      </c>
      <c r="AI654" s="1" t="s">
        <v>55</v>
      </c>
      <c r="AJ654" s="1" t="s">
        <v>55</v>
      </c>
      <c r="AK654" s="1" t="s">
        <v>55</v>
      </c>
      <c r="AL654" s="1">
        <v>41.0</v>
      </c>
      <c r="AM654" s="1" t="s">
        <v>55</v>
      </c>
      <c r="AN654" s="1">
        <v>132.0</v>
      </c>
      <c r="AO654" s="1">
        <v>132.0</v>
      </c>
      <c r="AP654" s="1" t="s">
        <v>3334</v>
      </c>
      <c r="AQ654" s="3" t="str">
        <f>HYPERLINK("https://icf.clappia.com/app/GMB253374/submission/YFD02299728/ICF247370-GMB253374-9igj23k718fi0000000/SIG-20250701_1233n0lem.jpeg", "SIG-20250701_1233n0lem.jpeg")</f>
        <v>SIG-20250701_1233n0lem.jpeg</v>
      </c>
      <c r="AR654" s="1" t="s">
        <v>3335</v>
      </c>
      <c r="AS654" s="3" t="str">
        <f>HYPERLINK("https://icf.clappia.com/app/GMB253374/submission/YFD02299728/ICF247370-GMB253374-a0ol94b8p0pe0000000/SIG-20250701_1234c89f2.jpeg", "SIG-20250701_1234c89f2.jpeg")</f>
        <v>SIG-20250701_1234c89f2.jpeg</v>
      </c>
      <c r="AT654" s="1" t="s">
        <v>3336</v>
      </c>
      <c r="AU654" s="3" t="str">
        <f>HYPERLINK("https://icf.clappia.com/app/GMB253374/submission/YFD02299728/ICF247370-GMB253374-54b9h7o1g34000000000/SIG-20250701_12361194dk.jpeg", "SIG-20250701_12361194dk.jpeg")</f>
        <v>SIG-20250701_12361194dk.jpeg</v>
      </c>
      <c r="AV654" s="3" t="str">
        <f>HYPERLINK("https://www.google.com/maps/place/8.0604034%2C-11.5786326", "8.0604034,-11.5786326")</f>
        <v>8.0604034,-11.5786326</v>
      </c>
    </row>
    <row r="655" ht="15.75" customHeight="1">
      <c r="A655" s="1" t="s">
        <v>3337</v>
      </c>
      <c r="B655" s="1" t="s">
        <v>81</v>
      </c>
      <c r="C655" s="1" t="s">
        <v>3332</v>
      </c>
      <c r="D655" s="1" t="s">
        <v>3332</v>
      </c>
      <c r="E655" s="1" t="s">
        <v>3338</v>
      </c>
      <c r="F655" s="1" t="s">
        <v>64</v>
      </c>
      <c r="G655" s="1">
        <v>239.0</v>
      </c>
      <c r="H655" s="1" t="s">
        <v>50</v>
      </c>
      <c r="I655" s="1" t="s">
        <v>55</v>
      </c>
      <c r="J655" s="1" t="s">
        <v>55</v>
      </c>
      <c r="K655" s="1" t="s">
        <v>55</v>
      </c>
      <c r="L655" s="1" t="s">
        <v>55</v>
      </c>
      <c r="M655" s="1" t="s">
        <v>55</v>
      </c>
      <c r="N655" s="1" t="s">
        <v>51</v>
      </c>
      <c r="O655" s="1" t="s">
        <v>55</v>
      </c>
      <c r="P655" s="1" t="s">
        <v>55</v>
      </c>
      <c r="Q655" s="1" t="s">
        <v>55</v>
      </c>
      <c r="R655" s="1" t="s">
        <v>55</v>
      </c>
      <c r="S655" s="1" t="s">
        <v>55</v>
      </c>
      <c r="T655" s="1" t="s">
        <v>52</v>
      </c>
      <c r="U655" s="1" t="s">
        <v>55</v>
      </c>
      <c r="V655" s="1" t="s">
        <v>55</v>
      </c>
      <c r="W655" s="1" t="s">
        <v>55</v>
      </c>
      <c r="X655" s="1" t="s">
        <v>55</v>
      </c>
      <c r="Y655" s="1" t="s">
        <v>55</v>
      </c>
      <c r="Z655" s="1" t="s">
        <v>53</v>
      </c>
      <c r="AA655" s="1">
        <v>224.0</v>
      </c>
      <c r="AB655" s="1">
        <v>100.0</v>
      </c>
      <c r="AC655" s="1">
        <v>45.0</v>
      </c>
      <c r="AD655" s="1">
        <v>124.0</v>
      </c>
      <c r="AE655" s="1">
        <v>63.0</v>
      </c>
      <c r="AF655" s="1" t="s">
        <v>54</v>
      </c>
      <c r="AG655" s="1">
        <v>231.0</v>
      </c>
      <c r="AH655" s="1">
        <v>97.0</v>
      </c>
      <c r="AI655" s="1">
        <v>50.0</v>
      </c>
      <c r="AJ655" s="1">
        <v>134.0</v>
      </c>
      <c r="AK655" s="1">
        <v>81.0</v>
      </c>
      <c r="AL655" s="1">
        <v>239.0</v>
      </c>
      <c r="AM655" s="1" t="s">
        <v>55</v>
      </c>
      <c r="AN655" s="1" t="s">
        <v>55</v>
      </c>
      <c r="AO655" s="1" t="s">
        <v>55</v>
      </c>
      <c r="AP655" s="1" t="s">
        <v>3339</v>
      </c>
      <c r="AQ655" s="3" t="str">
        <f>HYPERLINK("https://icf.clappia.com/app/GMB253374/submission/AQE81445776/ICF247370-GMB253374-51e8hmo9a70400000000/SIG-20250701_1219ai9k8.jpeg", "SIG-20250701_1219ai9k8.jpeg")</f>
        <v>SIG-20250701_1219ai9k8.jpeg</v>
      </c>
      <c r="AR655" s="1" t="s">
        <v>2069</v>
      </c>
      <c r="AS655" s="3" t="str">
        <f>HYPERLINK("https://icf.clappia.com/app/GMB253374/submission/AQE81445776/ICF247370-GMB253374-53mh31f1j4co00000000/SIG-20250701_1219o54f2.jpeg", "SIG-20250701_1219o54f2.jpeg")</f>
        <v>SIG-20250701_1219o54f2.jpeg</v>
      </c>
      <c r="AT655" s="1" t="s">
        <v>3340</v>
      </c>
      <c r="AU655" s="3" t="str">
        <f>HYPERLINK("https://icf.clappia.com/app/GMB253374/submission/AQE81445776/ICF247370-GMB253374-15h9a8glb33440000000/SIG-20250701_1232b0loa.jpeg", "SIG-20250701_1232b0loa.jpeg")</f>
        <v>SIG-20250701_1232b0loa.jpeg</v>
      </c>
      <c r="AV655" s="3" t="str">
        <f>HYPERLINK("https://www.google.com/maps/place/7.9695083%2C-11.740375", "7.9695083,-11.740375")</f>
        <v>7.9695083,-11.740375</v>
      </c>
    </row>
    <row r="656" ht="15.75" customHeight="1">
      <c r="A656" s="1" t="s">
        <v>3341</v>
      </c>
      <c r="B656" s="1" t="s">
        <v>81</v>
      </c>
      <c r="C656" s="1" t="s">
        <v>3342</v>
      </c>
      <c r="D656" s="1" t="s">
        <v>3342</v>
      </c>
      <c r="E656" s="1" t="s">
        <v>3343</v>
      </c>
      <c r="F656" s="1" t="s">
        <v>64</v>
      </c>
      <c r="G656" s="1">
        <v>293.0</v>
      </c>
      <c r="H656" s="1" t="s">
        <v>50</v>
      </c>
      <c r="I656" s="1">
        <v>220.0</v>
      </c>
      <c r="J656" s="1">
        <v>92.0</v>
      </c>
      <c r="K656" s="1">
        <v>49.0</v>
      </c>
      <c r="L656" s="1">
        <v>128.0</v>
      </c>
      <c r="M656" s="1">
        <v>57.0</v>
      </c>
      <c r="N656" s="1" t="s">
        <v>51</v>
      </c>
      <c r="O656" s="1">
        <v>181.0</v>
      </c>
      <c r="P656" s="1">
        <v>79.0</v>
      </c>
      <c r="Q656" s="1">
        <v>50.0</v>
      </c>
      <c r="R656" s="1">
        <v>102.0</v>
      </c>
      <c r="S656" s="1">
        <v>55.0</v>
      </c>
      <c r="T656" s="1" t="s">
        <v>52</v>
      </c>
      <c r="U656" s="1">
        <v>198.0</v>
      </c>
      <c r="V656" s="1">
        <v>98.0</v>
      </c>
      <c r="W656" s="1">
        <v>32.0</v>
      </c>
      <c r="X656" s="1">
        <v>100.0</v>
      </c>
      <c r="Y656" s="1">
        <v>50.0</v>
      </c>
      <c r="Z656" s="1" t="s">
        <v>53</v>
      </c>
      <c r="AA656" s="1" t="s">
        <v>55</v>
      </c>
      <c r="AB656" s="1" t="s">
        <v>55</v>
      </c>
      <c r="AC656" s="1" t="s">
        <v>55</v>
      </c>
      <c r="AD656" s="1" t="s">
        <v>55</v>
      </c>
      <c r="AE656" s="1" t="s">
        <v>55</v>
      </c>
      <c r="AF656" s="1" t="s">
        <v>54</v>
      </c>
      <c r="AG656" s="1" t="s">
        <v>55</v>
      </c>
      <c r="AH656" s="1" t="s">
        <v>55</v>
      </c>
      <c r="AI656" s="1" t="s">
        <v>55</v>
      </c>
      <c r="AJ656" s="1" t="s">
        <v>55</v>
      </c>
      <c r="AK656" s="1" t="s">
        <v>55</v>
      </c>
      <c r="AL656" s="1">
        <v>293.0</v>
      </c>
      <c r="AM656" s="1" t="s">
        <v>55</v>
      </c>
      <c r="AN656" s="1" t="s">
        <v>55</v>
      </c>
      <c r="AO656" s="1" t="s">
        <v>55</v>
      </c>
      <c r="AP656" s="1" t="s">
        <v>3344</v>
      </c>
      <c r="AQ656" s="3" t="str">
        <f>HYPERLINK("https://icf.clappia.com/app/GMB253374/submission/QNG60070932/ICF247370-GMB253374-1eel8bjem38ie0000000/SIG-20250701_12333gifa.jpeg", "SIG-20250701_12333gifa.jpeg")</f>
        <v>SIG-20250701_12333gifa.jpeg</v>
      </c>
      <c r="AR656" s="1" t="s">
        <v>3345</v>
      </c>
      <c r="AS656" s="3" t="str">
        <f>HYPERLINK("https://icf.clappia.com/app/GMB253374/submission/QNG60070932/ICF247370-GMB253374-b4hc6a92kgde0000000/SIG-20250701_11311a61j8.jpeg", "SIG-20250701_11311a61j8.jpeg")</f>
        <v>SIG-20250701_11311a61j8.jpeg</v>
      </c>
      <c r="AT656" s="1" t="s">
        <v>113</v>
      </c>
      <c r="AU656" s="3" t="str">
        <f>HYPERLINK("https://icf.clappia.com/app/GMB253374/submission/QNG60070932/ICF247370-GMB253374-5839oome9f6200000000/SIG-20250701_1131mbc43.jpeg", "SIG-20250701_1131mbc43.jpeg")</f>
        <v>SIG-20250701_1131mbc43.jpeg</v>
      </c>
      <c r="AV656" s="3" t="str">
        <f>HYPERLINK("https://www.google.com/maps/place/7.970063%2C-11.739981", "7.970063,-11.739981")</f>
        <v>7.970063,-11.739981</v>
      </c>
    </row>
    <row r="657" ht="15.75" customHeight="1">
      <c r="A657" s="1" t="s">
        <v>3346</v>
      </c>
      <c r="B657" s="1" t="s">
        <v>167</v>
      </c>
      <c r="C657" s="1" t="s">
        <v>3347</v>
      </c>
      <c r="D657" s="1" t="s">
        <v>3347</v>
      </c>
      <c r="E657" s="1" t="s">
        <v>3348</v>
      </c>
      <c r="F657" s="1" t="s">
        <v>64</v>
      </c>
      <c r="G657" s="1">
        <v>174.0</v>
      </c>
      <c r="H657" s="1" t="s">
        <v>50</v>
      </c>
      <c r="I657" s="1">
        <v>35.0</v>
      </c>
      <c r="J657" s="1">
        <v>15.0</v>
      </c>
      <c r="K657" s="1">
        <v>10.0</v>
      </c>
      <c r="L657" s="1">
        <v>20.0</v>
      </c>
      <c r="M657" s="1">
        <v>8.0</v>
      </c>
      <c r="N657" s="1" t="s">
        <v>51</v>
      </c>
      <c r="O657" s="1">
        <v>25.0</v>
      </c>
      <c r="P657" s="1">
        <v>15.0</v>
      </c>
      <c r="Q657" s="1">
        <v>4.0</v>
      </c>
      <c r="R657" s="1">
        <v>10.0</v>
      </c>
      <c r="S657" s="1">
        <v>7.0</v>
      </c>
      <c r="T657" s="1" t="s">
        <v>52</v>
      </c>
      <c r="U657" s="1">
        <v>15.0</v>
      </c>
      <c r="V657" s="1">
        <v>7.0</v>
      </c>
      <c r="W657" s="1">
        <v>5.0</v>
      </c>
      <c r="X657" s="1">
        <v>8.0</v>
      </c>
      <c r="Y657" s="1">
        <v>2.0</v>
      </c>
      <c r="Z657" s="1" t="s">
        <v>53</v>
      </c>
      <c r="AA657" s="1">
        <v>25.0</v>
      </c>
      <c r="AB657" s="1">
        <v>10.0</v>
      </c>
      <c r="AC657" s="1">
        <v>2.0</v>
      </c>
      <c r="AD657" s="1">
        <v>15.0</v>
      </c>
      <c r="AE657" s="1">
        <v>4.0</v>
      </c>
      <c r="AF657" s="1" t="s">
        <v>54</v>
      </c>
      <c r="AG657" s="1">
        <v>30.0</v>
      </c>
      <c r="AH657" s="1">
        <v>14.0</v>
      </c>
      <c r="AI657" s="1">
        <v>4.0</v>
      </c>
      <c r="AJ657" s="1">
        <v>16.0</v>
      </c>
      <c r="AK657" s="1">
        <v>5.0</v>
      </c>
      <c r="AL657" s="1">
        <v>51.0</v>
      </c>
      <c r="AM657" s="1" t="s">
        <v>55</v>
      </c>
      <c r="AN657" s="1">
        <v>123.0</v>
      </c>
      <c r="AO657" s="1">
        <v>123.0</v>
      </c>
      <c r="AP657" s="1" t="s">
        <v>3349</v>
      </c>
      <c r="AQ657" s="3" t="str">
        <f>HYPERLINK("https://icf.clappia.com/app/GMB253374/submission/SYE54855996/ICF247370-GMB253374-3dm2nongd0d200000000/SIG-20250701_122814g0ob.jpeg", "SIG-20250701_122814g0ob.jpeg")</f>
        <v>SIG-20250701_122814g0ob.jpeg</v>
      </c>
      <c r="AR657" s="1" t="s">
        <v>3350</v>
      </c>
      <c r="AS657" s="3" t="str">
        <f>HYPERLINK("https://icf.clappia.com/app/GMB253374/submission/SYE54855996/ICF247370-GMB253374-20i2n5bcm2ami0000000/SIG-20250701_1228l8ngl.jpeg", "SIG-20250701_1228l8ngl.jpeg")</f>
        <v>SIG-20250701_1228l8ngl.jpeg</v>
      </c>
      <c r="AT657" s="1" t="s">
        <v>3351</v>
      </c>
      <c r="AU657" s="3" t="str">
        <f>HYPERLINK("https://icf.clappia.com/app/GMB253374/submission/SYE54855996/ICF247370-GMB253374-2i1gmc73defe00000000/SIG-20250701_122919331d.jpeg", "SIG-20250701_122919331d.jpeg")</f>
        <v>SIG-20250701_122919331d.jpeg</v>
      </c>
      <c r="AV657" s="3" t="str">
        <f>HYPERLINK("https://www.google.com/maps/place/7.8708434%2C-11.7087865", "7.8708434,-11.7087865")</f>
        <v>7.8708434,-11.7087865</v>
      </c>
    </row>
    <row r="658" ht="15.75" customHeight="1">
      <c r="A658" s="1" t="s">
        <v>3352</v>
      </c>
      <c r="B658" s="1" t="s">
        <v>189</v>
      </c>
      <c r="C658" s="1" t="s">
        <v>3347</v>
      </c>
      <c r="D658" s="1" t="s">
        <v>3347</v>
      </c>
      <c r="E658" s="1" t="s">
        <v>3353</v>
      </c>
      <c r="F658" s="1" t="s">
        <v>64</v>
      </c>
      <c r="G658" s="1">
        <v>322.0</v>
      </c>
      <c r="H658" s="1" t="s">
        <v>50</v>
      </c>
      <c r="I658" s="1">
        <v>85.0</v>
      </c>
      <c r="J658" s="1">
        <v>45.0</v>
      </c>
      <c r="K658" s="1">
        <v>44.0</v>
      </c>
      <c r="L658" s="1">
        <v>40.0</v>
      </c>
      <c r="M658" s="1">
        <v>39.0</v>
      </c>
      <c r="N658" s="1" t="s">
        <v>51</v>
      </c>
      <c r="O658" s="1">
        <v>80.0</v>
      </c>
      <c r="P658" s="1">
        <v>41.0</v>
      </c>
      <c r="Q658" s="1">
        <v>40.0</v>
      </c>
      <c r="R658" s="1">
        <v>39.0</v>
      </c>
      <c r="S658" s="1">
        <v>38.0</v>
      </c>
      <c r="T658" s="1" t="s">
        <v>52</v>
      </c>
      <c r="U658" s="1">
        <v>75.0</v>
      </c>
      <c r="V658" s="1">
        <v>40.0</v>
      </c>
      <c r="W658" s="1">
        <v>39.0</v>
      </c>
      <c r="X658" s="1">
        <v>35.0</v>
      </c>
      <c r="Y658" s="1">
        <v>34.0</v>
      </c>
      <c r="Z658" s="1" t="s">
        <v>53</v>
      </c>
      <c r="AA658" s="1">
        <v>44.0</v>
      </c>
      <c r="AB658" s="1">
        <v>20.0</v>
      </c>
      <c r="AC658" s="1">
        <v>19.0</v>
      </c>
      <c r="AD658" s="1">
        <v>24.0</v>
      </c>
      <c r="AE658" s="1">
        <v>21.0</v>
      </c>
      <c r="AF658" s="1" t="s">
        <v>54</v>
      </c>
      <c r="AG658" s="1">
        <v>46.0</v>
      </c>
      <c r="AH658" s="1">
        <v>20.0</v>
      </c>
      <c r="AI658" s="1">
        <v>18.0</v>
      </c>
      <c r="AJ658" s="1">
        <v>26.0</v>
      </c>
      <c r="AK658" s="1">
        <v>20.0</v>
      </c>
      <c r="AL658" s="1">
        <v>312.0</v>
      </c>
      <c r="AM658" s="1">
        <v>10.0</v>
      </c>
      <c r="AN658" s="1" t="s">
        <v>55</v>
      </c>
      <c r="AO658" s="1" t="s">
        <v>55</v>
      </c>
      <c r="AP658" s="1" t="s">
        <v>1253</v>
      </c>
      <c r="AQ658" s="3" t="str">
        <f>HYPERLINK("https://icf.clappia.com/app/GMB253374/submission/RTA19913101/ICF247370-GMB253374-20pm8mmgdah8i0000000/SIG-20250701_12333mn2d.jpeg", "SIG-20250701_12333mn2d.jpeg")</f>
        <v>SIG-20250701_12333mn2d.jpeg</v>
      </c>
      <c r="AR658" s="1" t="s">
        <v>1254</v>
      </c>
      <c r="AS658" s="3" t="str">
        <f>HYPERLINK("https://icf.clappia.com/app/GMB253374/submission/RTA19913101/ICF247370-GMB253374-f9j27o2i6e000000000/SIG-20250701_123319294b.jpeg", "SIG-20250701_123319294b.jpeg")</f>
        <v>SIG-20250701_123319294b.jpeg</v>
      </c>
      <c r="AT658" s="1" t="s">
        <v>1255</v>
      </c>
      <c r="AU658" s="3" t="str">
        <f>HYPERLINK("https://icf.clappia.com/app/GMB253374/submission/RTA19913101/ICF247370-GMB253374-48og4k72674c00000000/SIG-20250701_123416e172.jpeg", "SIG-20250701_123416e172.jpeg")</f>
        <v>SIG-20250701_123416e172.jpeg</v>
      </c>
      <c r="AV658" s="3" t="str">
        <f>HYPERLINK("https://www.google.com/maps/place/8.8759167%2C-12.0223767", "8.8759167,-12.0223767")</f>
        <v>8.8759167,-12.0223767</v>
      </c>
    </row>
    <row r="659" ht="15.75" customHeight="1">
      <c r="A659" s="1" t="s">
        <v>3354</v>
      </c>
      <c r="B659" s="1" t="s">
        <v>81</v>
      </c>
      <c r="C659" s="1" t="s">
        <v>3355</v>
      </c>
      <c r="D659" s="1" t="s">
        <v>3355</v>
      </c>
      <c r="E659" s="1" t="s">
        <v>3356</v>
      </c>
      <c r="F659" s="1" t="s">
        <v>64</v>
      </c>
      <c r="G659" s="1">
        <v>201.0</v>
      </c>
      <c r="H659" s="1" t="s">
        <v>50</v>
      </c>
      <c r="I659" s="1">
        <v>38.0</v>
      </c>
      <c r="J659" s="1">
        <v>21.0</v>
      </c>
      <c r="K659" s="1">
        <v>21.0</v>
      </c>
      <c r="L659" s="1">
        <v>17.0</v>
      </c>
      <c r="M659" s="1">
        <v>17.0</v>
      </c>
      <c r="N659" s="1" t="s">
        <v>51</v>
      </c>
      <c r="O659" s="1">
        <v>34.0</v>
      </c>
      <c r="P659" s="1">
        <v>20.0</v>
      </c>
      <c r="Q659" s="1">
        <v>20.0</v>
      </c>
      <c r="R659" s="1">
        <v>14.0</v>
      </c>
      <c r="S659" s="1">
        <v>14.0</v>
      </c>
      <c r="T659" s="1" t="s">
        <v>52</v>
      </c>
      <c r="U659" s="1">
        <v>35.0</v>
      </c>
      <c r="V659" s="1">
        <v>17.0</v>
      </c>
      <c r="W659" s="1">
        <v>17.0</v>
      </c>
      <c r="X659" s="1">
        <v>18.0</v>
      </c>
      <c r="Y659" s="1">
        <v>18.0</v>
      </c>
      <c r="Z659" s="1" t="s">
        <v>53</v>
      </c>
      <c r="AA659" s="1">
        <v>35.0</v>
      </c>
      <c r="AB659" s="1">
        <v>17.0</v>
      </c>
      <c r="AC659" s="1">
        <v>17.0</v>
      </c>
      <c r="AD659" s="1">
        <v>18.0</v>
      </c>
      <c r="AE659" s="1">
        <v>18.0</v>
      </c>
      <c r="AF659" s="1" t="s">
        <v>54</v>
      </c>
      <c r="AG659" s="1">
        <v>31.0</v>
      </c>
      <c r="AH659" s="1">
        <v>15.0</v>
      </c>
      <c r="AI659" s="1">
        <v>15.0</v>
      </c>
      <c r="AJ659" s="1">
        <v>16.0</v>
      </c>
      <c r="AK659" s="1">
        <v>16.0</v>
      </c>
      <c r="AL659" s="1">
        <v>173.0</v>
      </c>
      <c r="AM659" s="1" t="s">
        <v>55</v>
      </c>
      <c r="AN659" s="1">
        <v>28.0</v>
      </c>
      <c r="AO659" s="1">
        <v>28.0</v>
      </c>
      <c r="AP659" s="1" t="s">
        <v>714</v>
      </c>
      <c r="AQ659" s="3" t="str">
        <f>HYPERLINK("https://icf.clappia.com/app/GMB253374/submission/KAL06060712/ICF247370-GMB253374-170h0pi2l91g40000000/SIG-20250701_1230451p0.jpeg", "SIG-20250701_1230451p0.jpeg")</f>
        <v>SIG-20250701_1230451p0.jpeg</v>
      </c>
      <c r="AR659" s="1" t="s">
        <v>715</v>
      </c>
      <c r="AS659" s="3" t="str">
        <f>HYPERLINK("https://icf.clappia.com/app/GMB253374/submission/KAL06060712/ICF247370-GMB253374-62a3ap801im000000000/SIG-20250701_123168mo2.jpeg", "SIG-20250701_123168mo2.jpeg")</f>
        <v>SIG-20250701_123168mo2.jpeg</v>
      </c>
      <c r="AT659" s="1" t="s">
        <v>716</v>
      </c>
      <c r="AU659" s="3" t="str">
        <f>HYPERLINK("https://icf.clappia.com/app/GMB253374/submission/KAL06060712/ICF247370-GMB253374-3oid753h6ji000000000/SIG-20250701_123213h952.jpeg", "SIG-20250701_123213h952.jpeg")</f>
        <v>SIG-20250701_123213h952.jpeg</v>
      </c>
      <c r="AV659" s="3" t="str">
        <f>HYPERLINK("https://www.google.com/maps/place/7.9340398%2C-11.7258679", "7.9340398,-11.7258679")</f>
        <v>7.9340398,-11.7258679</v>
      </c>
    </row>
    <row r="660" ht="15.75" customHeight="1">
      <c r="A660" s="1" t="s">
        <v>3357</v>
      </c>
      <c r="B660" s="1" t="s">
        <v>161</v>
      </c>
      <c r="C660" s="1" t="s">
        <v>1885</v>
      </c>
      <c r="D660" s="1" t="s">
        <v>1885</v>
      </c>
      <c r="E660" s="1" t="s">
        <v>3358</v>
      </c>
      <c r="F660" s="1" t="s">
        <v>49</v>
      </c>
      <c r="G660" s="1">
        <v>126.0</v>
      </c>
      <c r="H660" s="1" t="s">
        <v>50</v>
      </c>
      <c r="I660" s="1">
        <v>38.0</v>
      </c>
      <c r="J660" s="1">
        <v>23.0</v>
      </c>
      <c r="K660" s="1">
        <v>21.0</v>
      </c>
      <c r="L660" s="1">
        <v>15.0</v>
      </c>
      <c r="M660" s="1">
        <v>15.0</v>
      </c>
      <c r="N660" s="1" t="s">
        <v>51</v>
      </c>
      <c r="O660" s="1">
        <v>33.0</v>
      </c>
      <c r="P660" s="1">
        <v>13.0</v>
      </c>
      <c r="Q660" s="1">
        <v>13.0</v>
      </c>
      <c r="R660" s="1">
        <v>20.0</v>
      </c>
      <c r="S660" s="1">
        <v>20.0</v>
      </c>
      <c r="T660" s="1" t="s">
        <v>52</v>
      </c>
      <c r="U660" s="1">
        <v>32.0</v>
      </c>
      <c r="V660" s="1">
        <v>15.0</v>
      </c>
      <c r="W660" s="1">
        <v>15.0</v>
      </c>
      <c r="X660" s="1">
        <v>17.0</v>
      </c>
      <c r="Y660" s="1">
        <v>16.0</v>
      </c>
      <c r="Z660" s="1" t="s">
        <v>53</v>
      </c>
      <c r="AA660" s="1">
        <v>17.0</v>
      </c>
      <c r="AB660" s="1">
        <v>6.0</v>
      </c>
      <c r="AC660" s="1">
        <v>6.0</v>
      </c>
      <c r="AD660" s="1">
        <v>11.0</v>
      </c>
      <c r="AE660" s="1">
        <v>11.0</v>
      </c>
      <c r="AF660" s="1" t="s">
        <v>54</v>
      </c>
      <c r="AG660" s="1">
        <v>8.0</v>
      </c>
      <c r="AH660" s="1">
        <v>6.0</v>
      </c>
      <c r="AI660" s="1">
        <v>6.0</v>
      </c>
      <c r="AJ660" s="1">
        <v>2.0</v>
      </c>
      <c r="AK660" s="1">
        <v>2.0</v>
      </c>
      <c r="AL660" s="1">
        <v>125.0</v>
      </c>
      <c r="AM660" s="1">
        <v>1.0</v>
      </c>
      <c r="AN660" s="1" t="s">
        <v>55</v>
      </c>
      <c r="AO660" s="1" t="s">
        <v>55</v>
      </c>
      <c r="AP660" s="1" t="s">
        <v>165</v>
      </c>
      <c r="AQ660" s="3" t="str">
        <f>HYPERLINK("https://icf.clappia.com/app/GMB253374/submission/JOA85175089/ICF247370-GMB253374-mag9mgjn5cn20000000/SIG-20250701_1229hk04k.jpeg", "SIG-20250701_1229hk04k.jpeg")</f>
        <v>SIG-20250701_1229hk04k.jpeg</v>
      </c>
      <c r="AR660" s="1" t="s">
        <v>887</v>
      </c>
      <c r="AS660" s="3" t="str">
        <f>HYPERLINK("https://icf.clappia.com/app/GMB253374/submission/JOA85175089/ICF247370-GMB253374-16e5fko91fo6c0000000/SIG-20250701_1230i9dg2.jpeg", "SIG-20250701_1230i9dg2.jpeg")</f>
        <v>SIG-20250701_1230i9dg2.jpeg</v>
      </c>
      <c r="AT660" s="1" t="s">
        <v>3359</v>
      </c>
      <c r="AU660" s="3" t="str">
        <f>HYPERLINK("https://icf.clappia.com/app/GMB253374/submission/JOA85175089/ICF247370-GMB253374-644lia9n8nh200000000/SIG-20250701_1230g4j5o.jpeg", "SIG-20250701_1230g4j5o.jpeg")</f>
        <v>SIG-20250701_1230g4j5o.jpeg</v>
      </c>
      <c r="AV660" s="3" t="str">
        <f>HYPERLINK("https://www.google.com/maps/place/7.92526%2C-11.6966733", "7.92526,-11.6966733")</f>
        <v>7.92526,-11.6966733</v>
      </c>
    </row>
    <row r="661" ht="15.75" customHeight="1">
      <c r="A661" s="1" t="s">
        <v>3360</v>
      </c>
      <c r="B661" s="1" t="s">
        <v>349</v>
      </c>
      <c r="C661" s="1" t="s">
        <v>1885</v>
      </c>
      <c r="D661" s="1" t="s">
        <v>1885</v>
      </c>
      <c r="E661" s="1" t="s">
        <v>3361</v>
      </c>
      <c r="F661" s="1" t="s">
        <v>64</v>
      </c>
      <c r="G661" s="1">
        <v>150.0</v>
      </c>
      <c r="H661" s="1" t="s">
        <v>50</v>
      </c>
      <c r="I661" s="1">
        <v>21.0</v>
      </c>
      <c r="J661" s="1">
        <v>11.0</v>
      </c>
      <c r="K661" s="1">
        <v>11.0</v>
      </c>
      <c r="L661" s="1">
        <v>10.0</v>
      </c>
      <c r="M661" s="1">
        <v>9.0</v>
      </c>
      <c r="N661" s="1" t="s">
        <v>51</v>
      </c>
      <c r="O661" s="1">
        <v>38.0</v>
      </c>
      <c r="P661" s="1">
        <v>23.0</v>
      </c>
      <c r="Q661" s="1">
        <v>23.0</v>
      </c>
      <c r="R661" s="1">
        <v>15.0</v>
      </c>
      <c r="S661" s="1">
        <v>15.0</v>
      </c>
      <c r="T661" s="1" t="s">
        <v>52</v>
      </c>
      <c r="U661" s="1">
        <v>35.0</v>
      </c>
      <c r="V661" s="1">
        <v>18.0</v>
      </c>
      <c r="W661" s="1">
        <v>17.0</v>
      </c>
      <c r="X661" s="1">
        <v>17.0</v>
      </c>
      <c r="Y661" s="1">
        <v>15.0</v>
      </c>
      <c r="Z661" s="1" t="s">
        <v>53</v>
      </c>
      <c r="AA661" s="1">
        <v>23.0</v>
      </c>
      <c r="AB661" s="1">
        <v>13.0</v>
      </c>
      <c r="AC661" s="1">
        <v>12.0</v>
      </c>
      <c r="AD661" s="1">
        <v>10.0</v>
      </c>
      <c r="AE661" s="1">
        <v>10.0</v>
      </c>
      <c r="AF661" s="1" t="s">
        <v>54</v>
      </c>
      <c r="AG661" s="1">
        <v>22.0</v>
      </c>
      <c r="AH661" s="1">
        <v>8.0</v>
      </c>
      <c r="AI661" s="1">
        <v>7.0</v>
      </c>
      <c r="AJ661" s="1">
        <v>14.0</v>
      </c>
      <c r="AK661" s="1">
        <v>13.0</v>
      </c>
      <c r="AL661" s="1">
        <v>132.0</v>
      </c>
      <c r="AM661" s="1">
        <v>6.0</v>
      </c>
      <c r="AN661" s="1">
        <v>12.0</v>
      </c>
      <c r="AO661" s="1">
        <v>12.0</v>
      </c>
      <c r="AP661" s="1" t="s">
        <v>3362</v>
      </c>
      <c r="AQ661" s="3" t="str">
        <f>HYPERLINK("https://icf.clappia.com/app/GMB253374/submission/XEX40147700/ICF247370-GMB253374-g69pj0836fgk0000000/SIG-20250630_130478iei.jpeg", "SIG-20250630_130478iei.jpeg")</f>
        <v>SIG-20250630_130478iei.jpeg</v>
      </c>
      <c r="AR661" s="1" t="s">
        <v>1323</v>
      </c>
      <c r="AS661" s="3" t="str">
        <f>HYPERLINK("https://icf.clappia.com/app/GMB253374/submission/XEX40147700/ICF247370-GMB253374-2gl4fm6bdno000000000/SIG-20250630_1307144dpj.jpeg", "SIG-20250630_1307144dpj.jpeg")</f>
        <v>SIG-20250630_1307144dpj.jpeg</v>
      </c>
      <c r="AT661" s="1" t="s">
        <v>3363</v>
      </c>
      <c r="AU661" s="3" t="str">
        <f>HYPERLINK("https://icf.clappia.com/app/GMB253374/submission/XEX40147700/ICF247370-GMB253374-63mdo860l2ki00000000/SIG-20250630_130759mea.jpeg", "SIG-20250630_130759mea.jpeg")</f>
        <v>SIG-20250630_130759mea.jpeg</v>
      </c>
      <c r="AV661" s="3" t="str">
        <f>HYPERLINK("https://www.google.com/maps/place/8.95941%2C-11.9609733", "8.95941,-11.9609733")</f>
        <v>8.95941,-11.9609733</v>
      </c>
    </row>
    <row r="662" ht="15.75" customHeight="1">
      <c r="A662" s="1" t="s">
        <v>3364</v>
      </c>
      <c r="B662" s="1" t="s">
        <v>189</v>
      </c>
      <c r="C662" s="1" t="s">
        <v>3365</v>
      </c>
      <c r="D662" s="1" t="s">
        <v>3365</v>
      </c>
      <c r="E662" s="1" t="s">
        <v>3366</v>
      </c>
      <c r="F662" s="1" t="s">
        <v>64</v>
      </c>
      <c r="G662" s="1">
        <v>450.0</v>
      </c>
      <c r="H662" s="1" t="s">
        <v>50</v>
      </c>
      <c r="I662" s="1">
        <v>92.0</v>
      </c>
      <c r="J662" s="1">
        <v>45.0</v>
      </c>
      <c r="K662" s="1">
        <v>40.0</v>
      </c>
      <c r="L662" s="1">
        <v>47.0</v>
      </c>
      <c r="M662" s="1">
        <v>31.0</v>
      </c>
      <c r="N662" s="1" t="s">
        <v>51</v>
      </c>
      <c r="O662" s="1">
        <v>97.0</v>
      </c>
      <c r="P662" s="1">
        <v>53.0</v>
      </c>
      <c r="Q662" s="1">
        <v>53.0</v>
      </c>
      <c r="R662" s="1">
        <v>44.0</v>
      </c>
      <c r="S662" s="1">
        <v>44.0</v>
      </c>
      <c r="T662" s="1" t="s">
        <v>52</v>
      </c>
      <c r="U662" s="1">
        <v>80.0</v>
      </c>
      <c r="V662" s="1">
        <v>35.0</v>
      </c>
      <c r="W662" s="1">
        <v>32.0</v>
      </c>
      <c r="X662" s="1">
        <v>45.0</v>
      </c>
      <c r="Y662" s="1">
        <v>37.0</v>
      </c>
      <c r="Z662" s="1" t="s">
        <v>53</v>
      </c>
      <c r="AA662" s="1">
        <v>107.0</v>
      </c>
      <c r="AB662" s="1">
        <v>47.0</v>
      </c>
      <c r="AC662" s="1">
        <v>47.0</v>
      </c>
      <c r="AD662" s="1">
        <v>60.0</v>
      </c>
      <c r="AE662" s="1">
        <v>60.0</v>
      </c>
      <c r="AF662" s="1" t="s">
        <v>54</v>
      </c>
      <c r="AG662" s="1">
        <v>86.0</v>
      </c>
      <c r="AH662" s="1">
        <v>50.0</v>
      </c>
      <c r="AI662" s="1">
        <v>50.0</v>
      </c>
      <c r="AJ662" s="1">
        <v>36.0</v>
      </c>
      <c r="AK662" s="1">
        <v>36.0</v>
      </c>
      <c r="AL662" s="1">
        <v>430.0</v>
      </c>
      <c r="AM662" s="1">
        <v>9.0</v>
      </c>
      <c r="AN662" s="1">
        <v>11.0</v>
      </c>
      <c r="AO662" s="1">
        <v>11.0</v>
      </c>
      <c r="AP662" s="1" t="s">
        <v>1525</v>
      </c>
      <c r="AQ662" s="3" t="str">
        <f>HYPERLINK("https://icf.clappia.com/app/GMB253374/submission/IEE10487791/ICF247370-GMB253374-3hapmj3j2ma200000000/SIG-20250701_1147nhj7l.jpeg", "SIG-20250701_1147nhj7l.jpeg")</f>
        <v>SIG-20250701_1147nhj7l.jpeg</v>
      </c>
      <c r="AR662" s="1" t="s">
        <v>2114</v>
      </c>
      <c r="AS662" s="3" t="str">
        <f>HYPERLINK("https://icf.clappia.com/app/GMB253374/submission/IEE10487791/ICF247370-GMB253374-4iopgh4611lk00000000/SIG-20250701_1229132dbi.jpeg", "SIG-20250701_1229132dbi.jpeg")</f>
        <v>SIG-20250701_1229132dbi.jpeg</v>
      </c>
      <c r="AT662" s="1" t="s">
        <v>3367</v>
      </c>
      <c r="AU662" s="3" t="str">
        <f>HYPERLINK("https://icf.clappia.com/app/GMB253374/submission/IEE10487791/ICF247370-GMB253374-l76a5begnkba0000000/SIG-20250701_1149jc272.jpeg", "SIG-20250701_1149jc272.jpeg")</f>
        <v>SIG-20250701_1149jc272.jpeg</v>
      </c>
      <c r="AV662" s="3" t="str">
        <f>HYPERLINK("https://www.google.com/maps/place/8.8980441%2C-12.0339935", "8.8980441,-12.0339935")</f>
        <v>8.8980441,-12.0339935</v>
      </c>
    </row>
    <row r="663" ht="15.75" customHeight="1">
      <c r="A663" s="1" t="s">
        <v>3368</v>
      </c>
      <c r="B663" s="1" t="s">
        <v>60</v>
      </c>
      <c r="C663" s="1" t="s">
        <v>3365</v>
      </c>
      <c r="D663" s="1" t="s">
        <v>3365</v>
      </c>
      <c r="E663" s="1" t="s">
        <v>3369</v>
      </c>
      <c r="F663" s="1" t="s">
        <v>64</v>
      </c>
      <c r="G663" s="1">
        <v>150.0</v>
      </c>
      <c r="H663" s="1" t="s">
        <v>50</v>
      </c>
      <c r="I663" s="1">
        <v>40.0</v>
      </c>
      <c r="J663" s="1">
        <v>20.0</v>
      </c>
      <c r="K663" s="1">
        <v>14.0</v>
      </c>
      <c r="L663" s="1">
        <v>20.0</v>
      </c>
      <c r="M663" s="1">
        <v>13.0</v>
      </c>
      <c r="N663" s="1" t="s">
        <v>51</v>
      </c>
      <c r="O663" s="1">
        <v>19.0</v>
      </c>
      <c r="P663" s="1">
        <v>9.0</v>
      </c>
      <c r="Q663" s="1">
        <v>8.0</v>
      </c>
      <c r="R663" s="1">
        <v>10.0</v>
      </c>
      <c r="S663" s="1">
        <v>8.0</v>
      </c>
      <c r="T663" s="1" t="s">
        <v>52</v>
      </c>
      <c r="U663" s="1">
        <v>29.0</v>
      </c>
      <c r="V663" s="1">
        <v>19.0</v>
      </c>
      <c r="W663" s="1">
        <v>14.0</v>
      </c>
      <c r="X663" s="1">
        <v>10.0</v>
      </c>
      <c r="Y663" s="1">
        <v>9.0</v>
      </c>
      <c r="Z663" s="1" t="s">
        <v>53</v>
      </c>
      <c r="AA663" s="1">
        <v>20.0</v>
      </c>
      <c r="AB663" s="1">
        <v>12.0</v>
      </c>
      <c r="AC663" s="1">
        <v>11.0</v>
      </c>
      <c r="AD663" s="1">
        <v>8.0</v>
      </c>
      <c r="AE663" s="1">
        <v>7.0</v>
      </c>
      <c r="AF663" s="1" t="s">
        <v>54</v>
      </c>
      <c r="AG663" s="1">
        <v>47.0</v>
      </c>
      <c r="AH663" s="1">
        <v>26.0</v>
      </c>
      <c r="AI663" s="1">
        <v>22.0</v>
      </c>
      <c r="AJ663" s="1">
        <v>21.0</v>
      </c>
      <c r="AK663" s="1">
        <v>13.0</v>
      </c>
      <c r="AL663" s="1">
        <v>119.0</v>
      </c>
      <c r="AM663" s="1" t="s">
        <v>55</v>
      </c>
      <c r="AN663" s="1">
        <v>31.0</v>
      </c>
      <c r="AO663" s="1">
        <v>31.0</v>
      </c>
      <c r="AP663" s="1" t="s">
        <v>430</v>
      </c>
      <c r="AQ663" s="3" t="str">
        <f>HYPERLINK("https://icf.clappia.com/app/GMB253374/submission/TSY64850684/ICF247370-GMB253374-d1n2mn0k4p1a0000000/SIG-20250630_1702pobfe.jpeg", "SIG-20250630_1702pobfe.jpeg")</f>
        <v>SIG-20250630_1702pobfe.jpeg</v>
      </c>
      <c r="AR663" s="1" t="s">
        <v>431</v>
      </c>
      <c r="AS663" s="3" t="str">
        <f>HYPERLINK("https://icf.clappia.com/app/GMB253374/submission/TSY64850684/ICF247370-GMB253374-1ep7a6mbp7kmi0000000/SIG-20250701_1227h9cmd.jpeg", "SIG-20250701_1227h9cmd.jpeg")</f>
        <v>SIG-20250701_1227h9cmd.jpeg</v>
      </c>
      <c r="AT663" s="1" t="s">
        <v>3370</v>
      </c>
      <c r="AU663" s="3" t="str">
        <f>HYPERLINK("https://icf.clappia.com/app/GMB253374/submission/TSY64850684/ICF247370-GMB253374-37d0oe2ki0l600000000/SIG-20250701_122911lgfn.jpeg", "SIG-20250701_122911lgfn.jpeg")</f>
        <v>SIG-20250701_122911lgfn.jpeg</v>
      </c>
      <c r="AV663" s="3" t="str">
        <f>HYPERLINK("https://www.google.com/maps/place/9.2691047%2C-11.9649437", "9.2691047,-11.9649437")</f>
        <v>9.2691047,-11.9649437</v>
      </c>
    </row>
    <row r="664" ht="15.75" customHeight="1">
      <c r="A664" s="1" t="s">
        <v>3371</v>
      </c>
      <c r="B664" s="1" t="s">
        <v>81</v>
      </c>
      <c r="C664" s="1" t="s">
        <v>3365</v>
      </c>
      <c r="D664" s="1" t="s">
        <v>3365</v>
      </c>
      <c r="E664" s="1" t="s">
        <v>3372</v>
      </c>
      <c r="F664" s="1" t="s">
        <v>64</v>
      </c>
      <c r="G664" s="1">
        <v>353.0</v>
      </c>
      <c r="H664" s="1" t="s">
        <v>50</v>
      </c>
      <c r="I664" s="1">
        <v>70.0</v>
      </c>
      <c r="J664" s="1">
        <v>33.0</v>
      </c>
      <c r="K664" s="1">
        <v>29.0</v>
      </c>
      <c r="L664" s="1">
        <v>37.0</v>
      </c>
      <c r="M664" s="1">
        <v>34.0</v>
      </c>
      <c r="N664" s="1" t="s">
        <v>51</v>
      </c>
      <c r="O664" s="1">
        <v>64.0</v>
      </c>
      <c r="P664" s="1">
        <v>30.0</v>
      </c>
      <c r="Q664" s="1">
        <v>23.0</v>
      </c>
      <c r="R664" s="1">
        <v>34.0</v>
      </c>
      <c r="S664" s="1">
        <v>30.0</v>
      </c>
      <c r="T664" s="1" t="s">
        <v>52</v>
      </c>
      <c r="U664" s="1">
        <v>72.0</v>
      </c>
      <c r="V664" s="1">
        <v>35.0</v>
      </c>
      <c r="W664" s="1">
        <v>26.0</v>
      </c>
      <c r="X664" s="1">
        <v>37.0</v>
      </c>
      <c r="Y664" s="1">
        <v>28.0</v>
      </c>
      <c r="Z664" s="1" t="s">
        <v>53</v>
      </c>
      <c r="AA664" s="1">
        <v>75.0</v>
      </c>
      <c r="AB664" s="1">
        <v>35.0</v>
      </c>
      <c r="AC664" s="1">
        <v>24.0</v>
      </c>
      <c r="AD664" s="1">
        <v>40.0</v>
      </c>
      <c r="AE664" s="1">
        <v>27.0</v>
      </c>
      <c r="AF664" s="1" t="s">
        <v>54</v>
      </c>
      <c r="AG664" s="1">
        <v>72.0</v>
      </c>
      <c r="AH664" s="1">
        <v>34.0</v>
      </c>
      <c r="AI664" s="1">
        <v>26.0</v>
      </c>
      <c r="AJ664" s="1">
        <v>38.0</v>
      </c>
      <c r="AK664" s="1">
        <v>14.0</v>
      </c>
      <c r="AL664" s="1">
        <v>261.0</v>
      </c>
      <c r="AM664" s="1" t="s">
        <v>55</v>
      </c>
      <c r="AN664" s="1">
        <v>92.0</v>
      </c>
      <c r="AO664" s="1">
        <v>36.0</v>
      </c>
      <c r="AP664" s="1" t="s">
        <v>3373</v>
      </c>
      <c r="AQ664" s="3" t="str">
        <f>HYPERLINK("https://icf.clappia.com/app/GMB253374/submission/HBR88375017/ICF247370-GMB253374-2dolj2ho604000000000/SIG-20250701_12165c4dg.jpeg", "SIG-20250701_12165c4dg.jpeg")</f>
        <v>SIG-20250701_12165c4dg.jpeg</v>
      </c>
      <c r="AR664" s="1" t="s">
        <v>3374</v>
      </c>
      <c r="AS664" s="3" t="str">
        <f>HYPERLINK("https://icf.clappia.com/app/GMB253374/submission/HBR88375017/ICF247370-GMB253374-6ap1eo6pkco400000000/SIG-20250701_12178lhij.jpeg", "SIG-20250701_12178lhij.jpeg")</f>
        <v>SIG-20250701_12178lhij.jpeg</v>
      </c>
      <c r="AT664" s="1" t="s">
        <v>1543</v>
      </c>
      <c r="AU664" s="3" t="str">
        <f>HYPERLINK("https://icf.clappia.com/app/GMB253374/submission/HBR88375017/ICF247370-GMB253374-1978f0ie4h5840000000/SIG-20250701_12172lnf0.jpeg", "SIG-20250701_12172lnf0.jpeg")</f>
        <v>SIG-20250701_12172lnf0.jpeg</v>
      </c>
      <c r="AV664" s="3" t="str">
        <f>HYPERLINK("https://www.google.com/maps/place/7.9652922%2C-11.7675158", "7.9652922,-11.7675158")</f>
        <v>7.9652922,-11.7675158</v>
      </c>
    </row>
    <row r="665" ht="15.75" customHeight="1">
      <c r="A665" s="1" t="s">
        <v>3375</v>
      </c>
      <c r="B665" s="1" t="s">
        <v>81</v>
      </c>
      <c r="C665" s="1" t="s">
        <v>3365</v>
      </c>
      <c r="D665" s="1" t="s">
        <v>3365</v>
      </c>
      <c r="E665" s="1" t="s">
        <v>3376</v>
      </c>
      <c r="F665" s="1" t="s">
        <v>64</v>
      </c>
      <c r="G665" s="1">
        <v>90.0</v>
      </c>
      <c r="H665" s="1" t="s">
        <v>50</v>
      </c>
      <c r="I665" s="1">
        <v>35.0</v>
      </c>
      <c r="J665" s="1">
        <v>16.0</v>
      </c>
      <c r="K665" s="1">
        <v>8.0</v>
      </c>
      <c r="L665" s="1">
        <v>19.0</v>
      </c>
      <c r="M665" s="1">
        <v>12.0</v>
      </c>
      <c r="N665" s="1" t="s">
        <v>51</v>
      </c>
      <c r="O665" s="1">
        <v>35.0</v>
      </c>
      <c r="P665" s="1">
        <v>18.0</v>
      </c>
      <c r="Q665" s="1">
        <v>13.0</v>
      </c>
      <c r="R665" s="1">
        <v>17.0</v>
      </c>
      <c r="S665" s="1">
        <v>9.0</v>
      </c>
      <c r="T665" s="1" t="s">
        <v>52</v>
      </c>
      <c r="U665" s="1">
        <v>56.0</v>
      </c>
      <c r="V665" s="1">
        <v>19.0</v>
      </c>
      <c r="W665" s="1">
        <v>17.0</v>
      </c>
      <c r="X665" s="1">
        <v>37.0</v>
      </c>
      <c r="Y665" s="1">
        <v>31.0</v>
      </c>
      <c r="Z665" s="1" t="s">
        <v>53</v>
      </c>
      <c r="AA665" s="1">
        <v>43.0</v>
      </c>
      <c r="AB665" s="1">
        <v>9.0</v>
      </c>
      <c r="AC665" s="1" t="s">
        <v>55</v>
      </c>
      <c r="AD665" s="1">
        <v>34.0</v>
      </c>
      <c r="AE665" s="1" t="s">
        <v>55</v>
      </c>
      <c r="AF665" s="1" t="s">
        <v>54</v>
      </c>
      <c r="AG665" s="1">
        <v>52.0</v>
      </c>
      <c r="AH665" s="1">
        <v>24.0</v>
      </c>
      <c r="AI665" s="1" t="s">
        <v>55</v>
      </c>
      <c r="AJ665" s="1">
        <v>28.0</v>
      </c>
      <c r="AK665" s="1" t="s">
        <v>55</v>
      </c>
      <c r="AL665" s="1">
        <v>90.0</v>
      </c>
      <c r="AM665" s="1" t="s">
        <v>55</v>
      </c>
      <c r="AN665" s="1" t="s">
        <v>55</v>
      </c>
      <c r="AO665" s="1" t="s">
        <v>55</v>
      </c>
      <c r="AP665" s="1" t="s">
        <v>3377</v>
      </c>
      <c r="AQ665" s="3" t="str">
        <f>HYPERLINK("https://icf.clappia.com/app/GMB253374/submission/PZW54755145/ICF247370-GMB253374-40cngaakemkg00000000/SIG-20250701_111314p0de.jpeg", "SIG-20250701_111314p0de.jpeg")</f>
        <v>SIG-20250701_111314p0de.jpeg</v>
      </c>
      <c r="AR665" s="1" t="s">
        <v>288</v>
      </c>
      <c r="AS665" s="3" t="str">
        <f>HYPERLINK("https://icf.clappia.com/app/GMB253374/submission/PZW54755145/ICF247370-GMB253374-36n6ojd11ll000000000/SIG-20250701_1114152lfa.jpeg", "SIG-20250701_1114152lfa.jpeg")</f>
        <v>SIG-20250701_1114152lfa.jpeg</v>
      </c>
      <c r="AT665" s="1" t="s">
        <v>289</v>
      </c>
      <c r="AU665" s="3" t="str">
        <f>HYPERLINK("https://icf.clappia.com/app/GMB253374/submission/PZW54755145/ICF247370-GMB253374-9b1coik8e8640000000/SIG-20250701_1115bh80d.jpeg", "SIG-20250701_1115bh80d.jpeg")</f>
        <v>SIG-20250701_1115bh80d.jpeg</v>
      </c>
      <c r="AV665" s="3" t="str">
        <f>HYPERLINK("https://www.google.com/maps/place/7.9657033%2C-11.71676", "7.9657033,-11.71676")</f>
        <v>7.9657033,-11.71676</v>
      </c>
    </row>
    <row r="666" ht="15.75" customHeight="1">
      <c r="A666" s="1" t="s">
        <v>3378</v>
      </c>
      <c r="B666" s="1" t="s">
        <v>81</v>
      </c>
      <c r="C666" s="1" t="s">
        <v>3379</v>
      </c>
      <c r="D666" s="1" t="s">
        <v>3379</v>
      </c>
      <c r="E666" s="1" t="s">
        <v>3380</v>
      </c>
      <c r="F666" s="1" t="s">
        <v>64</v>
      </c>
      <c r="G666" s="1">
        <v>159.0</v>
      </c>
      <c r="H666" s="1" t="s">
        <v>50</v>
      </c>
      <c r="I666" s="1">
        <v>39.0</v>
      </c>
      <c r="J666" s="1">
        <v>19.0</v>
      </c>
      <c r="K666" s="1">
        <v>19.0</v>
      </c>
      <c r="L666" s="1">
        <v>20.0</v>
      </c>
      <c r="M666" s="1">
        <v>19.0</v>
      </c>
      <c r="N666" s="1" t="s">
        <v>51</v>
      </c>
      <c r="O666" s="1">
        <v>25.0</v>
      </c>
      <c r="P666" s="1">
        <v>10.0</v>
      </c>
      <c r="Q666" s="1">
        <v>9.0</v>
      </c>
      <c r="R666" s="1">
        <v>15.0</v>
      </c>
      <c r="S666" s="1">
        <v>15.0</v>
      </c>
      <c r="T666" s="1" t="s">
        <v>52</v>
      </c>
      <c r="U666" s="1">
        <v>30.0</v>
      </c>
      <c r="V666" s="1">
        <v>20.0</v>
      </c>
      <c r="W666" s="1">
        <v>20.0</v>
      </c>
      <c r="X666" s="1">
        <v>10.0</v>
      </c>
      <c r="Y666" s="1">
        <v>10.0</v>
      </c>
      <c r="Z666" s="1" t="s">
        <v>53</v>
      </c>
      <c r="AA666" s="1">
        <v>30.0</v>
      </c>
      <c r="AB666" s="1">
        <v>15.0</v>
      </c>
      <c r="AC666" s="1">
        <v>14.0</v>
      </c>
      <c r="AD666" s="1">
        <v>15.0</v>
      </c>
      <c r="AE666" s="1">
        <v>15.0</v>
      </c>
      <c r="AF666" s="1" t="s">
        <v>54</v>
      </c>
      <c r="AG666" s="1">
        <v>35.0</v>
      </c>
      <c r="AH666" s="1">
        <v>15.0</v>
      </c>
      <c r="AI666" s="1">
        <v>14.0</v>
      </c>
      <c r="AJ666" s="1">
        <v>20.0</v>
      </c>
      <c r="AK666" s="1">
        <v>19.0</v>
      </c>
      <c r="AL666" s="1">
        <v>154.0</v>
      </c>
      <c r="AM666" s="1">
        <v>5.0</v>
      </c>
      <c r="AN666" s="1" t="s">
        <v>55</v>
      </c>
      <c r="AO666" s="1" t="s">
        <v>55</v>
      </c>
      <c r="AP666" s="1" t="s">
        <v>2399</v>
      </c>
      <c r="AQ666" s="3" t="str">
        <f>HYPERLINK("https://icf.clappia.com/app/GMB253374/submission/XEJ89595758/ICF247370-GMB253374-chacnha7k9nc000000/SIG-20250701_122464lc8.jpeg", "SIG-20250701_122464lc8.jpeg")</f>
        <v>SIG-20250701_122464lc8.jpeg</v>
      </c>
      <c r="AR666" s="1" t="s">
        <v>3381</v>
      </c>
      <c r="AS666" s="3" t="str">
        <f>HYPERLINK("https://icf.clappia.com/app/GMB253374/submission/XEJ89595758/ICF247370-GMB253374-1kcpi2p3ca42c0000000/SIG-20250701_12168ik9m.jpeg", "SIG-20250701_12168ik9m.jpeg")</f>
        <v>SIG-20250701_12168ik9m.jpeg</v>
      </c>
      <c r="AT666" s="1" t="s">
        <v>3382</v>
      </c>
      <c r="AU666" s="3" t="str">
        <f>HYPERLINK("https://icf.clappia.com/app/GMB253374/submission/XEJ89595758/ICF247370-GMB253374-57pdbfdidea000000000/SIG-20250701_12254ljk6.jpeg", "SIG-20250701_12254ljk6.jpeg")</f>
        <v>SIG-20250701_12254ljk6.jpeg</v>
      </c>
      <c r="AV666" s="3" t="str">
        <f>HYPERLINK("https://www.google.com/maps/place/7.9649293%2C-11.745088", "7.9649293,-11.745088")</f>
        <v>7.9649293,-11.745088</v>
      </c>
    </row>
    <row r="667" ht="15.75" customHeight="1">
      <c r="A667" s="1" t="s">
        <v>3383</v>
      </c>
      <c r="B667" s="1" t="s">
        <v>161</v>
      </c>
      <c r="C667" s="1" t="s">
        <v>3379</v>
      </c>
      <c r="D667" s="1" t="s">
        <v>3379</v>
      </c>
      <c r="E667" s="1" t="s">
        <v>3384</v>
      </c>
      <c r="F667" s="1" t="s">
        <v>49</v>
      </c>
      <c r="G667" s="1">
        <v>215.0</v>
      </c>
      <c r="H667" s="1" t="s">
        <v>50</v>
      </c>
      <c r="I667" s="1">
        <v>56.0</v>
      </c>
      <c r="J667" s="1">
        <v>30.0</v>
      </c>
      <c r="K667" s="1">
        <v>30.0</v>
      </c>
      <c r="L667" s="1">
        <v>26.0</v>
      </c>
      <c r="M667" s="1">
        <v>26.0</v>
      </c>
      <c r="N667" s="1" t="s">
        <v>51</v>
      </c>
      <c r="O667" s="1">
        <v>45.0</v>
      </c>
      <c r="P667" s="1">
        <v>22.0</v>
      </c>
      <c r="Q667" s="1">
        <v>22.0</v>
      </c>
      <c r="R667" s="1">
        <v>23.0</v>
      </c>
      <c r="S667" s="1">
        <v>23.0</v>
      </c>
      <c r="T667" s="1" t="s">
        <v>52</v>
      </c>
      <c r="U667" s="1">
        <v>40.0</v>
      </c>
      <c r="V667" s="1">
        <v>16.0</v>
      </c>
      <c r="W667" s="1">
        <v>16.0</v>
      </c>
      <c r="X667" s="1">
        <v>24.0</v>
      </c>
      <c r="Y667" s="1">
        <v>24.0</v>
      </c>
      <c r="Z667" s="1" t="s">
        <v>53</v>
      </c>
      <c r="AA667" s="1">
        <v>44.0</v>
      </c>
      <c r="AB667" s="1">
        <v>23.0</v>
      </c>
      <c r="AC667" s="1">
        <v>23.0</v>
      </c>
      <c r="AD667" s="1">
        <v>21.0</v>
      </c>
      <c r="AE667" s="1">
        <v>21.0</v>
      </c>
      <c r="AF667" s="1" t="s">
        <v>54</v>
      </c>
      <c r="AG667" s="1">
        <v>29.0</v>
      </c>
      <c r="AH667" s="1">
        <v>19.0</v>
      </c>
      <c r="AI667" s="1">
        <v>19.0</v>
      </c>
      <c r="AJ667" s="1">
        <v>10.0</v>
      </c>
      <c r="AK667" s="1">
        <v>10.0</v>
      </c>
      <c r="AL667" s="1">
        <v>214.0</v>
      </c>
      <c r="AM667" s="1" t="s">
        <v>55</v>
      </c>
      <c r="AN667" s="1">
        <v>1.0</v>
      </c>
      <c r="AO667" s="1">
        <v>1.0</v>
      </c>
      <c r="AP667" s="1" t="s">
        <v>601</v>
      </c>
      <c r="AQ667" s="3" t="str">
        <f>HYPERLINK("https://icf.clappia.com/app/GMB253374/submission/RQJ26297181/ICF247370-GMB253374-5acd4blhba0k00000000/SIG-20250701_12258aejl.jpeg", "SIG-20250701_12258aejl.jpeg")</f>
        <v>SIG-20250701_12258aejl.jpeg</v>
      </c>
      <c r="AR667" s="1" t="s">
        <v>602</v>
      </c>
      <c r="AS667" s="3" t="str">
        <f>HYPERLINK("https://icf.clappia.com/app/GMB253374/submission/RQJ26297181/ICF247370-GMB253374-3lembmhj5a4k00000000/SIG-20250701_1226gc8c8.jpeg", "SIG-20250701_1226gc8c8.jpeg")</f>
        <v>SIG-20250701_1226gc8c8.jpeg</v>
      </c>
      <c r="AT667" s="1" t="s">
        <v>603</v>
      </c>
      <c r="AU667" s="3" t="str">
        <f>HYPERLINK("https://icf.clappia.com/app/GMB253374/submission/RQJ26297181/ICF247370-GMB253374-151an68g5gl8c0000000/SIG-20250701_1227lkjp1.jpeg", "SIG-20250701_1227lkjp1.jpeg")</f>
        <v>SIG-20250701_1227lkjp1.jpeg</v>
      </c>
      <c r="AV667" s="3" t="str">
        <f>HYPERLINK("https://www.google.com/maps/place/7.972875%2C-11.7596833", "7.972875,-11.7596833")</f>
        <v>7.972875,-11.7596833</v>
      </c>
    </row>
    <row r="668" ht="15.75" customHeight="1">
      <c r="A668" s="1" t="s">
        <v>3385</v>
      </c>
      <c r="B668" s="1" t="s">
        <v>690</v>
      </c>
      <c r="C668" s="1" t="s">
        <v>3386</v>
      </c>
      <c r="D668" s="1" t="s">
        <v>3386</v>
      </c>
      <c r="E668" s="1" t="s">
        <v>3387</v>
      </c>
      <c r="F668" s="1" t="s">
        <v>64</v>
      </c>
      <c r="G668" s="1">
        <v>200.0</v>
      </c>
      <c r="H668" s="1" t="s">
        <v>50</v>
      </c>
      <c r="I668" s="1">
        <v>23.0</v>
      </c>
      <c r="J668" s="1">
        <v>12.0</v>
      </c>
      <c r="K668" s="1">
        <v>12.0</v>
      </c>
      <c r="L668" s="1">
        <v>11.0</v>
      </c>
      <c r="M668" s="1">
        <v>11.0</v>
      </c>
      <c r="N668" s="1" t="s">
        <v>51</v>
      </c>
      <c r="O668" s="1">
        <v>39.0</v>
      </c>
      <c r="P668" s="1">
        <v>19.0</v>
      </c>
      <c r="Q668" s="1">
        <v>19.0</v>
      </c>
      <c r="R668" s="1">
        <v>20.0</v>
      </c>
      <c r="S668" s="1">
        <v>20.0</v>
      </c>
      <c r="T668" s="1" t="s">
        <v>52</v>
      </c>
      <c r="U668" s="1">
        <v>45.0</v>
      </c>
      <c r="V668" s="1">
        <v>25.0</v>
      </c>
      <c r="W668" s="1">
        <v>22.0</v>
      </c>
      <c r="X668" s="1">
        <v>20.0</v>
      </c>
      <c r="Y668" s="1">
        <v>18.0</v>
      </c>
      <c r="Z668" s="1" t="s">
        <v>53</v>
      </c>
      <c r="AA668" s="1">
        <v>33.0</v>
      </c>
      <c r="AB668" s="1">
        <v>19.0</v>
      </c>
      <c r="AC668" s="1">
        <v>19.0</v>
      </c>
      <c r="AD668" s="1">
        <v>14.0</v>
      </c>
      <c r="AE668" s="1">
        <v>12.0</v>
      </c>
      <c r="AF668" s="1" t="s">
        <v>54</v>
      </c>
      <c r="AG668" s="1">
        <v>34.0</v>
      </c>
      <c r="AH668" s="1">
        <v>15.0</v>
      </c>
      <c r="AI668" s="1">
        <v>15.0</v>
      </c>
      <c r="AJ668" s="1">
        <v>19.0</v>
      </c>
      <c r="AK668" s="1">
        <v>18.0</v>
      </c>
      <c r="AL668" s="1">
        <v>166.0</v>
      </c>
      <c r="AM668" s="1">
        <v>8.0</v>
      </c>
      <c r="AN668" s="1">
        <v>26.0</v>
      </c>
      <c r="AO668" s="1">
        <v>26.0</v>
      </c>
      <c r="AP668" s="1" t="s">
        <v>3388</v>
      </c>
      <c r="AQ668" s="3" t="str">
        <f>HYPERLINK("https://icf.clappia.com/app/GMB253374/submission/MWB46620715/ICF247370-GMB253374-10kfcf7lfbkk00000000/SIG-20250701_1223174ge5.jpeg", "SIG-20250701_1223174ge5.jpeg")</f>
        <v>SIG-20250701_1223174ge5.jpeg</v>
      </c>
      <c r="AR668" s="1" t="s">
        <v>3389</v>
      </c>
      <c r="AS668" s="3" t="str">
        <f>HYPERLINK("https://icf.clappia.com/app/GMB253374/submission/MWB46620715/ICF247370-GMB253374-4cbb2hagbcpg00000000/SIG-20250701_12247oi0e.jpeg", "SIG-20250701_12247oi0e.jpeg")</f>
        <v>SIG-20250701_12247oi0e.jpeg</v>
      </c>
      <c r="AT668" s="1" t="s">
        <v>3390</v>
      </c>
      <c r="AU668" s="3" t="str">
        <f>HYPERLINK("https://icf.clappia.com/app/GMB253374/submission/MWB46620715/ICF247370-GMB253374-48p6cinag5f800000000/SIG-20250701_122619m14l.jpeg", "SIG-20250701_122619m14l.jpeg")</f>
        <v>SIG-20250701_122619m14l.jpeg</v>
      </c>
      <c r="AV668" s="3" t="str">
        <f>HYPERLINK("https://www.google.com/maps/place/8.8448984%2C-12.0327378", "8.8448984,-12.0327378")</f>
        <v>8.8448984,-12.0327378</v>
      </c>
    </row>
    <row r="669" ht="15.75" customHeight="1">
      <c r="A669" s="1" t="s">
        <v>3391</v>
      </c>
      <c r="B669" s="1" t="s">
        <v>278</v>
      </c>
      <c r="C669" s="1" t="s">
        <v>3386</v>
      </c>
      <c r="D669" s="1" t="s">
        <v>3386</v>
      </c>
      <c r="E669" s="1" t="s">
        <v>3392</v>
      </c>
      <c r="F669" s="1" t="s">
        <v>64</v>
      </c>
      <c r="G669" s="1">
        <v>300.0</v>
      </c>
      <c r="H669" s="1" t="s">
        <v>50</v>
      </c>
      <c r="I669" s="1">
        <v>95.0</v>
      </c>
      <c r="J669" s="1">
        <v>45.0</v>
      </c>
      <c r="K669" s="1">
        <v>39.0</v>
      </c>
      <c r="L669" s="1">
        <v>50.0</v>
      </c>
      <c r="M669" s="1">
        <v>46.0</v>
      </c>
      <c r="N669" s="1" t="s">
        <v>51</v>
      </c>
      <c r="O669" s="1">
        <v>85.0</v>
      </c>
      <c r="P669" s="1">
        <v>45.0</v>
      </c>
      <c r="Q669" s="1">
        <v>45.0</v>
      </c>
      <c r="R669" s="1">
        <v>40.0</v>
      </c>
      <c r="S669" s="1">
        <v>40.0</v>
      </c>
      <c r="T669" s="1" t="s">
        <v>52</v>
      </c>
      <c r="U669" s="1">
        <v>80.0</v>
      </c>
      <c r="V669" s="1">
        <v>45.0</v>
      </c>
      <c r="W669" s="1">
        <v>27.0</v>
      </c>
      <c r="X669" s="1">
        <v>35.0</v>
      </c>
      <c r="Y669" s="1">
        <v>28.0</v>
      </c>
      <c r="Z669" s="1" t="s">
        <v>53</v>
      </c>
      <c r="AA669" s="1">
        <v>42.0</v>
      </c>
      <c r="AB669" s="1">
        <v>22.0</v>
      </c>
      <c r="AC669" s="1">
        <v>18.0</v>
      </c>
      <c r="AD669" s="1">
        <v>20.0</v>
      </c>
      <c r="AE669" s="1">
        <v>12.0</v>
      </c>
      <c r="AF669" s="1" t="s">
        <v>54</v>
      </c>
      <c r="AG669" s="1">
        <v>44.0</v>
      </c>
      <c r="AH669" s="1">
        <v>24.0</v>
      </c>
      <c r="AI669" s="1">
        <v>20.0</v>
      </c>
      <c r="AJ669" s="1">
        <v>20.0</v>
      </c>
      <c r="AK669" s="1">
        <v>15.0</v>
      </c>
      <c r="AL669" s="1">
        <v>290.0</v>
      </c>
      <c r="AM669" s="1">
        <v>10.0</v>
      </c>
      <c r="AN669" s="1" t="s">
        <v>55</v>
      </c>
      <c r="AO669" s="1" t="s">
        <v>55</v>
      </c>
      <c r="AP669" s="1" t="s">
        <v>2090</v>
      </c>
      <c r="AQ669" s="3" t="str">
        <f>HYPERLINK("https://icf.clappia.com/app/GMB253374/submission/MLN87060005/ICF247370-GMB253374-3p893k68no4m00000000/SIG-20250630_1212177bcp.jpeg", "SIG-20250630_1212177bcp.jpeg")</f>
        <v>SIG-20250630_1212177bcp.jpeg</v>
      </c>
      <c r="AR669" s="1" t="s">
        <v>2091</v>
      </c>
      <c r="AS669" s="3" t="str">
        <f>HYPERLINK("https://icf.clappia.com/app/GMB253374/submission/MLN87060005/ICF247370-GMB253374-1h6n0gf3hhhci0000000/SIG-20250701_1225i28o2.jpeg", "SIG-20250701_1225i28o2.jpeg")</f>
        <v>SIG-20250701_1225i28o2.jpeg</v>
      </c>
      <c r="AT669" s="1" t="s">
        <v>2092</v>
      </c>
      <c r="AU669" s="3" t="str">
        <f>HYPERLINK("https://icf.clappia.com/app/GMB253374/submission/MLN87060005/ICF247370-GMB253374-3oo7p3lg8bb400000000/SIG-20250701_1225g8060.jpeg", "SIG-20250701_1225g8060.jpeg")</f>
        <v>SIG-20250701_1225g8060.jpeg</v>
      </c>
      <c r="AV669" s="3" t="str">
        <f>HYPERLINK("https://www.google.com/maps/place/9.2948486%2C-12.2074136", "9.2948486,-12.2074136")</f>
        <v>9.2948486,-12.2074136</v>
      </c>
    </row>
    <row r="670" ht="15.75" customHeight="1">
      <c r="A670" s="1" t="s">
        <v>3393</v>
      </c>
      <c r="B670" s="1" t="s">
        <v>142</v>
      </c>
      <c r="C670" s="1" t="s">
        <v>3394</v>
      </c>
      <c r="D670" s="1" t="s">
        <v>3395</v>
      </c>
      <c r="E670" s="1" t="s">
        <v>3396</v>
      </c>
      <c r="F670" s="1" t="s">
        <v>64</v>
      </c>
      <c r="G670" s="1">
        <v>50.0</v>
      </c>
      <c r="H670" s="1" t="s">
        <v>50</v>
      </c>
      <c r="I670" s="1">
        <v>16.0</v>
      </c>
      <c r="J670" s="1">
        <v>8.0</v>
      </c>
      <c r="K670" s="1">
        <v>8.0</v>
      </c>
      <c r="L670" s="1">
        <v>8.0</v>
      </c>
      <c r="M670" s="1">
        <v>4.0</v>
      </c>
      <c r="N670" s="1" t="s">
        <v>51</v>
      </c>
      <c r="O670" s="1">
        <v>12.0</v>
      </c>
      <c r="P670" s="1">
        <v>6.0</v>
      </c>
      <c r="Q670" s="1">
        <v>6.0</v>
      </c>
      <c r="R670" s="1">
        <v>6.0</v>
      </c>
      <c r="S670" s="1">
        <v>5.0</v>
      </c>
      <c r="T670" s="1" t="s">
        <v>52</v>
      </c>
      <c r="U670" s="1">
        <v>10.0</v>
      </c>
      <c r="V670" s="1">
        <v>6.0</v>
      </c>
      <c r="W670" s="1">
        <v>5.0</v>
      </c>
      <c r="X670" s="1">
        <v>4.0</v>
      </c>
      <c r="Y670" s="1">
        <v>4.0</v>
      </c>
      <c r="Z670" s="1" t="s">
        <v>53</v>
      </c>
      <c r="AA670" s="1">
        <v>6.0</v>
      </c>
      <c r="AB670" s="1">
        <v>4.0</v>
      </c>
      <c r="AC670" s="1">
        <v>4.0</v>
      </c>
      <c r="AD670" s="1">
        <v>2.0</v>
      </c>
      <c r="AE670" s="1">
        <v>2.0</v>
      </c>
      <c r="AF670" s="1" t="s">
        <v>54</v>
      </c>
      <c r="AG670" s="1">
        <v>5.0</v>
      </c>
      <c r="AH670" s="1">
        <v>4.0</v>
      </c>
      <c r="AI670" s="1">
        <v>4.0</v>
      </c>
      <c r="AJ670" s="1">
        <v>1.0</v>
      </c>
      <c r="AK670" s="1">
        <v>1.0</v>
      </c>
      <c r="AL670" s="1">
        <v>43.0</v>
      </c>
      <c r="AM670" s="1">
        <v>6.0</v>
      </c>
      <c r="AN670" s="1">
        <v>1.0</v>
      </c>
      <c r="AO670" s="1">
        <v>1.0</v>
      </c>
      <c r="AP670" s="1" t="s">
        <v>3397</v>
      </c>
      <c r="AQ670" s="3" t="str">
        <f>HYPERLINK("https://icf.clappia.com/app/GMB253374/submission/JMZ54687032/ICF247370-GMB253374-4eg0o59l0kn200000000/SIG-20250701_113217nml5.jpeg", "SIG-20250701_113217nml5.jpeg")</f>
        <v>SIG-20250701_113217nml5.jpeg</v>
      </c>
      <c r="AR670" s="1" t="s">
        <v>3398</v>
      </c>
      <c r="AS670" s="3" t="str">
        <f>HYPERLINK("https://icf.clappia.com/app/GMB253374/submission/JMZ54687032/ICF247370-GMB253374-33aao9g8416m00000000/SIG-20250701_1132ed1e3.jpeg", "SIG-20250701_1132ed1e3.jpeg")</f>
        <v>SIG-20250701_1132ed1e3.jpeg</v>
      </c>
      <c r="AT670" s="1" t="s">
        <v>3399</v>
      </c>
      <c r="AU670" s="3" t="str">
        <f>HYPERLINK("https://icf.clappia.com/app/GMB253374/submission/JMZ54687032/ICF247370-GMB253374-3e2843amgh9600000000/SIG-20250701_113312mde6.jpeg", "SIG-20250701_113312mde6.jpeg")</f>
        <v>SIG-20250701_113312mde6.jpeg</v>
      </c>
      <c r="AV670" s="3" t="str">
        <f>HYPERLINK("https://www.google.com/maps/place/7.7209717%2C-12.03564", "7.7209717,-12.03564")</f>
        <v>7.7209717,-12.03564</v>
      </c>
    </row>
    <row r="671" ht="15.75" customHeight="1">
      <c r="A671" s="1" t="s">
        <v>3400</v>
      </c>
      <c r="B671" s="1" t="s">
        <v>248</v>
      </c>
      <c r="C671" s="1" t="s">
        <v>3401</v>
      </c>
      <c r="D671" s="1" t="s">
        <v>3401</v>
      </c>
      <c r="E671" s="1" t="s">
        <v>3402</v>
      </c>
      <c r="F671" s="1" t="s">
        <v>64</v>
      </c>
      <c r="G671" s="1">
        <v>217.0</v>
      </c>
      <c r="H671" s="1" t="s">
        <v>50</v>
      </c>
      <c r="I671" s="1">
        <v>129.0</v>
      </c>
      <c r="J671" s="1">
        <v>61.0</v>
      </c>
      <c r="K671" s="1">
        <v>22.0</v>
      </c>
      <c r="L671" s="1">
        <v>68.0</v>
      </c>
      <c r="M671" s="1">
        <v>32.0</v>
      </c>
      <c r="N671" s="1" t="s">
        <v>51</v>
      </c>
      <c r="O671" s="1">
        <v>40.0</v>
      </c>
      <c r="P671" s="1">
        <v>18.0</v>
      </c>
      <c r="Q671" s="1">
        <v>16.0</v>
      </c>
      <c r="R671" s="1">
        <v>22.0</v>
      </c>
      <c r="S671" s="1">
        <v>16.0</v>
      </c>
      <c r="T671" s="1" t="s">
        <v>52</v>
      </c>
      <c r="U671" s="1">
        <v>48.0</v>
      </c>
      <c r="V671" s="1">
        <v>22.0</v>
      </c>
      <c r="W671" s="1">
        <v>6.0</v>
      </c>
      <c r="X671" s="1">
        <v>26.0</v>
      </c>
      <c r="Y671" s="1">
        <v>8.0</v>
      </c>
      <c r="Z671" s="1" t="s">
        <v>53</v>
      </c>
      <c r="AA671" s="1">
        <v>36.0</v>
      </c>
      <c r="AB671" s="1">
        <v>19.0</v>
      </c>
      <c r="AC671" s="1">
        <v>16.0</v>
      </c>
      <c r="AD671" s="1">
        <v>17.0</v>
      </c>
      <c r="AE671" s="1">
        <v>7.0</v>
      </c>
      <c r="AF671" s="1" t="s">
        <v>54</v>
      </c>
      <c r="AG671" s="1">
        <v>51.0</v>
      </c>
      <c r="AH671" s="1">
        <v>22.0</v>
      </c>
      <c r="AI671" s="1">
        <v>11.0</v>
      </c>
      <c r="AJ671" s="1">
        <v>29.0</v>
      </c>
      <c r="AK671" s="1">
        <v>14.0</v>
      </c>
      <c r="AL671" s="1">
        <v>148.0</v>
      </c>
      <c r="AM671" s="1" t="s">
        <v>55</v>
      </c>
      <c r="AN671" s="1">
        <v>69.0</v>
      </c>
      <c r="AO671" s="1">
        <v>69.0</v>
      </c>
      <c r="AP671" s="1" t="s">
        <v>595</v>
      </c>
      <c r="AQ671" s="3" t="str">
        <f>HYPERLINK("https://icf.clappia.com/app/GMB253374/submission/LVA14535462/ICF247370-GMB253374-1mphb9kjidh4i0000000/SIG-20250701_1217n7l0g.jpeg", "SIG-20250701_1217n7l0g.jpeg")</f>
        <v>SIG-20250701_1217n7l0g.jpeg</v>
      </c>
      <c r="AR671" s="1" t="s">
        <v>596</v>
      </c>
      <c r="AS671" s="3" t="str">
        <f>HYPERLINK("https://icf.clappia.com/app/GMB253374/submission/LVA14535462/ICF247370-GMB253374-44j0mkaadobo00000000/SIG-20250701_1222c5521.jpeg", "SIG-20250701_1222c5521.jpeg")</f>
        <v>SIG-20250701_1222c5521.jpeg</v>
      </c>
      <c r="AT671" s="1" t="s">
        <v>597</v>
      </c>
      <c r="AU671" s="3" t="str">
        <f>HYPERLINK("https://icf.clappia.com/app/GMB253374/submission/LVA14535462/ICF247370-GMB253374-m11ifg4nnm8g0000000/SIG-20250701_1223pnamg.jpeg", "SIG-20250701_1223pnamg.jpeg")</f>
        <v>SIG-20250701_1223pnamg.jpeg</v>
      </c>
      <c r="AV671" s="3" t="str">
        <f>HYPERLINK("https://www.google.com/maps/place/7.9366162%2C-11.4912446", "7.9366162,-11.4912446")</f>
        <v>7.9366162,-11.4912446</v>
      </c>
    </row>
    <row r="672" ht="15.75" customHeight="1">
      <c r="A672" s="1" t="s">
        <v>3403</v>
      </c>
      <c r="B672" s="1" t="s">
        <v>349</v>
      </c>
      <c r="C672" s="1" t="s">
        <v>3404</v>
      </c>
      <c r="D672" s="1" t="s">
        <v>3404</v>
      </c>
      <c r="E672" s="1" t="s">
        <v>3405</v>
      </c>
      <c r="F672" s="1" t="s">
        <v>64</v>
      </c>
      <c r="G672" s="1">
        <v>350.0</v>
      </c>
      <c r="H672" s="1" t="s">
        <v>50</v>
      </c>
      <c r="I672" s="1">
        <v>114.0</v>
      </c>
      <c r="J672" s="1">
        <v>51.0</v>
      </c>
      <c r="K672" s="1">
        <v>49.0</v>
      </c>
      <c r="L672" s="1">
        <v>63.0</v>
      </c>
      <c r="M672" s="1">
        <v>59.0</v>
      </c>
      <c r="N672" s="1" t="s">
        <v>51</v>
      </c>
      <c r="O672" s="1">
        <v>43.0</v>
      </c>
      <c r="P672" s="1">
        <v>24.0</v>
      </c>
      <c r="Q672" s="1">
        <v>24.0</v>
      </c>
      <c r="R672" s="1">
        <v>19.0</v>
      </c>
      <c r="S672" s="1">
        <v>19.0</v>
      </c>
      <c r="T672" s="1" t="s">
        <v>52</v>
      </c>
      <c r="U672" s="1">
        <v>59.0</v>
      </c>
      <c r="V672" s="1">
        <v>25.0</v>
      </c>
      <c r="W672" s="1">
        <v>23.0</v>
      </c>
      <c r="X672" s="1">
        <v>34.0</v>
      </c>
      <c r="Y672" s="1">
        <v>33.0</v>
      </c>
      <c r="Z672" s="1" t="s">
        <v>53</v>
      </c>
      <c r="AA672" s="1">
        <v>80.0</v>
      </c>
      <c r="AB672" s="1">
        <v>46.0</v>
      </c>
      <c r="AC672" s="1">
        <v>46.0</v>
      </c>
      <c r="AD672" s="1">
        <v>34.0</v>
      </c>
      <c r="AE672" s="1">
        <v>34.0</v>
      </c>
      <c r="AF672" s="1" t="s">
        <v>54</v>
      </c>
      <c r="AG672" s="1">
        <v>57.0</v>
      </c>
      <c r="AH672" s="1">
        <v>33.0</v>
      </c>
      <c r="AI672" s="1">
        <v>33.0</v>
      </c>
      <c r="AJ672" s="1">
        <v>24.0</v>
      </c>
      <c r="AK672" s="1">
        <v>24.0</v>
      </c>
      <c r="AL672" s="1">
        <v>344.0</v>
      </c>
      <c r="AM672" s="1">
        <v>6.0</v>
      </c>
      <c r="AN672" s="1" t="s">
        <v>55</v>
      </c>
      <c r="AO672" s="1" t="s">
        <v>55</v>
      </c>
      <c r="AP672" s="1" t="s">
        <v>3406</v>
      </c>
      <c r="AQ672" s="3" t="str">
        <f>HYPERLINK("https://icf.clappia.com/app/GMB253374/submission/YPF30773700/ICF247370-GMB253374-3lhge5dj82c600000000/SIG-20250701_1218131464.jpeg", "SIG-20250701_1218131464.jpeg")</f>
        <v>SIG-20250701_1218131464.jpeg</v>
      </c>
      <c r="AR672" s="1" t="s">
        <v>3407</v>
      </c>
      <c r="AS672" s="3" t="str">
        <f>HYPERLINK("https://icf.clappia.com/app/GMB253374/submission/YPF30773700/ICF247370-GMB253374-4m5apj5l502o00000000/SIG-20250701_1219i419i.jpeg", "SIG-20250701_1219i419i.jpeg")</f>
        <v>SIG-20250701_1219i419i.jpeg</v>
      </c>
      <c r="AT672" s="1" t="s">
        <v>3408</v>
      </c>
      <c r="AU672" s="3" t="str">
        <f>HYPERLINK("https://icf.clappia.com/app/GMB253374/submission/YPF30773700/ICF247370-GMB253374-650ipegbpi0a00000000/SIG-20250701_1220ibh0i.jpeg", "SIG-20250701_1220ibh0i.jpeg")</f>
        <v>SIG-20250701_1220ibh0i.jpeg</v>
      </c>
      <c r="AV672" s="3" t="str">
        <f>HYPERLINK("https://www.google.com/maps/place/8.9515379%2C-11.9802828", "8.9515379,-11.9802828")</f>
        <v>8.9515379,-11.9802828</v>
      </c>
    </row>
    <row r="673" ht="15.75" customHeight="1">
      <c r="A673" s="1" t="s">
        <v>3409</v>
      </c>
      <c r="B673" s="1" t="s">
        <v>189</v>
      </c>
      <c r="C673" s="1" t="s">
        <v>3404</v>
      </c>
      <c r="D673" s="1" t="s">
        <v>3404</v>
      </c>
      <c r="E673" s="1" t="s">
        <v>3410</v>
      </c>
      <c r="F673" s="1" t="s">
        <v>49</v>
      </c>
      <c r="G673" s="1">
        <v>210.0</v>
      </c>
      <c r="H673" s="1" t="s">
        <v>50</v>
      </c>
      <c r="I673" s="1">
        <v>43.0</v>
      </c>
      <c r="J673" s="1">
        <v>21.0</v>
      </c>
      <c r="K673" s="1">
        <v>21.0</v>
      </c>
      <c r="L673" s="1">
        <v>22.0</v>
      </c>
      <c r="M673" s="1">
        <v>22.0</v>
      </c>
      <c r="N673" s="1" t="s">
        <v>51</v>
      </c>
      <c r="O673" s="1">
        <v>36.0</v>
      </c>
      <c r="P673" s="1">
        <v>16.0</v>
      </c>
      <c r="Q673" s="1">
        <v>16.0</v>
      </c>
      <c r="R673" s="1">
        <v>20.0</v>
      </c>
      <c r="S673" s="1">
        <v>20.0</v>
      </c>
      <c r="T673" s="1" t="s">
        <v>52</v>
      </c>
      <c r="U673" s="1">
        <v>43.0</v>
      </c>
      <c r="V673" s="1">
        <v>25.0</v>
      </c>
      <c r="W673" s="1">
        <v>25.0</v>
      </c>
      <c r="X673" s="1">
        <v>18.0</v>
      </c>
      <c r="Y673" s="1">
        <v>18.0</v>
      </c>
      <c r="Z673" s="1" t="s">
        <v>53</v>
      </c>
      <c r="AA673" s="1">
        <v>48.0</v>
      </c>
      <c r="AB673" s="1">
        <v>32.0</v>
      </c>
      <c r="AC673" s="1">
        <v>32.0</v>
      </c>
      <c r="AD673" s="1">
        <v>16.0</v>
      </c>
      <c r="AE673" s="1">
        <v>16.0</v>
      </c>
      <c r="AF673" s="1" t="s">
        <v>54</v>
      </c>
      <c r="AG673" s="1">
        <v>40.0</v>
      </c>
      <c r="AH673" s="1">
        <v>20.0</v>
      </c>
      <c r="AI673" s="1">
        <v>20.0</v>
      </c>
      <c r="AJ673" s="1">
        <v>20.0</v>
      </c>
      <c r="AK673" s="1">
        <v>20.0</v>
      </c>
      <c r="AL673" s="1">
        <v>210.0</v>
      </c>
      <c r="AM673" s="1" t="s">
        <v>55</v>
      </c>
      <c r="AN673" s="1" t="s">
        <v>55</v>
      </c>
      <c r="AO673" s="1" t="s">
        <v>55</v>
      </c>
      <c r="AP673" s="1" t="s">
        <v>3411</v>
      </c>
      <c r="AQ673" s="3" t="str">
        <f>HYPERLINK("https://icf.clappia.com/app/GMB253374/submission/OHI89224074/ICF247370-GMB253374-2nak16604fng0000000/SIG-20250701_1134195eai.jpeg", "SIG-20250701_1134195eai.jpeg")</f>
        <v>SIG-20250701_1134195eai.jpeg</v>
      </c>
      <c r="AR673" s="1" t="s">
        <v>3412</v>
      </c>
      <c r="AS673" s="3" t="str">
        <f>HYPERLINK("https://icf.clappia.com/app/GMB253374/submission/OHI89224074/ICF247370-GMB253374-51llbknig48400000000/SIG-20250701_11341ihlp.jpeg", "SIG-20250701_11341ihlp.jpeg")</f>
        <v>SIG-20250701_11341ihlp.jpeg</v>
      </c>
      <c r="AT673" s="1" t="s">
        <v>3413</v>
      </c>
      <c r="AU673" s="3" t="str">
        <f>HYPERLINK("https://icf.clappia.com/app/GMB253374/submission/OHI89224074/ICF247370-GMB253374-60ka7a02kc4a00000000/SIG-20250701_11371g837.jpeg", "SIG-20250701_11371g837.jpeg")</f>
        <v>SIG-20250701_11371g837.jpeg</v>
      </c>
      <c r="AV673" s="3" t="str">
        <f>HYPERLINK("https://www.google.com/maps/place/8.880407%2C-12.0351083", "8.880407,-12.0351083")</f>
        <v>8.880407,-12.0351083</v>
      </c>
    </row>
    <row r="674" ht="15.75" customHeight="1">
      <c r="A674" s="1" t="s">
        <v>3414</v>
      </c>
      <c r="B674" s="1" t="s">
        <v>167</v>
      </c>
      <c r="C674" s="1" t="s">
        <v>3415</v>
      </c>
      <c r="D674" s="1" t="s">
        <v>3415</v>
      </c>
      <c r="E674" s="1" t="s">
        <v>3416</v>
      </c>
      <c r="F674" s="1" t="s">
        <v>64</v>
      </c>
      <c r="G674" s="1">
        <v>283.0</v>
      </c>
      <c r="H674" s="1" t="s">
        <v>50</v>
      </c>
      <c r="I674" s="1">
        <v>25.0</v>
      </c>
      <c r="J674" s="1">
        <v>14.0</v>
      </c>
      <c r="K674" s="1">
        <v>14.0</v>
      </c>
      <c r="L674" s="1">
        <v>11.0</v>
      </c>
      <c r="M674" s="1">
        <v>11.0</v>
      </c>
      <c r="N674" s="1" t="s">
        <v>51</v>
      </c>
      <c r="O674" s="1">
        <v>19.0</v>
      </c>
      <c r="P674" s="1">
        <v>9.0</v>
      </c>
      <c r="Q674" s="1">
        <v>7.0</v>
      </c>
      <c r="R674" s="1">
        <v>10.0</v>
      </c>
      <c r="S674" s="1">
        <v>10.0</v>
      </c>
      <c r="T674" s="1" t="s">
        <v>52</v>
      </c>
      <c r="U674" s="1">
        <v>10.0</v>
      </c>
      <c r="V674" s="1">
        <v>5.0</v>
      </c>
      <c r="W674" s="1">
        <v>5.0</v>
      </c>
      <c r="X674" s="1">
        <v>5.0</v>
      </c>
      <c r="Y674" s="1">
        <v>5.0</v>
      </c>
      <c r="Z674" s="1" t="s">
        <v>53</v>
      </c>
      <c r="AA674" s="1">
        <v>9.0</v>
      </c>
      <c r="AB674" s="1">
        <v>6.0</v>
      </c>
      <c r="AC674" s="1">
        <v>6.0</v>
      </c>
      <c r="AD674" s="1">
        <v>3.0</v>
      </c>
      <c r="AE674" s="1">
        <v>3.0</v>
      </c>
      <c r="AF674" s="1" t="s">
        <v>54</v>
      </c>
      <c r="AG674" s="1">
        <v>11.0</v>
      </c>
      <c r="AH674" s="1">
        <v>6.0</v>
      </c>
      <c r="AI674" s="1">
        <v>4.0</v>
      </c>
      <c r="AJ674" s="1">
        <v>5.0</v>
      </c>
      <c r="AK674" s="1">
        <v>5.0</v>
      </c>
      <c r="AL674" s="1">
        <v>70.0</v>
      </c>
      <c r="AM674" s="1">
        <v>4.0</v>
      </c>
      <c r="AN674" s="1">
        <v>209.0</v>
      </c>
      <c r="AO674" s="1">
        <v>209.0</v>
      </c>
      <c r="AP674" s="1" t="s">
        <v>657</v>
      </c>
      <c r="AQ674" s="3" t="str">
        <f>HYPERLINK("https://icf.clappia.com/app/GMB253374/submission/MOL34097821/ICF247370-GMB253374-2f48f71l096c0000000/SIG-20250701_1136ncfka.jpeg", "SIG-20250701_1136ncfka.jpeg")</f>
        <v>SIG-20250701_1136ncfka.jpeg</v>
      </c>
      <c r="AR674" s="1" t="s">
        <v>1481</v>
      </c>
      <c r="AS674" s="3" t="str">
        <f>HYPERLINK("https://icf.clappia.com/app/GMB253374/submission/MOL34097821/ICF247370-GMB253374-3conh2mjgc8800000000/SIG-20250701_1138fjdhb.jpeg", "SIG-20250701_1138fjdhb.jpeg")</f>
        <v>SIG-20250701_1138fjdhb.jpeg</v>
      </c>
      <c r="AT674" s="1" t="s">
        <v>659</v>
      </c>
      <c r="AU674" s="3" t="str">
        <f>HYPERLINK("https://icf.clappia.com/app/GMB253374/submission/MOL34097821/ICF247370-GMB253374-278bed8n73olg0000000/SIG-20250701_1139oe4ol.jpeg", "SIG-20250701_1139oe4ol.jpeg")</f>
        <v>SIG-20250701_1139oe4ol.jpeg</v>
      </c>
      <c r="AV674" s="3" t="str">
        <f>HYPERLINK("https://www.google.com/maps/place/7.8857225%2C-11.9086001", "7.8857225,-11.9086001")</f>
        <v>7.8857225,-11.9086001</v>
      </c>
    </row>
    <row r="675" ht="15.75" customHeight="1">
      <c r="A675" s="1" t="s">
        <v>3417</v>
      </c>
      <c r="B675" s="1" t="s">
        <v>690</v>
      </c>
      <c r="C675" s="1" t="s">
        <v>3415</v>
      </c>
      <c r="D675" s="1" t="s">
        <v>3415</v>
      </c>
      <c r="E675" s="1" t="s">
        <v>3418</v>
      </c>
      <c r="F675" s="1" t="s">
        <v>64</v>
      </c>
      <c r="G675" s="1">
        <v>142.0</v>
      </c>
      <c r="H675" s="1" t="s">
        <v>50</v>
      </c>
      <c r="I675" s="1">
        <v>14.0</v>
      </c>
      <c r="J675" s="1">
        <v>6.0</v>
      </c>
      <c r="K675" s="1">
        <v>6.0</v>
      </c>
      <c r="L675" s="1">
        <v>8.0</v>
      </c>
      <c r="M675" s="1">
        <v>8.0</v>
      </c>
      <c r="N675" s="1" t="s">
        <v>51</v>
      </c>
      <c r="O675" s="1">
        <v>19.0</v>
      </c>
      <c r="P675" s="1">
        <v>10.0</v>
      </c>
      <c r="Q675" s="1">
        <v>8.0</v>
      </c>
      <c r="R675" s="1">
        <v>9.0</v>
      </c>
      <c r="S675" s="1">
        <v>7.0</v>
      </c>
      <c r="T675" s="1" t="s">
        <v>52</v>
      </c>
      <c r="U675" s="1">
        <v>11.0</v>
      </c>
      <c r="V675" s="1">
        <v>5.0</v>
      </c>
      <c r="W675" s="1">
        <v>5.0</v>
      </c>
      <c r="X675" s="1">
        <v>6.0</v>
      </c>
      <c r="Y675" s="1">
        <v>6.0</v>
      </c>
      <c r="Z675" s="1" t="s">
        <v>53</v>
      </c>
      <c r="AA675" s="1">
        <v>10.0</v>
      </c>
      <c r="AB675" s="1">
        <v>5.0</v>
      </c>
      <c r="AC675" s="1">
        <v>5.0</v>
      </c>
      <c r="AD675" s="1">
        <v>5.0</v>
      </c>
      <c r="AE675" s="1">
        <v>5.0</v>
      </c>
      <c r="AF675" s="1" t="s">
        <v>54</v>
      </c>
      <c r="AG675" s="1">
        <v>10.0</v>
      </c>
      <c r="AH675" s="1">
        <v>3.0</v>
      </c>
      <c r="AI675" s="1">
        <v>2.0</v>
      </c>
      <c r="AJ675" s="1">
        <v>7.0</v>
      </c>
      <c r="AK675" s="1">
        <v>6.0</v>
      </c>
      <c r="AL675" s="1">
        <v>58.0</v>
      </c>
      <c r="AM675" s="1">
        <v>6.0</v>
      </c>
      <c r="AN675" s="1">
        <v>78.0</v>
      </c>
      <c r="AO675" s="1">
        <v>78.0</v>
      </c>
      <c r="AP675" s="1" t="s">
        <v>3419</v>
      </c>
      <c r="AQ675" s="3" t="str">
        <f>HYPERLINK("https://icf.clappia.com/app/GMB253374/submission/LBR39242373/ICF247370-GMB253374-11g3nab92ii560000000/SIG-20250701_1125giln8.jpeg", "SIG-20250701_1125giln8.jpeg")</f>
        <v>SIG-20250701_1125giln8.jpeg</v>
      </c>
      <c r="AR675" s="1" t="s">
        <v>3420</v>
      </c>
      <c r="AS675" s="3" t="str">
        <f>HYPERLINK("https://icf.clappia.com/app/GMB253374/submission/LBR39242373/ICF247370-GMB253374-4h776l8ge2p000000000/SIG-20250701_11308i7hj.jpeg", "SIG-20250701_11308i7hj.jpeg")</f>
        <v>SIG-20250701_11308i7hj.jpeg</v>
      </c>
      <c r="AT675" s="1" t="s">
        <v>3421</v>
      </c>
      <c r="AU675" s="3" t="str">
        <f>HYPERLINK("https://icf.clappia.com/app/GMB253374/submission/LBR39242373/ICF247370-GMB253374-683fh8g60pog00000000/SIG-20250701_112929b2i.jpeg", "SIG-20250701_112929b2i.jpeg")</f>
        <v>SIG-20250701_112929b2i.jpeg</v>
      </c>
      <c r="AV675" s="3" t="str">
        <f>HYPERLINK("https://www.google.com/maps/place/8.8590984%2C-12.0537984", "8.8590984,-12.0537984")</f>
        <v>8.8590984,-12.0537984</v>
      </c>
    </row>
    <row r="676" ht="15.75" customHeight="1">
      <c r="A676" s="1" t="s">
        <v>3422</v>
      </c>
      <c r="B676" s="1" t="s">
        <v>167</v>
      </c>
      <c r="C676" s="1" t="s">
        <v>3415</v>
      </c>
      <c r="D676" s="1" t="s">
        <v>3415</v>
      </c>
      <c r="E676" s="1" t="s">
        <v>3423</v>
      </c>
      <c r="F676" s="1" t="s">
        <v>64</v>
      </c>
      <c r="G676" s="1">
        <v>255.0</v>
      </c>
      <c r="H676" s="1" t="s">
        <v>50</v>
      </c>
      <c r="I676" s="1">
        <v>61.0</v>
      </c>
      <c r="J676" s="1">
        <v>21.0</v>
      </c>
      <c r="K676" s="1">
        <v>20.0</v>
      </c>
      <c r="L676" s="1">
        <v>40.0</v>
      </c>
      <c r="M676" s="1">
        <v>30.0</v>
      </c>
      <c r="N676" s="1" t="s">
        <v>51</v>
      </c>
      <c r="O676" s="1">
        <v>49.0</v>
      </c>
      <c r="P676" s="1">
        <v>20.0</v>
      </c>
      <c r="Q676" s="1">
        <v>20.0</v>
      </c>
      <c r="R676" s="1">
        <v>29.0</v>
      </c>
      <c r="S676" s="1">
        <v>22.0</v>
      </c>
      <c r="T676" s="1" t="s">
        <v>52</v>
      </c>
      <c r="U676" s="1">
        <v>54.0</v>
      </c>
      <c r="V676" s="1">
        <v>24.0</v>
      </c>
      <c r="W676" s="1">
        <v>22.0</v>
      </c>
      <c r="X676" s="1">
        <v>30.0</v>
      </c>
      <c r="Y676" s="1">
        <v>22.0</v>
      </c>
      <c r="Z676" s="1" t="s">
        <v>53</v>
      </c>
      <c r="AA676" s="1">
        <v>44.0</v>
      </c>
      <c r="AB676" s="1">
        <v>15.0</v>
      </c>
      <c r="AC676" s="1">
        <v>13.0</v>
      </c>
      <c r="AD676" s="1">
        <v>29.0</v>
      </c>
      <c r="AE676" s="1">
        <v>25.0</v>
      </c>
      <c r="AF676" s="1" t="s">
        <v>54</v>
      </c>
      <c r="AG676" s="1">
        <v>47.0</v>
      </c>
      <c r="AH676" s="1">
        <v>19.0</v>
      </c>
      <c r="AI676" s="1">
        <v>17.0</v>
      </c>
      <c r="AJ676" s="1">
        <v>28.0</v>
      </c>
      <c r="AK676" s="1">
        <v>17.0</v>
      </c>
      <c r="AL676" s="1">
        <v>208.0</v>
      </c>
      <c r="AM676" s="1" t="s">
        <v>55</v>
      </c>
      <c r="AN676" s="1">
        <v>47.0</v>
      </c>
      <c r="AO676" s="1">
        <v>47.0</v>
      </c>
      <c r="AP676" s="1" t="s">
        <v>3424</v>
      </c>
      <c r="AQ676" s="3" t="str">
        <f>HYPERLINK("https://icf.clappia.com/app/GMB253374/submission/KJM16087526/ICF247370-GMB253374-3fje2hjdbimo00000000/SIG-20250701_12175odgm.jpeg", "SIG-20250701_12175odgm.jpeg")</f>
        <v>SIG-20250701_12175odgm.jpeg</v>
      </c>
      <c r="AR676" s="1" t="s">
        <v>3425</v>
      </c>
      <c r="AS676" s="3" t="str">
        <f>HYPERLINK("https://icf.clappia.com/app/GMB253374/submission/KJM16087526/ICF247370-GMB253374-68odlgpmpd0800000000/SIG-20250701_121017ij48.jpeg", "SIG-20250701_121017ij48.jpeg")</f>
        <v>SIG-20250701_121017ij48.jpeg</v>
      </c>
      <c r="AT676" s="1" t="s">
        <v>3426</v>
      </c>
      <c r="AU676" s="3" t="str">
        <f>HYPERLINK("https://icf.clappia.com/app/GMB253374/submission/KJM16087526/ICF247370-GMB253374-64gmmpdm5cfm00000000/SIG-20250701_1211131ea5.jpeg", "SIG-20250701_1211131ea5.jpeg")</f>
        <v>SIG-20250701_1211131ea5.jpeg</v>
      </c>
      <c r="AV676" s="3" t="str">
        <f>HYPERLINK("https://www.google.com/maps/place/7.948505%2C-11.7700583", "7.948505,-11.7700583")</f>
        <v>7.948505,-11.7700583</v>
      </c>
    </row>
    <row r="677" ht="15.75" customHeight="1">
      <c r="A677" s="1" t="s">
        <v>3427</v>
      </c>
      <c r="B677" s="1" t="s">
        <v>349</v>
      </c>
      <c r="C677" s="1" t="s">
        <v>3428</v>
      </c>
      <c r="D677" s="1" t="s">
        <v>3428</v>
      </c>
      <c r="E677" s="1" t="s">
        <v>3429</v>
      </c>
      <c r="F677" s="1" t="s">
        <v>64</v>
      </c>
      <c r="G677" s="1">
        <v>300.0</v>
      </c>
      <c r="H677" s="1" t="s">
        <v>50</v>
      </c>
      <c r="I677" s="1">
        <v>81.0</v>
      </c>
      <c r="J677" s="1">
        <v>47.0</v>
      </c>
      <c r="K677" s="1">
        <v>45.0</v>
      </c>
      <c r="L677" s="1">
        <v>34.0</v>
      </c>
      <c r="M677" s="1">
        <v>30.0</v>
      </c>
      <c r="N677" s="1" t="s">
        <v>51</v>
      </c>
      <c r="O677" s="1">
        <v>53.0</v>
      </c>
      <c r="P677" s="1">
        <v>33.0</v>
      </c>
      <c r="Q677" s="1">
        <v>29.0</v>
      </c>
      <c r="R677" s="1">
        <v>20.0</v>
      </c>
      <c r="S677" s="1">
        <v>18.0</v>
      </c>
      <c r="T677" s="1" t="s">
        <v>52</v>
      </c>
      <c r="U677" s="1">
        <v>52.0</v>
      </c>
      <c r="V677" s="1">
        <v>20.0</v>
      </c>
      <c r="W677" s="1">
        <v>20.0</v>
      </c>
      <c r="X677" s="1">
        <v>32.0</v>
      </c>
      <c r="Y677" s="1">
        <v>32.0</v>
      </c>
      <c r="Z677" s="1" t="s">
        <v>53</v>
      </c>
      <c r="AA677" s="1">
        <v>72.0</v>
      </c>
      <c r="AB677" s="1">
        <v>32.0</v>
      </c>
      <c r="AC677" s="1">
        <v>30.0</v>
      </c>
      <c r="AD677" s="1">
        <v>40.0</v>
      </c>
      <c r="AE677" s="1">
        <v>32.0</v>
      </c>
      <c r="AF677" s="1" t="s">
        <v>54</v>
      </c>
      <c r="AG677" s="1">
        <v>35.0</v>
      </c>
      <c r="AH677" s="1">
        <v>21.0</v>
      </c>
      <c r="AI677" s="1">
        <v>19.0</v>
      </c>
      <c r="AJ677" s="1">
        <v>14.0</v>
      </c>
      <c r="AK677" s="1">
        <v>14.0</v>
      </c>
      <c r="AL677" s="1">
        <v>269.0</v>
      </c>
      <c r="AM677" s="1" t="s">
        <v>55</v>
      </c>
      <c r="AN677" s="1">
        <v>31.0</v>
      </c>
      <c r="AO677" s="1">
        <v>31.0</v>
      </c>
      <c r="AP677" s="1" t="s">
        <v>352</v>
      </c>
      <c r="AQ677" s="3" t="str">
        <f>HYPERLINK("https://icf.clappia.com/app/GMB253374/submission/UTC91475196/ICF247370-GMB253374-421chin4jfic00000000/SIG-20250701_1216117c17.jpeg", "SIG-20250701_1216117c17.jpeg")</f>
        <v>SIG-20250701_1216117c17.jpeg</v>
      </c>
      <c r="AR677" s="1" t="s">
        <v>353</v>
      </c>
      <c r="AS677" s="3" t="str">
        <f>HYPERLINK("https://icf.clappia.com/app/GMB253374/submission/UTC91475196/ICF247370-GMB253374-3h06h6l1p5mg0000000/SIG-20250701_1216h91cn.jpeg", "SIG-20250701_1216h91cn.jpeg")</f>
        <v>SIG-20250701_1216h91cn.jpeg</v>
      </c>
      <c r="AT677" s="1" t="s">
        <v>3430</v>
      </c>
      <c r="AU677" s="3" t="str">
        <f>HYPERLINK("https://icf.clappia.com/app/GMB253374/submission/UTC91475196/ICF247370-GMB253374-5m8gj602oaek00000000/SIG-20250701_1217og9bj.jpeg", "SIG-20250701_1217og9bj.jpeg")</f>
        <v>SIG-20250701_1217og9bj.jpeg</v>
      </c>
      <c r="AV677" s="3" t="str">
        <f>HYPERLINK("https://www.google.com/maps/place/8.9624713%2C-12.0316971", "8.9624713,-12.0316971")</f>
        <v>8.9624713,-12.0316971</v>
      </c>
    </row>
    <row r="678" ht="15.75" customHeight="1">
      <c r="A678" s="1" t="s">
        <v>3431</v>
      </c>
      <c r="B678" s="1" t="s">
        <v>536</v>
      </c>
      <c r="C678" s="1" t="s">
        <v>3432</v>
      </c>
      <c r="D678" s="1" t="s">
        <v>3432</v>
      </c>
      <c r="E678" s="1" t="s">
        <v>3433</v>
      </c>
      <c r="F678" s="1" t="s">
        <v>64</v>
      </c>
      <c r="G678" s="1">
        <v>225.0</v>
      </c>
      <c r="H678" s="1" t="s">
        <v>50</v>
      </c>
      <c r="I678" s="1">
        <v>75.0</v>
      </c>
      <c r="J678" s="1">
        <v>35.0</v>
      </c>
      <c r="K678" s="1">
        <v>34.0</v>
      </c>
      <c r="L678" s="1">
        <v>40.0</v>
      </c>
      <c r="M678" s="1">
        <v>39.0</v>
      </c>
      <c r="N678" s="1" t="s">
        <v>51</v>
      </c>
      <c r="O678" s="1">
        <v>75.0</v>
      </c>
      <c r="P678" s="1">
        <v>37.0</v>
      </c>
      <c r="Q678" s="1">
        <v>37.0</v>
      </c>
      <c r="R678" s="1">
        <v>38.0</v>
      </c>
      <c r="S678" s="1">
        <v>38.0</v>
      </c>
      <c r="T678" s="1" t="s">
        <v>52</v>
      </c>
      <c r="U678" s="1">
        <v>67.0</v>
      </c>
      <c r="V678" s="1">
        <v>32.0</v>
      </c>
      <c r="W678" s="1">
        <v>31.0</v>
      </c>
      <c r="X678" s="1">
        <v>35.0</v>
      </c>
      <c r="Y678" s="1">
        <v>33.0</v>
      </c>
      <c r="Z678" s="1" t="s">
        <v>53</v>
      </c>
      <c r="AA678" s="1" t="s">
        <v>55</v>
      </c>
      <c r="AB678" s="1" t="s">
        <v>55</v>
      </c>
      <c r="AC678" s="1" t="s">
        <v>55</v>
      </c>
      <c r="AD678" s="1" t="s">
        <v>55</v>
      </c>
      <c r="AE678" s="1" t="s">
        <v>55</v>
      </c>
      <c r="AF678" s="1" t="s">
        <v>54</v>
      </c>
      <c r="AG678" s="1" t="s">
        <v>55</v>
      </c>
      <c r="AH678" s="1" t="s">
        <v>55</v>
      </c>
      <c r="AI678" s="1" t="s">
        <v>55</v>
      </c>
      <c r="AJ678" s="1" t="s">
        <v>55</v>
      </c>
      <c r="AK678" s="1" t="s">
        <v>55</v>
      </c>
      <c r="AL678" s="1">
        <v>212.0</v>
      </c>
      <c r="AM678" s="1">
        <v>10.0</v>
      </c>
      <c r="AN678" s="1">
        <v>3.0</v>
      </c>
      <c r="AO678" s="1">
        <v>3.0</v>
      </c>
      <c r="AP678" s="1" t="s">
        <v>3434</v>
      </c>
      <c r="AQ678" s="3" t="str">
        <f>HYPERLINK("https://icf.clappia.com/app/GMB253374/submission/HJO31611328/ICF247370-GMB253374-5b5ji1kfol9200000000/SIG-20250630_1141acgac.jpeg", "SIG-20250630_1141acgac.jpeg")</f>
        <v>SIG-20250630_1141acgac.jpeg</v>
      </c>
      <c r="AR678" s="1" t="s">
        <v>765</v>
      </c>
      <c r="AS678" s="3" t="str">
        <f>HYPERLINK("https://icf.clappia.com/app/GMB253374/submission/HJO31611328/ICF247370-GMB253374-4phlg9gdc28200000000/SIG-20250630_114213jl2l.jpeg", "SIG-20250630_114213jl2l.jpeg")</f>
        <v>SIG-20250630_114213jl2l.jpeg</v>
      </c>
      <c r="AT678" s="1" t="s">
        <v>3435</v>
      </c>
      <c r="AU678" s="3" t="str">
        <f>HYPERLINK("https://icf.clappia.com/app/GMB253374/submission/HJO31611328/ICF247370-GMB253374-19i6gj9om9e000000000/SIG-20250630_1144l57ma.jpeg", "SIG-20250630_1144l57ma.jpeg")</f>
        <v>SIG-20250630_1144l57ma.jpeg</v>
      </c>
      <c r="AV678" s="3" t="str">
        <f>HYPERLINK("https://www.google.com/maps/place/9.1821417%2C-12.1598333", "9.1821417,-12.1598333")</f>
        <v>9.1821417,-12.1598333</v>
      </c>
    </row>
    <row r="679" ht="15.75" customHeight="1">
      <c r="A679" s="1" t="s">
        <v>3436</v>
      </c>
      <c r="B679" s="1" t="s">
        <v>189</v>
      </c>
      <c r="C679" s="1" t="s">
        <v>3432</v>
      </c>
      <c r="D679" s="1" t="s">
        <v>3432</v>
      </c>
      <c r="E679" s="1" t="s">
        <v>3437</v>
      </c>
      <c r="F679" s="1" t="s">
        <v>64</v>
      </c>
      <c r="G679" s="1">
        <v>500.0</v>
      </c>
      <c r="H679" s="1" t="s">
        <v>50</v>
      </c>
      <c r="I679" s="1">
        <v>99.0</v>
      </c>
      <c r="J679" s="1">
        <v>49.0</v>
      </c>
      <c r="K679" s="1">
        <v>49.0</v>
      </c>
      <c r="L679" s="1">
        <v>40.0</v>
      </c>
      <c r="M679" s="1">
        <v>40.0</v>
      </c>
      <c r="N679" s="1" t="s">
        <v>51</v>
      </c>
      <c r="O679" s="1">
        <v>132.0</v>
      </c>
      <c r="P679" s="1">
        <v>80.0</v>
      </c>
      <c r="Q679" s="1">
        <v>80.0</v>
      </c>
      <c r="R679" s="1">
        <v>52.0</v>
      </c>
      <c r="S679" s="1">
        <v>52.0</v>
      </c>
      <c r="T679" s="1" t="s">
        <v>52</v>
      </c>
      <c r="U679" s="1">
        <v>94.0</v>
      </c>
      <c r="V679" s="1">
        <v>43.0</v>
      </c>
      <c r="W679" s="1">
        <v>43.0</v>
      </c>
      <c r="X679" s="1">
        <v>51.0</v>
      </c>
      <c r="Y679" s="1">
        <v>51.0</v>
      </c>
      <c r="Z679" s="1" t="s">
        <v>53</v>
      </c>
      <c r="AA679" s="1">
        <v>97.0</v>
      </c>
      <c r="AB679" s="1">
        <v>48.0</v>
      </c>
      <c r="AC679" s="1">
        <v>48.0</v>
      </c>
      <c r="AD679" s="1">
        <v>49.0</v>
      </c>
      <c r="AE679" s="1">
        <v>49.0</v>
      </c>
      <c r="AF679" s="1" t="s">
        <v>54</v>
      </c>
      <c r="AG679" s="1">
        <v>46.0</v>
      </c>
      <c r="AH679" s="1">
        <v>24.0</v>
      </c>
      <c r="AI679" s="1">
        <v>24.0</v>
      </c>
      <c r="AJ679" s="1">
        <v>22.0</v>
      </c>
      <c r="AK679" s="1">
        <v>22.0</v>
      </c>
      <c r="AL679" s="1">
        <v>458.0</v>
      </c>
      <c r="AM679" s="1" t="s">
        <v>55</v>
      </c>
      <c r="AN679" s="1">
        <v>42.0</v>
      </c>
      <c r="AO679" s="1">
        <v>42.0</v>
      </c>
      <c r="AP679" s="1" t="s">
        <v>1928</v>
      </c>
      <c r="AQ679" s="3" t="str">
        <f>HYPERLINK("https://icf.clappia.com/app/GMB253374/submission/FAB73458005/ICF247370-GMB253374-3gmji8e7419600000000/SIG-20250701_121417l4mp.jpeg", "SIG-20250701_121417l4mp.jpeg")</f>
        <v>SIG-20250701_121417l4mp.jpeg</v>
      </c>
      <c r="AR679" s="1" t="s">
        <v>1929</v>
      </c>
      <c r="AS679" s="3" t="str">
        <f>HYPERLINK("https://icf.clappia.com/app/GMB253374/submission/FAB73458005/ICF247370-GMB253374-1j847ke2gob4c0000000/SIG-20250701_12154cb1b.jpeg", "SIG-20250701_12154cb1b.jpeg")</f>
        <v>SIG-20250701_12154cb1b.jpeg</v>
      </c>
      <c r="AT679" s="1" t="s">
        <v>1930</v>
      </c>
      <c r="AU679" s="3" t="str">
        <f>HYPERLINK("https://icf.clappia.com/app/GMB253374/submission/FAB73458005/ICF247370-GMB253374-4158kik7328400000000/SIG-20250701_1215akca.jpeg", "SIG-20250701_1215akca.jpeg")</f>
        <v>SIG-20250701_1215akca.jpeg</v>
      </c>
      <c r="AV679" s="3" t="str">
        <f>HYPERLINK("https://www.google.com/maps/place/8.8571488%2C-12.024557", "8.8571488,-12.024557")</f>
        <v>8.8571488,-12.024557</v>
      </c>
    </row>
    <row r="680" ht="15.75" customHeight="1">
      <c r="A680" s="1" t="s">
        <v>3438</v>
      </c>
      <c r="B680" s="1" t="s">
        <v>81</v>
      </c>
      <c r="C680" s="1" t="s">
        <v>3439</v>
      </c>
      <c r="D680" s="1" t="s">
        <v>3439</v>
      </c>
      <c r="E680" s="1" t="s">
        <v>3440</v>
      </c>
      <c r="F680" s="1" t="s">
        <v>49</v>
      </c>
      <c r="G680" s="1">
        <v>170.0</v>
      </c>
      <c r="H680" s="1" t="s">
        <v>50</v>
      </c>
      <c r="I680" s="1">
        <v>40.0</v>
      </c>
      <c r="J680" s="1">
        <v>15.0</v>
      </c>
      <c r="K680" s="1">
        <v>15.0</v>
      </c>
      <c r="L680" s="1">
        <v>25.0</v>
      </c>
      <c r="M680" s="1">
        <v>25.0</v>
      </c>
      <c r="N680" s="1" t="s">
        <v>51</v>
      </c>
      <c r="O680" s="1">
        <v>35.0</v>
      </c>
      <c r="P680" s="1">
        <v>15.0</v>
      </c>
      <c r="Q680" s="1">
        <v>15.0</v>
      </c>
      <c r="R680" s="1">
        <v>20.0</v>
      </c>
      <c r="S680" s="1">
        <v>20.0</v>
      </c>
      <c r="T680" s="1" t="s">
        <v>52</v>
      </c>
      <c r="U680" s="1">
        <v>38.0</v>
      </c>
      <c r="V680" s="1">
        <v>20.0</v>
      </c>
      <c r="W680" s="1">
        <v>20.0</v>
      </c>
      <c r="X680" s="1">
        <v>18.0</v>
      </c>
      <c r="Y680" s="1">
        <v>18.0</v>
      </c>
      <c r="Z680" s="1" t="s">
        <v>53</v>
      </c>
      <c r="AA680" s="1">
        <v>27.0</v>
      </c>
      <c r="AB680" s="1">
        <v>7.0</v>
      </c>
      <c r="AC680" s="1">
        <v>7.0</v>
      </c>
      <c r="AD680" s="1">
        <v>20.0</v>
      </c>
      <c r="AE680" s="1">
        <v>20.0</v>
      </c>
      <c r="AF680" s="1" t="s">
        <v>54</v>
      </c>
      <c r="AG680" s="1" t="s">
        <v>55</v>
      </c>
      <c r="AH680" s="1" t="s">
        <v>55</v>
      </c>
      <c r="AI680" s="1" t="s">
        <v>55</v>
      </c>
      <c r="AJ680" s="1" t="s">
        <v>55</v>
      </c>
      <c r="AK680" s="1" t="s">
        <v>55</v>
      </c>
      <c r="AL680" s="1">
        <v>140.0</v>
      </c>
      <c r="AM680" s="1" t="s">
        <v>55</v>
      </c>
      <c r="AN680" s="1">
        <v>30.0</v>
      </c>
      <c r="AO680" s="1">
        <v>30.0</v>
      </c>
      <c r="AP680" s="1" t="s">
        <v>3441</v>
      </c>
      <c r="AQ680" s="3" t="str">
        <f>HYPERLINK("https://icf.clappia.com/app/GMB253374/submission/MCK00101079/ICF247370-GMB253374-5p7n746h064i00000000/SIG-20250701_120713o49g.jpeg", "SIG-20250701_120713o49g.jpeg")</f>
        <v>SIG-20250701_120713o49g.jpeg</v>
      </c>
      <c r="AR680" s="1" t="s">
        <v>3442</v>
      </c>
      <c r="AS680" s="3" t="str">
        <f>HYPERLINK("https://icf.clappia.com/app/GMB253374/submission/MCK00101079/ICF247370-GMB253374-h09mpp3b74co0000000/SIG-20250701_12099g0id.jpeg", "SIG-20250701_12099g0id.jpeg")</f>
        <v>SIG-20250701_12099g0id.jpeg</v>
      </c>
      <c r="AT680" s="1" t="s">
        <v>3443</v>
      </c>
      <c r="AU680" s="3" t="str">
        <f>HYPERLINK("https://icf.clappia.com/app/GMB253374/submission/MCK00101079/ICF247370-GMB253374-mnd16o5na9p80000000/SIG-20250701_1209m2cg6.jpeg", "SIG-20250701_1209m2cg6.jpeg")</f>
        <v>SIG-20250701_1209m2cg6.jpeg</v>
      </c>
      <c r="AV680" s="3" t="str">
        <f>HYPERLINK("https://www.google.com/maps/place/7.9376617%2C-11.7444283", "7.9376617,-11.7444283")</f>
        <v>7.9376617,-11.7444283</v>
      </c>
    </row>
    <row r="681" ht="15.75" customHeight="1">
      <c r="A681" s="1" t="s">
        <v>3444</v>
      </c>
      <c r="B681" s="1" t="s">
        <v>189</v>
      </c>
      <c r="C681" s="1" t="s">
        <v>3445</v>
      </c>
      <c r="D681" s="1" t="s">
        <v>3445</v>
      </c>
      <c r="E681" s="1" t="s">
        <v>3446</v>
      </c>
      <c r="F681" s="1" t="s">
        <v>64</v>
      </c>
      <c r="G681" s="1">
        <v>600.0</v>
      </c>
      <c r="H681" s="1" t="s">
        <v>50</v>
      </c>
      <c r="I681" s="1">
        <v>154.0</v>
      </c>
      <c r="J681" s="1">
        <v>70.0</v>
      </c>
      <c r="K681" s="1">
        <v>52.0</v>
      </c>
      <c r="L681" s="1">
        <v>84.0</v>
      </c>
      <c r="M681" s="1">
        <v>66.0</v>
      </c>
      <c r="N681" s="1" t="s">
        <v>51</v>
      </c>
      <c r="O681" s="1">
        <v>173.0</v>
      </c>
      <c r="P681" s="1">
        <v>72.0</v>
      </c>
      <c r="Q681" s="1">
        <v>44.0</v>
      </c>
      <c r="R681" s="1">
        <v>101.0</v>
      </c>
      <c r="S681" s="1">
        <v>67.0</v>
      </c>
      <c r="T681" s="1" t="s">
        <v>52</v>
      </c>
      <c r="U681" s="1">
        <v>188.0</v>
      </c>
      <c r="V681" s="1">
        <v>80.0</v>
      </c>
      <c r="W681" s="1">
        <v>46.0</v>
      </c>
      <c r="X681" s="1">
        <v>108.0</v>
      </c>
      <c r="Y681" s="1">
        <v>70.0</v>
      </c>
      <c r="Z681" s="1" t="s">
        <v>53</v>
      </c>
      <c r="AA681" s="1">
        <v>129.0</v>
      </c>
      <c r="AB681" s="1">
        <v>58.0</v>
      </c>
      <c r="AC681" s="1">
        <v>55.0</v>
      </c>
      <c r="AD681" s="1">
        <v>71.0</v>
      </c>
      <c r="AE681" s="1">
        <v>65.0</v>
      </c>
      <c r="AF681" s="1" t="s">
        <v>54</v>
      </c>
      <c r="AG681" s="1">
        <v>137.0</v>
      </c>
      <c r="AH681" s="1">
        <v>70.0</v>
      </c>
      <c r="AI681" s="1">
        <v>68.0</v>
      </c>
      <c r="AJ681" s="1">
        <v>67.0</v>
      </c>
      <c r="AK681" s="1">
        <v>67.0</v>
      </c>
      <c r="AL681" s="1">
        <v>600.0</v>
      </c>
      <c r="AM681" s="1" t="s">
        <v>55</v>
      </c>
      <c r="AN681" s="1" t="s">
        <v>55</v>
      </c>
      <c r="AO681" s="1" t="s">
        <v>55</v>
      </c>
      <c r="AP681" s="1" t="s">
        <v>1552</v>
      </c>
      <c r="AQ681" s="3" t="str">
        <f>HYPERLINK("https://icf.clappia.com/app/GMB253374/submission/LAY51246061/ICF247370-GMB253374-nfgmnj8om3do0000000/SIG-20250701_1211lodd4.jpeg", "SIG-20250701_1211lodd4.jpeg")</f>
        <v>SIG-20250701_1211lodd4.jpeg</v>
      </c>
      <c r="AR681" s="1" t="s">
        <v>3447</v>
      </c>
      <c r="AS681" s="3" t="str">
        <f>HYPERLINK("https://icf.clappia.com/app/GMB253374/submission/LAY51246061/ICF247370-GMB253374-5nloj6ekem3m00000000/SIG-20250701_1211l9l4i.jpeg", "SIG-20250701_1211l9l4i.jpeg")</f>
        <v>SIG-20250701_1211l9l4i.jpeg</v>
      </c>
      <c r="AT681" s="1" t="s">
        <v>1553</v>
      </c>
      <c r="AU681" s="3" t="str">
        <f>HYPERLINK("https://icf.clappia.com/app/GMB253374/submission/LAY51246061/ICF247370-GMB253374-2obcp96f5hgc00000000/SIG-20250701_121211lmp1.jpeg", "SIG-20250701_121211lmp1.jpeg")</f>
        <v>SIG-20250701_121211lmp1.jpeg</v>
      </c>
      <c r="AV681" s="3" t="str">
        <f>HYPERLINK("https://www.google.com/maps/place/8.8947658%2C-12.0395", "8.8947658,-12.0395")</f>
        <v>8.8947658,-12.0395</v>
      </c>
    </row>
    <row r="682" ht="15.75" customHeight="1">
      <c r="A682" s="1" t="s">
        <v>3448</v>
      </c>
      <c r="B682" s="1" t="s">
        <v>580</v>
      </c>
      <c r="C682" s="1" t="s">
        <v>3449</v>
      </c>
      <c r="D682" s="1" t="s">
        <v>3449</v>
      </c>
      <c r="E682" s="1" t="s">
        <v>3450</v>
      </c>
      <c r="F682" s="1" t="s">
        <v>64</v>
      </c>
      <c r="G682" s="1">
        <v>200.0</v>
      </c>
      <c r="H682" s="1" t="s">
        <v>50</v>
      </c>
      <c r="I682" s="1">
        <v>96.0</v>
      </c>
      <c r="J682" s="1">
        <v>53.0</v>
      </c>
      <c r="K682" s="1">
        <v>51.0</v>
      </c>
      <c r="L682" s="1">
        <v>43.0</v>
      </c>
      <c r="M682" s="1">
        <v>41.0</v>
      </c>
      <c r="N682" s="1" t="s">
        <v>51</v>
      </c>
      <c r="O682" s="1">
        <v>75.0</v>
      </c>
      <c r="P682" s="1">
        <v>33.0</v>
      </c>
      <c r="Q682" s="1">
        <v>31.0</v>
      </c>
      <c r="R682" s="1">
        <v>42.0</v>
      </c>
      <c r="S682" s="1">
        <v>40.0</v>
      </c>
      <c r="T682" s="1" t="s">
        <v>52</v>
      </c>
      <c r="U682" s="1">
        <v>69.0</v>
      </c>
      <c r="V682" s="1">
        <v>30.0</v>
      </c>
      <c r="W682" s="1" t="s">
        <v>55</v>
      </c>
      <c r="X682" s="1">
        <v>39.0</v>
      </c>
      <c r="Y682" s="1" t="s">
        <v>55</v>
      </c>
      <c r="Z682" s="1" t="s">
        <v>53</v>
      </c>
      <c r="AA682" s="1">
        <v>97.0</v>
      </c>
      <c r="AB682" s="1">
        <v>44.0</v>
      </c>
      <c r="AC682" s="1" t="s">
        <v>55</v>
      </c>
      <c r="AD682" s="1">
        <v>53.0</v>
      </c>
      <c r="AE682" s="1" t="s">
        <v>55</v>
      </c>
      <c r="AF682" s="1" t="s">
        <v>54</v>
      </c>
      <c r="AG682" s="1">
        <v>62.0</v>
      </c>
      <c r="AH682" s="1">
        <v>31.0</v>
      </c>
      <c r="AI682" s="1" t="s">
        <v>55</v>
      </c>
      <c r="AJ682" s="1">
        <v>31.0</v>
      </c>
      <c r="AK682" s="1" t="s">
        <v>55</v>
      </c>
      <c r="AL682" s="1">
        <v>163.0</v>
      </c>
      <c r="AM682" s="1" t="s">
        <v>55</v>
      </c>
      <c r="AN682" s="1">
        <v>37.0</v>
      </c>
      <c r="AO682" s="1" t="s">
        <v>55</v>
      </c>
      <c r="AP682" s="1" t="s">
        <v>3451</v>
      </c>
      <c r="AQ682" s="3" t="str">
        <f>HYPERLINK("https://icf.clappia.com/app/GMB253374/submission/YTR99848746/ICF247370-GMB253374-2c8mg7ahia2i00000000/SIG-20250701_1133bn163.jpeg", "SIG-20250701_1133bn163.jpeg")</f>
        <v>SIG-20250701_1133bn163.jpeg</v>
      </c>
      <c r="AR682" s="1" t="s">
        <v>3452</v>
      </c>
      <c r="AS682" s="3" t="str">
        <f>HYPERLINK("https://icf.clappia.com/app/GMB253374/submission/YTR99848746/ICF247370-GMB253374-3hb7mhi8oddm00000000/SIG-20250701_120912l5c.jpeg", "SIG-20250701_120912l5c.jpeg")</f>
        <v>SIG-20250701_120912l5c.jpeg</v>
      </c>
      <c r="AT682" s="1" t="s">
        <v>3453</v>
      </c>
      <c r="AU682" s="3" t="str">
        <f>HYPERLINK("https://icf.clappia.com/app/GMB253374/submission/YTR99848746/ICF247370-GMB253374-5be8fb54ffh200000000/SIG-20250701_1136127hc5.jpeg", "SIG-20250701_1136127hc5.jpeg")</f>
        <v>SIG-20250701_1136127hc5.jpeg</v>
      </c>
      <c r="AV682" s="3" t="str">
        <f>HYPERLINK("https://www.google.com/maps/place/8.0247417%2C-11.5176833", "8.0247417,-11.5176833")</f>
        <v>8.0247417,-11.5176833</v>
      </c>
    </row>
    <row r="683" ht="15.75" customHeight="1">
      <c r="A683" s="1" t="s">
        <v>3454</v>
      </c>
      <c r="B683" s="1" t="s">
        <v>690</v>
      </c>
      <c r="C683" s="1" t="s">
        <v>3449</v>
      </c>
      <c r="D683" s="1" t="s">
        <v>3449</v>
      </c>
      <c r="E683" s="1" t="s">
        <v>3455</v>
      </c>
      <c r="F683" s="1" t="s">
        <v>64</v>
      </c>
      <c r="G683" s="1">
        <v>342.0</v>
      </c>
      <c r="H683" s="1" t="s">
        <v>50</v>
      </c>
      <c r="I683" s="1">
        <v>66.0</v>
      </c>
      <c r="J683" s="1">
        <v>38.0</v>
      </c>
      <c r="K683" s="1">
        <v>25.0</v>
      </c>
      <c r="L683" s="1">
        <v>28.0</v>
      </c>
      <c r="M683" s="1">
        <v>17.0</v>
      </c>
      <c r="N683" s="1" t="s">
        <v>51</v>
      </c>
      <c r="O683" s="1">
        <v>64.0</v>
      </c>
      <c r="P683" s="1">
        <v>32.0</v>
      </c>
      <c r="Q683" s="1">
        <v>24.0</v>
      </c>
      <c r="R683" s="1">
        <v>32.0</v>
      </c>
      <c r="S683" s="1">
        <v>25.0</v>
      </c>
      <c r="T683" s="1" t="s">
        <v>52</v>
      </c>
      <c r="U683" s="1">
        <v>54.0</v>
      </c>
      <c r="V683" s="1">
        <v>25.0</v>
      </c>
      <c r="W683" s="1">
        <v>19.0</v>
      </c>
      <c r="X683" s="1">
        <v>29.0</v>
      </c>
      <c r="Y683" s="1">
        <v>20.0</v>
      </c>
      <c r="Z683" s="1" t="s">
        <v>53</v>
      </c>
      <c r="AA683" s="1">
        <v>77.0</v>
      </c>
      <c r="AB683" s="1">
        <v>39.0</v>
      </c>
      <c r="AC683" s="1">
        <v>28.0</v>
      </c>
      <c r="AD683" s="1">
        <v>38.0</v>
      </c>
      <c r="AE683" s="1">
        <v>29.0</v>
      </c>
      <c r="AF683" s="1" t="s">
        <v>54</v>
      </c>
      <c r="AG683" s="1">
        <v>74.0</v>
      </c>
      <c r="AH683" s="1">
        <v>46.0</v>
      </c>
      <c r="AI683" s="1">
        <v>36.0</v>
      </c>
      <c r="AJ683" s="1">
        <v>28.0</v>
      </c>
      <c r="AK683" s="1">
        <v>19.0</v>
      </c>
      <c r="AL683" s="1">
        <v>242.0</v>
      </c>
      <c r="AM683" s="1" t="s">
        <v>55</v>
      </c>
      <c r="AN683" s="1">
        <v>100.0</v>
      </c>
      <c r="AO683" s="1">
        <v>100.0</v>
      </c>
      <c r="AP683" s="1" t="s">
        <v>2022</v>
      </c>
      <c r="AQ683" s="3" t="str">
        <f>HYPERLINK("https://icf.clappia.com/app/GMB253374/submission/ZSK17716866/ICF247370-GMB253374-2jnmefcda18000000000/SIG-20250701_12076cl9a.jpeg", "SIG-20250701_12076cl9a.jpeg")</f>
        <v>SIG-20250701_12076cl9a.jpeg</v>
      </c>
      <c r="AR683" s="1" t="s">
        <v>3456</v>
      </c>
      <c r="AS683" s="3" t="str">
        <f>HYPERLINK("https://icf.clappia.com/app/GMB253374/submission/ZSK17716866/ICF247370-GMB253374-25k4koh1k5oak0000000/SIG-20250701_1208h372h.jpeg", "SIG-20250701_1208h372h.jpeg")</f>
        <v>SIG-20250701_1208h372h.jpeg</v>
      </c>
      <c r="AT683" s="1" t="s">
        <v>2024</v>
      </c>
      <c r="AU683" s="3" t="str">
        <f>HYPERLINK("https://icf.clappia.com/app/GMB253374/submission/ZSK17716866/ICF247370-GMB253374-5928ko8n7gmk0000000/SIG-20250701_1208b3cci.jpeg", "SIG-20250701_1208b3cci.jpeg")</f>
        <v>SIG-20250701_1208b3cci.jpeg</v>
      </c>
      <c r="AV683" s="3" t="str">
        <f>HYPERLINK("https://www.google.com/maps/place/8.860535%2C-12.0517167", "8.860535,-12.0517167")</f>
        <v>8.860535,-12.0517167</v>
      </c>
    </row>
    <row r="684" ht="15.75" customHeight="1">
      <c r="A684" s="1" t="s">
        <v>3457</v>
      </c>
      <c r="B684" s="1" t="s">
        <v>161</v>
      </c>
      <c r="C684" s="1" t="s">
        <v>3458</v>
      </c>
      <c r="D684" s="1" t="s">
        <v>3458</v>
      </c>
      <c r="E684" s="1" t="s">
        <v>3459</v>
      </c>
      <c r="F684" s="1" t="s">
        <v>64</v>
      </c>
      <c r="G684" s="1">
        <v>221.0</v>
      </c>
      <c r="H684" s="1" t="s">
        <v>50</v>
      </c>
      <c r="I684" s="1">
        <v>62.0</v>
      </c>
      <c r="J684" s="1">
        <v>28.0</v>
      </c>
      <c r="K684" s="1">
        <v>28.0</v>
      </c>
      <c r="L684" s="1">
        <v>34.0</v>
      </c>
      <c r="M684" s="1">
        <v>34.0</v>
      </c>
      <c r="N684" s="1" t="s">
        <v>51</v>
      </c>
      <c r="O684" s="1">
        <v>61.0</v>
      </c>
      <c r="P684" s="1">
        <v>27.0</v>
      </c>
      <c r="Q684" s="1">
        <v>27.0</v>
      </c>
      <c r="R684" s="1">
        <v>34.0</v>
      </c>
      <c r="S684" s="1">
        <v>34.0</v>
      </c>
      <c r="T684" s="1" t="s">
        <v>52</v>
      </c>
      <c r="U684" s="1">
        <v>41.0</v>
      </c>
      <c r="V684" s="1">
        <v>19.0</v>
      </c>
      <c r="W684" s="1">
        <v>19.0</v>
      </c>
      <c r="X684" s="1">
        <v>22.0</v>
      </c>
      <c r="Y684" s="1">
        <v>22.0</v>
      </c>
      <c r="Z684" s="1" t="s">
        <v>53</v>
      </c>
      <c r="AA684" s="1">
        <v>58.0</v>
      </c>
      <c r="AB684" s="1">
        <v>22.0</v>
      </c>
      <c r="AC684" s="1">
        <v>20.0</v>
      </c>
      <c r="AD684" s="1">
        <v>36.0</v>
      </c>
      <c r="AE684" s="1">
        <v>27.0</v>
      </c>
      <c r="AF684" s="1" t="s">
        <v>54</v>
      </c>
      <c r="AG684" s="1">
        <v>67.0</v>
      </c>
      <c r="AH684" s="1">
        <v>26.0</v>
      </c>
      <c r="AI684" s="1">
        <v>5.0</v>
      </c>
      <c r="AJ684" s="1">
        <v>41.0</v>
      </c>
      <c r="AK684" s="1">
        <v>5.0</v>
      </c>
      <c r="AL684" s="1">
        <v>221.0</v>
      </c>
      <c r="AM684" s="1" t="s">
        <v>55</v>
      </c>
      <c r="AN684" s="1" t="s">
        <v>55</v>
      </c>
      <c r="AO684" s="1" t="s">
        <v>55</v>
      </c>
      <c r="AP684" s="1" t="s">
        <v>3460</v>
      </c>
      <c r="AQ684" s="3" t="str">
        <f>HYPERLINK("https://icf.clappia.com/app/GMB253374/submission/FPX77441240/ICF247370-GMB253374-2alhagje1phjg0000000/SIG-20250701_1108c2bp9.jpeg", "SIG-20250701_1108c2bp9.jpeg")</f>
        <v>SIG-20250701_1108c2bp9.jpeg</v>
      </c>
      <c r="AR684" s="1" t="s">
        <v>3461</v>
      </c>
      <c r="AS684" s="3" t="str">
        <f>HYPERLINK("https://icf.clappia.com/app/GMB253374/submission/FPX77441240/ICF247370-GMB253374-22kn86af5hboc0000000/SIG-20250701_11107p0bc.jpeg", "SIG-20250701_11107p0bc.jpeg")</f>
        <v>SIG-20250701_11107p0bc.jpeg</v>
      </c>
      <c r="AT684" s="1" t="s">
        <v>1950</v>
      </c>
      <c r="AU684" s="3" t="str">
        <f>HYPERLINK("https://icf.clappia.com/app/GMB253374/submission/FPX77441240/ICF247370-GMB253374-2l0dako1fl8600000000/SIG-20250701_111115b5n3.jpeg", "SIG-20250701_111115b5n3.jpeg")</f>
        <v>SIG-20250701_111115b5n3.jpeg</v>
      </c>
      <c r="AV684" s="3" t="str">
        <f>HYPERLINK("https://www.google.com/maps/place/7.984535%2C-11.7288333", "7.984535,-11.7288333")</f>
        <v>7.984535,-11.7288333</v>
      </c>
    </row>
    <row r="685" ht="15.75" customHeight="1">
      <c r="A685" s="1" t="s">
        <v>3462</v>
      </c>
      <c r="B685" s="1" t="s">
        <v>189</v>
      </c>
      <c r="C685" s="1" t="s">
        <v>3463</v>
      </c>
      <c r="D685" s="1" t="s">
        <v>3463</v>
      </c>
      <c r="E685" s="1" t="s">
        <v>3464</v>
      </c>
      <c r="F685" s="1" t="s">
        <v>49</v>
      </c>
      <c r="G685" s="1">
        <v>200.0</v>
      </c>
      <c r="H685" s="1" t="s">
        <v>50</v>
      </c>
      <c r="I685" s="1">
        <v>30.0</v>
      </c>
      <c r="J685" s="1">
        <v>17.0</v>
      </c>
      <c r="K685" s="1">
        <v>17.0</v>
      </c>
      <c r="L685" s="1">
        <v>13.0</v>
      </c>
      <c r="M685" s="1">
        <v>13.0</v>
      </c>
      <c r="N685" s="1" t="s">
        <v>51</v>
      </c>
      <c r="O685" s="1">
        <v>35.0</v>
      </c>
      <c r="P685" s="1">
        <v>16.0</v>
      </c>
      <c r="Q685" s="1">
        <v>16.0</v>
      </c>
      <c r="R685" s="1">
        <v>19.0</v>
      </c>
      <c r="S685" s="1">
        <v>19.0</v>
      </c>
      <c r="T685" s="1" t="s">
        <v>52</v>
      </c>
      <c r="U685" s="1">
        <v>25.0</v>
      </c>
      <c r="V685" s="1">
        <v>13.0</v>
      </c>
      <c r="W685" s="1">
        <v>13.0</v>
      </c>
      <c r="X685" s="1">
        <v>12.0</v>
      </c>
      <c r="Y685" s="1">
        <v>12.0</v>
      </c>
      <c r="Z685" s="1" t="s">
        <v>53</v>
      </c>
      <c r="AA685" s="1">
        <v>42.0</v>
      </c>
      <c r="AB685" s="1">
        <v>21.0</v>
      </c>
      <c r="AC685" s="1">
        <v>21.0</v>
      </c>
      <c r="AD685" s="1">
        <v>21.0</v>
      </c>
      <c r="AE685" s="1">
        <v>21.0</v>
      </c>
      <c r="AF685" s="1" t="s">
        <v>54</v>
      </c>
      <c r="AG685" s="1">
        <v>47.0</v>
      </c>
      <c r="AH685" s="1">
        <v>23.0</v>
      </c>
      <c r="AI685" s="1">
        <v>23.0</v>
      </c>
      <c r="AJ685" s="1">
        <v>24.0</v>
      </c>
      <c r="AK685" s="1">
        <v>24.0</v>
      </c>
      <c r="AL685" s="1">
        <v>179.0</v>
      </c>
      <c r="AM685" s="1" t="s">
        <v>55</v>
      </c>
      <c r="AN685" s="1">
        <v>21.0</v>
      </c>
      <c r="AO685" s="1">
        <v>21.0</v>
      </c>
      <c r="AP685" s="1" t="s">
        <v>3465</v>
      </c>
      <c r="AQ685" s="3" t="str">
        <f>HYPERLINK("https://icf.clappia.com/app/GMB253374/submission/TIC46900770/ICF247370-GMB253374-3p0hch173b9c00000000/SIG-20250701_1204l681f.jpeg", "SIG-20250701_1204l681f.jpeg")</f>
        <v>SIG-20250701_1204l681f.jpeg</v>
      </c>
      <c r="AR685" s="1" t="s">
        <v>3466</v>
      </c>
      <c r="AS685" s="3" t="str">
        <f>HYPERLINK("https://icf.clappia.com/app/GMB253374/submission/TIC46900770/ICF247370-GMB253374-i8h78a7n5mco0000000/SIG-20250701_120617lc84.jpeg", "SIG-20250701_120617lc84.jpeg")</f>
        <v>SIG-20250701_120617lc84.jpeg</v>
      </c>
      <c r="AT685" s="1" t="s">
        <v>1640</v>
      </c>
      <c r="AU685" s="3" t="str">
        <f>HYPERLINK("https://icf.clappia.com/app/GMB253374/submission/TIC46900770/ICF247370-GMB253374-2l37e2o9901c00000000/SIG-20250701_1206626p3.jpeg", "SIG-20250701_1206626p3.jpeg")</f>
        <v>SIG-20250701_1206626p3.jpeg</v>
      </c>
      <c r="AV685" s="3" t="str">
        <f>HYPERLINK("https://www.google.com/maps/place/8.903155%2C-12.04549", "8.903155,-12.04549")</f>
        <v>8.903155,-12.04549</v>
      </c>
    </row>
    <row r="686" ht="15.75" customHeight="1">
      <c r="A686" s="1" t="s">
        <v>3467</v>
      </c>
      <c r="B686" s="1" t="s">
        <v>81</v>
      </c>
      <c r="C686" s="1" t="s">
        <v>3463</v>
      </c>
      <c r="D686" s="1" t="s">
        <v>3463</v>
      </c>
      <c r="E686" s="1" t="s">
        <v>3468</v>
      </c>
      <c r="F686" s="1" t="s">
        <v>64</v>
      </c>
      <c r="G686" s="1">
        <v>95.0</v>
      </c>
      <c r="H686" s="1" t="s">
        <v>50</v>
      </c>
      <c r="I686" s="1">
        <v>41.0</v>
      </c>
      <c r="J686" s="1">
        <v>20.0</v>
      </c>
      <c r="K686" s="1">
        <v>15.0</v>
      </c>
      <c r="L686" s="1">
        <v>21.0</v>
      </c>
      <c r="M686" s="1">
        <v>13.0</v>
      </c>
      <c r="N686" s="1" t="s">
        <v>51</v>
      </c>
      <c r="O686" s="1">
        <v>41.0</v>
      </c>
      <c r="P686" s="1">
        <v>16.0</v>
      </c>
      <c r="Q686" s="1">
        <v>12.0</v>
      </c>
      <c r="R686" s="1">
        <v>25.0</v>
      </c>
      <c r="S686" s="1">
        <v>11.0</v>
      </c>
      <c r="T686" s="1" t="s">
        <v>52</v>
      </c>
      <c r="U686" s="1">
        <v>52.0</v>
      </c>
      <c r="V686" s="1">
        <v>20.0</v>
      </c>
      <c r="W686" s="1">
        <v>10.0</v>
      </c>
      <c r="X686" s="1">
        <v>32.0</v>
      </c>
      <c r="Y686" s="1">
        <v>24.0</v>
      </c>
      <c r="Z686" s="1" t="s">
        <v>53</v>
      </c>
      <c r="AA686" s="1">
        <v>40.0</v>
      </c>
      <c r="AB686" s="1">
        <v>14.0</v>
      </c>
      <c r="AC686" s="1">
        <v>4.0</v>
      </c>
      <c r="AD686" s="1">
        <v>26.0</v>
      </c>
      <c r="AE686" s="1">
        <v>6.0</v>
      </c>
      <c r="AF686" s="1" t="s">
        <v>54</v>
      </c>
      <c r="AG686" s="1">
        <v>29.0</v>
      </c>
      <c r="AH686" s="1">
        <v>10.0</v>
      </c>
      <c r="AI686" s="1" t="s">
        <v>55</v>
      </c>
      <c r="AJ686" s="1">
        <v>19.0</v>
      </c>
      <c r="AK686" s="1" t="s">
        <v>55</v>
      </c>
      <c r="AL686" s="1">
        <v>95.0</v>
      </c>
      <c r="AM686" s="1" t="s">
        <v>55</v>
      </c>
      <c r="AN686" s="1" t="s">
        <v>55</v>
      </c>
      <c r="AO686" s="1" t="s">
        <v>55</v>
      </c>
      <c r="AP686" s="1" t="s">
        <v>871</v>
      </c>
      <c r="AQ686" s="3" t="str">
        <f>HYPERLINK("https://icf.clappia.com/app/GMB253374/submission/JJV23696165/ICF247370-GMB253374-25fk25fgoncd60000000/SIG-20250701_11541a2c73.jpeg", "SIG-20250701_11541a2c73.jpeg")</f>
        <v>SIG-20250701_11541a2c73.jpeg</v>
      </c>
      <c r="AR686" s="1" t="s">
        <v>873</v>
      </c>
      <c r="AS686" s="3" t="str">
        <f>HYPERLINK("https://icf.clappia.com/app/GMB253374/submission/JJV23696165/ICF247370-GMB253374-4egca4b26o2000000000/SIG-20250701_1206m6fjg.jpeg", "SIG-20250701_1206m6fjg.jpeg")</f>
        <v>SIG-20250701_1206m6fjg.jpeg</v>
      </c>
      <c r="AT686" s="1" t="s">
        <v>3469</v>
      </c>
      <c r="AU686" s="3" t="str">
        <f>HYPERLINK("https://icf.clappia.com/app/GMB253374/submission/JJV23696165/ICF247370-GMB253374-67n4kdiglp8g00000000/SIG-20250701_1156d1g44.jpeg", "SIG-20250701_1156d1g44.jpeg")</f>
        <v>SIG-20250701_1156d1g44.jpeg</v>
      </c>
      <c r="AV686" s="3" t="str">
        <f>HYPERLINK("https://www.google.com/maps/place/7.9463233%2C-11.7234867", "7.9463233,-11.7234867")</f>
        <v>7.9463233,-11.7234867</v>
      </c>
    </row>
    <row r="687" ht="15.75" customHeight="1">
      <c r="A687" s="1" t="s">
        <v>3470</v>
      </c>
      <c r="B687" s="1" t="s">
        <v>349</v>
      </c>
      <c r="C687" s="1" t="s">
        <v>3463</v>
      </c>
      <c r="D687" s="1" t="s">
        <v>3463</v>
      </c>
      <c r="E687" s="1" t="s">
        <v>3471</v>
      </c>
      <c r="F687" s="1" t="s">
        <v>64</v>
      </c>
      <c r="G687" s="1">
        <v>100.0</v>
      </c>
      <c r="H687" s="1" t="s">
        <v>50</v>
      </c>
      <c r="I687" s="1">
        <v>35.0</v>
      </c>
      <c r="J687" s="1">
        <v>16.0</v>
      </c>
      <c r="K687" s="1">
        <v>14.0</v>
      </c>
      <c r="L687" s="1">
        <v>19.0</v>
      </c>
      <c r="M687" s="1">
        <v>18.0</v>
      </c>
      <c r="N687" s="1" t="s">
        <v>51</v>
      </c>
      <c r="O687" s="1">
        <v>21.0</v>
      </c>
      <c r="P687" s="1">
        <v>12.0</v>
      </c>
      <c r="Q687" s="1">
        <v>10.0</v>
      </c>
      <c r="R687" s="1">
        <v>9.0</v>
      </c>
      <c r="S687" s="1">
        <v>9.0</v>
      </c>
      <c r="T687" s="1" t="s">
        <v>52</v>
      </c>
      <c r="U687" s="1">
        <v>16.0</v>
      </c>
      <c r="V687" s="1">
        <v>8.0</v>
      </c>
      <c r="W687" s="1">
        <v>8.0</v>
      </c>
      <c r="X687" s="1">
        <v>8.0</v>
      </c>
      <c r="Y687" s="1">
        <v>8.0</v>
      </c>
      <c r="Z687" s="1" t="s">
        <v>53</v>
      </c>
      <c r="AA687" s="1">
        <v>13.0</v>
      </c>
      <c r="AB687" s="1">
        <v>8.0</v>
      </c>
      <c r="AC687" s="1">
        <v>8.0</v>
      </c>
      <c r="AD687" s="1">
        <v>5.0</v>
      </c>
      <c r="AE687" s="1">
        <v>5.0</v>
      </c>
      <c r="AF687" s="1" t="s">
        <v>54</v>
      </c>
      <c r="AG687" s="1">
        <v>15.0</v>
      </c>
      <c r="AH687" s="1">
        <v>5.0</v>
      </c>
      <c r="AI687" s="1">
        <v>5.0</v>
      </c>
      <c r="AJ687" s="1">
        <v>10.0</v>
      </c>
      <c r="AK687" s="1">
        <v>8.0</v>
      </c>
      <c r="AL687" s="1">
        <v>93.0</v>
      </c>
      <c r="AM687" s="1">
        <v>7.0</v>
      </c>
      <c r="AN687" s="1" t="s">
        <v>55</v>
      </c>
      <c r="AO687" s="1" t="s">
        <v>55</v>
      </c>
      <c r="AP687" s="1" t="s">
        <v>3472</v>
      </c>
      <c r="AQ687" s="3" t="str">
        <f>HYPERLINK("https://icf.clappia.com/app/GMB253374/submission/SPY81871801/ICF247370-GMB253374-27hd2ajll5l4i0000000/SIG-20250701_1206165kn9.jpeg", "SIG-20250701_1206165kn9.jpeg")</f>
        <v>SIG-20250701_1206165kn9.jpeg</v>
      </c>
      <c r="AR687" s="1" t="s">
        <v>3473</v>
      </c>
      <c r="AS687" s="3" t="str">
        <f>HYPERLINK("https://icf.clappia.com/app/GMB253374/submission/SPY81871801/ICF247370-GMB253374-5hn59hnf851e00000000/SIG-20250701_1206k74nh.jpeg", "SIG-20250701_1206k74nh.jpeg")</f>
        <v>SIG-20250701_1206k74nh.jpeg</v>
      </c>
      <c r="AT687" s="1" t="s">
        <v>3474</v>
      </c>
      <c r="AU687" s="3" t="str">
        <f>HYPERLINK("https://icf.clappia.com/app/GMB253374/submission/SPY81871801/ICF247370-GMB253374-2pbm204j0op400000000/SIG-20250701_1207c4n3l.jpeg", "SIG-20250701_1207c4n3l.jpeg")</f>
        <v>SIG-20250701_1207c4n3l.jpeg</v>
      </c>
      <c r="AV687" s="3" t="str">
        <f>HYPERLINK("https://www.google.com/maps/place/9.0126367%2C-12.041975", "9.0126367,-12.041975")</f>
        <v>9.0126367,-12.041975</v>
      </c>
    </row>
    <row r="688" ht="15.75" customHeight="1">
      <c r="A688" s="1" t="s">
        <v>3475</v>
      </c>
      <c r="B688" s="1" t="s">
        <v>69</v>
      </c>
      <c r="C688" s="1" t="s">
        <v>3476</v>
      </c>
      <c r="D688" s="1" t="s">
        <v>3476</v>
      </c>
      <c r="E688" s="1" t="s">
        <v>3477</v>
      </c>
      <c r="F688" s="1" t="s">
        <v>64</v>
      </c>
      <c r="G688" s="1">
        <v>174.0</v>
      </c>
      <c r="H688" s="1" t="s">
        <v>50</v>
      </c>
      <c r="I688" s="1">
        <v>56.0</v>
      </c>
      <c r="J688" s="1">
        <v>27.0</v>
      </c>
      <c r="K688" s="1">
        <v>24.0</v>
      </c>
      <c r="L688" s="1">
        <v>29.0</v>
      </c>
      <c r="M688" s="1">
        <v>25.0</v>
      </c>
      <c r="N688" s="1" t="s">
        <v>51</v>
      </c>
      <c r="O688" s="1">
        <v>29.0</v>
      </c>
      <c r="P688" s="1">
        <v>14.0</v>
      </c>
      <c r="Q688" s="1">
        <v>12.0</v>
      </c>
      <c r="R688" s="1">
        <v>15.0</v>
      </c>
      <c r="S688" s="1">
        <v>13.0</v>
      </c>
      <c r="T688" s="1" t="s">
        <v>52</v>
      </c>
      <c r="U688" s="1">
        <v>32.0</v>
      </c>
      <c r="V688" s="1">
        <v>17.0</v>
      </c>
      <c r="W688" s="1">
        <v>15.0</v>
      </c>
      <c r="X688" s="1">
        <v>15.0</v>
      </c>
      <c r="Y688" s="1">
        <v>14.0</v>
      </c>
      <c r="Z688" s="1" t="s">
        <v>53</v>
      </c>
      <c r="AA688" s="1">
        <v>44.0</v>
      </c>
      <c r="AB688" s="1">
        <v>26.0</v>
      </c>
      <c r="AC688" s="1">
        <v>23.0</v>
      </c>
      <c r="AD688" s="1">
        <v>18.0</v>
      </c>
      <c r="AE688" s="1">
        <v>16.0</v>
      </c>
      <c r="AF688" s="1" t="s">
        <v>54</v>
      </c>
      <c r="AG688" s="1">
        <v>36.0</v>
      </c>
      <c r="AH688" s="1">
        <v>19.0</v>
      </c>
      <c r="AI688" s="1">
        <v>16.0</v>
      </c>
      <c r="AJ688" s="1">
        <v>17.0</v>
      </c>
      <c r="AK688" s="1">
        <v>16.0</v>
      </c>
      <c r="AL688" s="1">
        <v>174.0</v>
      </c>
      <c r="AM688" s="1" t="s">
        <v>55</v>
      </c>
      <c r="AN688" s="1" t="s">
        <v>55</v>
      </c>
      <c r="AO688" s="1" t="s">
        <v>55</v>
      </c>
      <c r="AP688" s="1" t="s">
        <v>3478</v>
      </c>
      <c r="AQ688" s="3" t="str">
        <f>HYPERLINK("https://icf.clappia.com/app/GMB253374/submission/LQE38874031/ICF247370-GMB253374-29il03obh6iae0000000/SIG-20250701_1159fkf0p.jpeg", "SIG-20250701_1159fkf0p.jpeg")</f>
        <v>SIG-20250701_1159fkf0p.jpeg</v>
      </c>
      <c r="AR688" s="1" t="s">
        <v>3479</v>
      </c>
      <c r="AS688" s="3" t="str">
        <f>HYPERLINK("https://icf.clappia.com/app/GMB253374/submission/LQE38874031/ICF247370-GMB253374-1b3indm4donb60000000/SIG-20250701_12018c7na.jpeg", "SIG-20250701_12018c7na.jpeg")</f>
        <v>SIG-20250701_12018c7na.jpeg</v>
      </c>
      <c r="AT688" s="1" t="s">
        <v>3480</v>
      </c>
      <c r="AU688" s="3" t="str">
        <f>HYPERLINK("https://icf.clappia.com/app/GMB253374/submission/LQE38874031/ICF247370-GMB253374-89jaeg35daeg0000000/SIG-20250701_1201h513n.jpeg", "SIG-20250701_1201h513n.jpeg")</f>
        <v>SIG-20250701_1201h513n.jpeg</v>
      </c>
      <c r="AV688" s="3" t="str">
        <f>HYPERLINK("https://www.google.com/maps/place/8.8891007%2C-12.0692071", "8.8891007,-12.0692071")</f>
        <v>8.8891007,-12.0692071</v>
      </c>
    </row>
    <row r="689" ht="15.75" customHeight="1">
      <c r="A689" s="1" t="s">
        <v>3481</v>
      </c>
      <c r="B689" s="1" t="s">
        <v>342</v>
      </c>
      <c r="C689" s="1" t="s">
        <v>3482</v>
      </c>
      <c r="D689" s="1" t="s">
        <v>3482</v>
      </c>
      <c r="E689" s="1" t="s">
        <v>3483</v>
      </c>
      <c r="F689" s="1" t="s">
        <v>64</v>
      </c>
      <c r="G689" s="1">
        <v>352.0</v>
      </c>
      <c r="H689" s="1" t="s">
        <v>50</v>
      </c>
      <c r="I689" s="1">
        <v>70.0</v>
      </c>
      <c r="J689" s="1">
        <v>38.0</v>
      </c>
      <c r="K689" s="1">
        <v>38.0</v>
      </c>
      <c r="L689" s="1">
        <v>32.0</v>
      </c>
      <c r="M689" s="1">
        <v>29.0</v>
      </c>
      <c r="N689" s="1" t="s">
        <v>51</v>
      </c>
      <c r="O689" s="1">
        <v>73.0</v>
      </c>
      <c r="P689" s="1">
        <v>34.0</v>
      </c>
      <c r="Q689" s="1">
        <v>24.0</v>
      </c>
      <c r="R689" s="1">
        <v>39.0</v>
      </c>
      <c r="S689" s="1">
        <v>22.0</v>
      </c>
      <c r="T689" s="1" t="s">
        <v>52</v>
      </c>
      <c r="U689" s="1">
        <v>80.0</v>
      </c>
      <c r="V689" s="1">
        <v>48.0</v>
      </c>
      <c r="W689" s="1">
        <v>45.0</v>
      </c>
      <c r="X689" s="1">
        <v>32.0</v>
      </c>
      <c r="Y689" s="1">
        <v>31.0</v>
      </c>
      <c r="Z689" s="1" t="s">
        <v>53</v>
      </c>
      <c r="AA689" s="1">
        <v>77.0</v>
      </c>
      <c r="AB689" s="1">
        <v>50.0</v>
      </c>
      <c r="AC689" s="1">
        <v>50.0</v>
      </c>
      <c r="AD689" s="1">
        <v>27.0</v>
      </c>
      <c r="AE689" s="1">
        <v>27.0</v>
      </c>
      <c r="AF689" s="1" t="s">
        <v>54</v>
      </c>
      <c r="AG689" s="1">
        <v>49.0</v>
      </c>
      <c r="AH689" s="1">
        <v>30.0</v>
      </c>
      <c r="AI689" s="1">
        <v>30.0</v>
      </c>
      <c r="AJ689" s="1">
        <v>19.0</v>
      </c>
      <c r="AK689" s="1">
        <v>19.0</v>
      </c>
      <c r="AL689" s="1">
        <v>315.0</v>
      </c>
      <c r="AM689" s="1" t="s">
        <v>55</v>
      </c>
      <c r="AN689" s="1">
        <v>37.0</v>
      </c>
      <c r="AO689" s="1">
        <v>37.0</v>
      </c>
      <c r="AP689" s="1" t="s">
        <v>1108</v>
      </c>
      <c r="AQ689" s="3" t="str">
        <f>HYPERLINK("https://icf.clappia.com/app/GMB253374/submission/BHF46249988/ICF247370-GMB253374-67p1edhcg99a00000000/SIG-20250701_120015ljjj.jpeg", "SIG-20250701_120015ljjj.jpeg")</f>
        <v>SIG-20250701_120015ljjj.jpeg</v>
      </c>
      <c r="AR689" s="1" t="s">
        <v>1109</v>
      </c>
      <c r="AS689" s="3" t="str">
        <f>HYPERLINK("https://icf.clappia.com/app/GMB253374/submission/BHF46249988/ICF247370-GMB253374-2ib1b7omhic200000000/SIG-20250701_120058mg0.jpeg", "SIG-20250701_120058mg0.jpeg")</f>
        <v>SIG-20250701_120058mg0.jpeg</v>
      </c>
      <c r="AT689" s="1" t="s">
        <v>3484</v>
      </c>
      <c r="AU689" s="3" t="str">
        <f>HYPERLINK("https://icf.clappia.com/app/GMB253374/submission/BHF46249988/ICF247370-GMB253374-68ljo0dg7feo0000000/SIG-20250701_12011207e5.jpeg", "SIG-20250701_12011207e5.jpeg")</f>
        <v>SIG-20250701_12011207e5.jpeg</v>
      </c>
      <c r="AV689" s="3" t="str">
        <f>HYPERLINK("https://www.google.com/maps/place/9.1100517%2C-12.1990167", "9.1100517,-12.1990167")</f>
        <v>9.1100517,-12.1990167</v>
      </c>
    </row>
    <row r="690" ht="15.75" customHeight="1">
      <c r="A690" s="1" t="s">
        <v>3485</v>
      </c>
      <c r="B690" s="1" t="s">
        <v>102</v>
      </c>
      <c r="C690" s="1" t="s">
        <v>3486</v>
      </c>
      <c r="D690" s="1" t="s">
        <v>3486</v>
      </c>
      <c r="E690" s="1" t="s">
        <v>3487</v>
      </c>
      <c r="F690" s="1" t="s">
        <v>49</v>
      </c>
      <c r="G690" s="1">
        <v>100.0</v>
      </c>
      <c r="H690" s="1" t="s">
        <v>50</v>
      </c>
      <c r="I690" s="1">
        <v>22.0</v>
      </c>
      <c r="J690" s="1">
        <v>11.0</v>
      </c>
      <c r="K690" s="1">
        <v>10.0</v>
      </c>
      <c r="L690" s="1">
        <v>11.0</v>
      </c>
      <c r="M690" s="1">
        <v>10.0</v>
      </c>
      <c r="N690" s="1" t="s">
        <v>51</v>
      </c>
      <c r="O690" s="1">
        <v>9.0</v>
      </c>
      <c r="P690" s="1">
        <v>5.0</v>
      </c>
      <c r="Q690" s="1">
        <v>5.0</v>
      </c>
      <c r="R690" s="1">
        <v>4.0</v>
      </c>
      <c r="S690" s="1">
        <v>4.0</v>
      </c>
      <c r="T690" s="1" t="s">
        <v>52</v>
      </c>
      <c r="U690" s="1">
        <v>9.0</v>
      </c>
      <c r="V690" s="1">
        <v>6.0</v>
      </c>
      <c r="W690" s="1">
        <v>6.0</v>
      </c>
      <c r="X690" s="1">
        <v>3.0</v>
      </c>
      <c r="Y690" s="1">
        <v>3.0</v>
      </c>
      <c r="Z690" s="1" t="s">
        <v>53</v>
      </c>
      <c r="AA690" s="1">
        <v>9.0</v>
      </c>
      <c r="AB690" s="1">
        <v>2.0</v>
      </c>
      <c r="AC690" s="1">
        <v>2.0</v>
      </c>
      <c r="AD690" s="1">
        <v>7.0</v>
      </c>
      <c r="AE690" s="1">
        <v>7.0</v>
      </c>
      <c r="AF690" s="1" t="s">
        <v>54</v>
      </c>
      <c r="AG690" s="1">
        <v>6.0</v>
      </c>
      <c r="AH690" s="1">
        <v>1.0</v>
      </c>
      <c r="AI690" s="1">
        <v>1.0</v>
      </c>
      <c r="AJ690" s="1">
        <v>5.0</v>
      </c>
      <c r="AK690" s="1">
        <v>5.0</v>
      </c>
      <c r="AL690" s="1">
        <v>53.0</v>
      </c>
      <c r="AM690" s="1">
        <v>2.0</v>
      </c>
      <c r="AN690" s="1">
        <v>45.0</v>
      </c>
      <c r="AO690" s="1">
        <v>45.0</v>
      </c>
      <c r="AP690" s="1" t="s">
        <v>903</v>
      </c>
      <c r="AQ690" s="3" t="str">
        <f>HYPERLINK("https://icf.clappia.com/app/GMB253374/submission/KNK32882785/ICF247370-GMB253374-36d3cd0c108k00000000/SIG-20250701_115915m.jpeg", "SIG-20250701_115915m.jpeg")</f>
        <v>SIG-20250701_115915m.jpeg</v>
      </c>
      <c r="AR690" s="1" t="s">
        <v>3488</v>
      </c>
      <c r="AS690" s="3" t="str">
        <f>HYPERLINK("https://icf.clappia.com/app/GMB253374/submission/KNK32882785/ICF247370-GMB253374-3k5modkno5o200000000/SIG-20250701_1200g0lh1.jpeg", "SIG-20250701_1200g0lh1.jpeg")</f>
        <v>SIG-20250701_1200g0lh1.jpeg</v>
      </c>
      <c r="AT690" s="1" t="s">
        <v>3489</v>
      </c>
      <c r="AU690" s="3" t="str">
        <f>HYPERLINK("https://icf.clappia.com/app/GMB253374/submission/KNK32882785/ICF247370-GMB253374-354aj17n5he000000000/SIG-20250701_12017gn78.jpeg", "SIG-20250701_12017gn78.jpeg")</f>
        <v>SIG-20250701_12017gn78.jpeg</v>
      </c>
      <c r="AV690" s="3" t="str">
        <f>HYPERLINK("https://www.google.com/maps/place/9.2020218%2C-11.9678583", "9.2020218,-11.9678583")</f>
        <v>9.2020218,-11.9678583</v>
      </c>
    </row>
    <row r="691" ht="15.75" customHeight="1">
      <c r="A691" s="1" t="s">
        <v>3490</v>
      </c>
      <c r="B691" s="1" t="s">
        <v>60</v>
      </c>
      <c r="C691" s="1" t="s">
        <v>3486</v>
      </c>
      <c r="D691" s="1" t="s">
        <v>3486</v>
      </c>
      <c r="E691" s="1" t="s">
        <v>3491</v>
      </c>
      <c r="F691" s="1" t="s">
        <v>64</v>
      </c>
      <c r="G691" s="1">
        <v>200.0</v>
      </c>
      <c r="H691" s="1" t="s">
        <v>50</v>
      </c>
      <c r="I691" s="1">
        <v>35.0</v>
      </c>
      <c r="J691" s="1">
        <v>20.0</v>
      </c>
      <c r="K691" s="1">
        <v>16.0</v>
      </c>
      <c r="L691" s="1">
        <v>15.0</v>
      </c>
      <c r="M691" s="1">
        <v>11.0</v>
      </c>
      <c r="N691" s="1" t="s">
        <v>51</v>
      </c>
      <c r="O691" s="1">
        <v>35.0</v>
      </c>
      <c r="P691" s="1">
        <v>15.0</v>
      </c>
      <c r="Q691" s="1">
        <v>10.0</v>
      </c>
      <c r="R691" s="1">
        <v>20.0</v>
      </c>
      <c r="S691" s="1">
        <v>14.0</v>
      </c>
      <c r="T691" s="1" t="s">
        <v>52</v>
      </c>
      <c r="U691" s="1">
        <v>41.0</v>
      </c>
      <c r="V691" s="1">
        <v>23.0</v>
      </c>
      <c r="W691" s="1">
        <v>23.0</v>
      </c>
      <c r="X691" s="1">
        <v>18.0</v>
      </c>
      <c r="Y691" s="1">
        <v>18.0</v>
      </c>
      <c r="Z691" s="1" t="s">
        <v>53</v>
      </c>
      <c r="AA691" s="1">
        <v>38.0</v>
      </c>
      <c r="AB691" s="1">
        <v>20.0</v>
      </c>
      <c r="AC691" s="1">
        <v>18.0</v>
      </c>
      <c r="AD691" s="1">
        <v>18.0</v>
      </c>
      <c r="AE691" s="1">
        <v>15.0</v>
      </c>
      <c r="AF691" s="1" t="s">
        <v>54</v>
      </c>
      <c r="AG691" s="1">
        <v>41.0</v>
      </c>
      <c r="AH691" s="1">
        <v>23.0</v>
      </c>
      <c r="AI691" s="1">
        <v>21.0</v>
      </c>
      <c r="AJ691" s="1">
        <v>18.0</v>
      </c>
      <c r="AK691" s="1">
        <v>18.0</v>
      </c>
      <c r="AL691" s="1">
        <v>164.0</v>
      </c>
      <c r="AM691" s="1" t="s">
        <v>55</v>
      </c>
      <c r="AN691" s="1">
        <v>36.0</v>
      </c>
      <c r="AO691" s="1">
        <v>36.0</v>
      </c>
      <c r="AP691" s="1" t="s">
        <v>758</v>
      </c>
      <c r="AQ691" s="3" t="str">
        <f>HYPERLINK("https://icf.clappia.com/app/GMB253374/submission/JOH29644867/ICF247370-GMB253374-31gklo9nnkk000000000/SIG-20250701_11595p5n0.jpeg", "SIG-20250701_11595p5n0.jpeg")</f>
        <v>SIG-20250701_11595p5n0.jpeg</v>
      </c>
      <c r="AR691" s="1" t="s">
        <v>759</v>
      </c>
      <c r="AS691" s="3" t="str">
        <f>HYPERLINK("https://icf.clappia.com/app/GMB253374/submission/JOH29644867/ICF247370-GMB253374-472kf8k313j400000000/SIG-20250701_12002a3jl.jpeg", "SIG-20250701_12002a3jl.jpeg")</f>
        <v>SIG-20250701_12002a3jl.jpeg</v>
      </c>
      <c r="AT691" s="1" t="s">
        <v>760</v>
      </c>
      <c r="AU691" s="3" t="str">
        <f>HYPERLINK("https://icf.clappia.com/app/GMB253374/submission/JOH29644867/ICF247370-GMB253374-2kpj4f3pph0m00000000/SIG-20250701_12006c7jp.jpeg", "SIG-20250701_12006c7jp.jpeg")</f>
        <v>SIG-20250701_12006c7jp.jpeg</v>
      </c>
      <c r="AV691" s="3" t="str">
        <f>HYPERLINK("https://www.google.com/maps/place/8.90259%2C-12.0244684", "8.90259,-12.0244684")</f>
        <v>8.90259,-12.0244684</v>
      </c>
    </row>
    <row r="692" ht="15.75" customHeight="1">
      <c r="A692" s="1" t="s">
        <v>3492</v>
      </c>
      <c r="B692" s="1" t="s">
        <v>161</v>
      </c>
      <c r="C692" s="1" t="s">
        <v>3493</v>
      </c>
      <c r="D692" s="1" t="s">
        <v>3493</v>
      </c>
      <c r="E692" s="1" t="s">
        <v>3494</v>
      </c>
      <c r="F692" s="1" t="s">
        <v>64</v>
      </c>
      <c r="G692" s="1">
        <v>260.0</v>
      </c>
      <c r="H692" s="1" t="s">
        <v>50</v>
      </c>
      <c r="I692" s="1">
        <v>55.0</v>
      </c>
      <c r="J692" s="1">
        <v>28.0</v>
      </c>
      <c r="K692" s="1">
        <v>17.0</v>
      </c>
      <c r="L692" s="1">
        <v>27.0</v>
      </c>
      <c r="M692" s="1">
        <v>15.0</v>
      </c>
      <c r="N692" s="1" t="s">
        <v>51</v>
      </c>
      <c r="O692" s="1">
        <v>46.0</v>
      </c>
      <c r="P692" s="1">
        <v>20.0</v>
      </c>
      <c r="Q692" s="1">
        <v>11.0</v>
      </c>
      <c r="R692" s="1">
        <v>26.0</v>
      </c>
      <c r="S692" s="1">
        <v>15.0</v>
      </c>
      <c r="T692" s="1" t="s">
        <v>52</v>
      </c>
      <c r="U692" s="1">
        <v>46.0</v>
      </c>
      <c r="V692" s="1">
        <v>21.0</v>
      </c>
      <c r="W692" s="1">
        <v>11.0</v>
      </c>
      <c r="X692" s="1">
        <v>25.0</v>
      </c>
      <c r="Y692" s="1">
        <v>11.0</v>
      </c>
      <c r="Z692" s="1" t="s">
        <v>53</v>
      </c>
      <c r="AA692" s="1">
        <v>57.0</v>
      </c>
      <c r="AB692" s="1">
        <v>29.0</v>
      </c>
      <c r="AC692" s="1">
        <v>10.0</v>
      </c>
      <c r="AD692" s="1">
        <v>28.0</v>
      </c>
      <c r="AE692" s="1">
        <v>25.0</v>
      </c>
      <c r="AF692" s="1" t="s">
        <v>54</v>
      </c>
      <c r="AG692" s="1">
        <v>40.0</v>
      </c>
      <c r="AH692" s="1">
        <v>22.0</v>
      </c>
      <c r="AI692" s="1">
        <v>9.0</v>
      </c>
      <c r="AJ692" s="1">
        <v>18.0</v>
      </c>
      <c r="AK692" s="1">
        <v>8.0</v>
      </c>
      <c r="AL692" s="1">
        <v>132.0</v>
      </c>
      <c r="AM692" s="1" t="s">
        <v>55</v>
      </c>
      <c r="AN692" s="1">
        <v>128.0</v>
      </c>
      <c r="AO692" s="1">
        <v>128.0</v>
      </c>
      <c r="AP692" s="1" t="s">
        <v>3495</v>
      </c>
      <c r="AQ692" s="3" t="str">
        <f>HYPERLINK("https://icf.clappia.com/app/GMB253374/submission/JMI90488618/ICF247370-GMB253374-4pg91m3h6n2000000000/SIG-20250701_1152186f16.jpeg", "SIG-20250701_1152186f16.jpeg")</f>
        <v>SIG-20250701_1152186f16.jpeg</v>
      </c>
      <c r="AR692" s="1" t="s">
        <v>3496</v>
      </c>
      <c r="AS692" s="3" t="str">
        <f>HYPERLINK("https://icf.clappia.com/app/GMB253374/submission/JMI90488618/ICF247370-GMB253374-38fhjb2m25a400000000/SIG-20250701_11541ch43.jpeg", "SIG-20250701_11541ch43.jpeg")</f>
        <v>SIG-20250701_11541ch43.jpeg</v>
      </c>
      <c r="AT692" s="1" t="s">
        <v>826</v>
      </c>
      <c r="AU692" s="3" t="str">
        <f>HYPERLINK("https://icf.clappia.com/app/GMB253374/submission/JMI90488618/ICF247370-GMB253374-5ib3mfaddgom00000000/SIG-20250701_115531n6f.jpeg", "SIG-20250701_115531n6f.jpeg")</f>
        <v>SIG-20250701_115531n6f.jpeg</v>
      </c>
      <c r="AV692" s="3" t="str">
        <f>HYPERLINK("https://www.google.com/maps/place/7.9857883%2C-11.7293467", "7.9857883,-11.7293467")</f>
        <v>7.9857883,-11.7293467</v>
      </c>
    </row>
    <row r="693" ht="15.75" customHeight="1">
      <c r="A693" s="1" t="s">
        <v>3497</v>
      </c>
      <c r="B693" s="1" t="s">
        <v>94</v>
      </c>
      <c r="C693" s="1" t="s">
        <v>3498</v>
      </c>
      <c r="D693" s="1" t="s">
        <v>3498</v>
      </c>
      <c r="E693" s="1" t="s">
        <v>3499</v>
      </c>
      <c r="F693" s="1" t="s">
        <v>64</v>
      </c>
      <c r="G693" s="1">
        <v>247.0</v>
      </c>
      <c r="H693" s="1" t="s">
        <v>50</v>
      </c>
      <c r="I693" s="1">
        <v>54.0</v>
      </c>
      <c r="J693" s="1">
        <v>25.0</v>
      </c>
      <c r="K693" s="1">
        <v>25.0</v>
      </c>
      <c r="L693" s="1">
        <v>29.0</v>
      </c>
      <c r="M693" s="1">
        <v>27.0</v>
      </c>
      <c r="N693" s="1" t="s">
        <v>51</v>
      </c>
      <c r="O693" s="1">
        <v>53.0</v>
      </c>
      <c r="P693" s="1">
        <v>29.0</v>
      </c>
      <c r="Q693" s="1">
        <v>28.0</v>
      </c>
      <c r="R693" s="1">
        <v>24.0</v>
      </c>
      <c r="S693" s="1">
        <v>23.0</v>
      </c>
      <c r="T693" s="1" t="s">
        <v>52</v>
      </c>
      <c r="U693" s="1">
        <v>50.0</v>
      </c>
      <c r="V693" s="1">
        <v>14.0</v>
      </c>
      <c r="W693" s="1">
        <v>14.0</v>
      </c>
      <c r="X693" s="1">
        <v>36.0</v>
      </c>
      <c r="Y693" s="1">
        <v>35.0</v>
      </c>
      <c r="Z693" s="1" t="s">
        <v>53</v>
      </c>
      <c r="AA693" s="1">
        <v>40.0</v>
      </c>
      <c r="AB693" s="1">
        <v>20.0</v>
      </c>
      <c r="AC693" s="1">
        <v>20.0</v>
      </c>
      <c r="AD693" s="1">
        <v>20.0</v>
      </c>
      <c r="AE693" s="1">
        <v>20.0</v>
      </c>
      <c r="AF693" s="1" t="s">
        <v>54</v>
      </c>
      <c r="AG693" s="1">
        <v>50.0</v>
      </c>
      <c r="AH693" s="1">
        <v>26.0</v>
      </c>
      <c r="AI693" s="1">
        <v>26.0</v>
      </c>
      <c r="AJ693" s="1">
        <v>24.0</v>
      </c>
      <c r="AK693" s="1">
        <v>24.0</v>
      </c>
      <c r="AL693" s="1">
        <v>242.0</v>
      </c>
      <c r="AM693" s="1">
        <v>5.0</v>
      </c>
      <c r="AN693" s="1" t="s">
        <v>55</v>
      </c>
      <c r="AO693" s="1" t="s">
        <v>55</v>
      </c>
      <c r="AP693" s="1" t="s">
        <v>3500</v>
      </c>
      <c r="AQ693" s="3" t="str">
        <f>HYPERLINK("https://icf.clappia.com/app/GMB253374/submission/DDN15586396/ICF247370-GMB253374-3oi304d5edec00000000/SIG-20250630_115573mee.jpeg", "SIG-20250630_115573mee.jpeg")</f>
        <v>SIG-20250630_115573mee.jpeg</v>
      </c>
      <c r="AR693" s="1" t="s">
        <v>3501</v>
      </c>
      <c r="AS693" s="3" t="str">
        <f>HYPERLINK("https://icf.clappia.com/app/GMB253374/submission/DDN15586396/ICF247370-GMB253374-482gbc2159c200000000/SIG-20250630_1156jk2db.jpeg", "SIG-20250630_1156jk2db.jpeg")</f>
        <v>SIG-20250630_1156jk2db.jpeg</v>
      </c>
      <c r="AT693" s="1" t="s">
        <v>2321</v>
      </c>
      <c r="AU693" s="3" t="str">
        <f>HYPERLINK("https://icf.clappia.com/app/GMB253374/submission/DDN15586396/ICF247370-GMB253374-33gdm3b02eda00000000/SIG-20250630_1158hf589.jpeg", "SIG-20250630_1158hf589.jpeg")</f>
        <v>SIG-20250630_1158hf589.jpeg</v>
      </c>
      <c r="AV693" s="3" t="str">
        <f>HYPERLINK("https://www.google.com/maps/place/7.6794153%2C-11.8212909", "7.6794153,-11.8212909")</f>
        <v>7.6794153,-11.8212909</v>
      </c>
    </row>
    <row r="694" ht="15.75" customHeight="1">
      <c r="A694" s="1" t="s">
        <v>3502</v>
      </c>
      <c r="B694" s="1" t="s">
        <v>349</v>
      </c>
      <c r="C694" s="1" t="s">
        <v>3503</v>
      </c>
      <c r="D694" s="1" t="s">
        <v>3503</v>
      </c>
      <c r="E694" s="1" t="s">
        <v>3504</v>
      </c>
      <c r="F694" s="1" t="s">
        <v>64</v>
      </c>
      <c r="G694" s="1">
        <v>150.0</v>
      </c>
      <c r="H694" s="1" t="s">
        <v>50</v>
      </c>
      <c r="I694" s="1">
        <v>18.0</v>
      </c>
      <c r="J694" s="1">
        <v>2.0</v>
      </c>
      <c r="K694" s="1">
        <v>2.0</v>
      </c>
      <c r="L694" s="1">
        <v>16.0</v>
      </c>
      <c r="M694" s="1">
        <v>16.0</v>
      </c>
      <c r="N694" s="1" t="s">
        <v>51</v>
      </c>
      <c r="O694" s="1">
        <v>11.0</v>
      </c>
      <c r="P694" s="1">
        <v>5.0</v>
      </c>
      <c r="Q694" s="1">
        <v>5.0</v>
      </c>
      <c r="R694" s="1">
        <v>6.0</v>
      </c>
      <c r="S694" s="1">
        <v>6.0</v>
      </c>
      <c r="T694" s="1" t="s">
        <v>52</v>
      </c>
      <c r="U694" s="1">
        <v>14.0</v>
      </c>
      <c r="V694" s="1">
        <v>6.0</v>
      </c>
      <c r="W694" s="1">
        <v>6.0</v>
      </c>
      <c r="X694" s="1">
        <v>8.0</v>
      </c>
      <c r="Y694" s="1">
        <v>8.0</v>
      </c>
      <c r="Z694" s="1" t="s">
        <v>53</v>
      </c>
      <c r="AA694" s="1">
        <v>9.0</v>
      </c>
      <c r="AB694" s="1">
        <v>4.0</v>
      </c>
      <c r="AC694" s="1">
        <v>4.0</v>
      </c>
      <c r="AD694" s="1">
        <v>5.0</v>
      </c>
      <c r="AE694" s="1">
        <v>5.0</v>
      </c>
      <c r="AF694" s="1" t="s">
        <v>54</v>
      </c>
      <c r="AG694" s="1">
        <v>15.0</v>
      </c>
      <c r="AH694" s="1">
        <v>8.0</v>
      </c>
      <c r="AI694" s="1">
        <v>8.0</v>
      </c>
      <c r="AJ694" s="1">
        <v>7.0</v>
      </c>
      <c r="AK694" s="1">
        <v>7.0</v>
      </c>
      <c r="AL694" s="1">
        <v>67.0</v>
      </c>
      <c r="AM694" s="1" t="s">
        <v>55</v>
      </c>
      <c r="AN694" s="1">
        <v>83.0</v>
      </c>
      <c r="AO694" s="1">
        <v>83.0</v>
      </c>
      <c r="AP694" s="1" t="s">
        <v>3505</v>
      </c>
      <c r="AQ694" s="3" t="str">
        <f>HYPERLINK("https://icf.clappia.com/app/GMB253374/submission/EUB74080711/ICF247370-GMB253374-440gn5b0360200000000/SIG-20250630_131412ogo7.jpeg", "SIG-20250630_131412ogo7.jpeg")</f>
        <v>SIG-20250630_131412ogo7.jpeg</v>
      </c>
      <c r="AR694" s="1" t="s">
        <v>3506</v>
      </c>
      <c r="AS694" s="3" t="str">
        <f>HYPERLINK("https://icf.clappia.com/app/GMB253374/submission/EUB74080711/ICF247370-GMB253374-92imhb7ho02k0000000/SIG-20250630_1315cb8e3.jpeg", "SIG-20250630_1315cb8e3.jpeg")</f>
        <v>SIG-20250630_1315cb8e3.jpeg</v>
      </c>
      <c r="AT694" s="1" t="s">
        <v>55</v>
      </c>
      <c r="AU694" s="3" t="str">
        <f>HYPERLINK("https://icf.clappia.com/app/GMB253374/submission/EUB74080711/ICF247370-GMB253374-3355dfcnmd1i00000000/SIG-20250630_1315pojhn.jpeg", "SIG-20250630_1315pojhn.jpeg")</f>
        <v>SIG-20250630_1315pojhn.jpeg</v>
      </c>
      <c r="AV694" s="3" t="str">
        <f>HYPERLINK("https://www.google.com/maps/place/8.9608833%2C-11.9761083", "8.9608833,-11.9761083")</f>
        <v>8.9608833,-11.9761083</v>
      </c>
    </row>
    <row r="695" ht="15.75" customHeight="1">
      <c r="A695" s="1" t="s">
        <v>3507</v>
      </c>
      <c r="B695" s="1" t="s">
        <v>142</v>
      </c>
      <c r="C695" s="1" t="s">
        <v>3508</v>
      </c>
      <c r="D695" s="1" t="s">
        <v>3503</v>
      </c>
      <c r="E695" s="1" t="s">
        <v>3509</v>
      </c>
      <c r="F695" s="1" t="s">
        <v>64</v>
      </c>
      <c r="G695" s="1">
        <v>199.0</v>
      </c>
      <c r="H695" s="1" t="s">
        <v>50</v>
      </c>
      <c r="I695" s="1">
        <v>88.0</v>
      </c>
      <c r="J695" s="1">
        <v>39.0</v>
      </c>
      <c r="K695" s="1">
        <v>21.0</v>
      </c>
      <c r="L695" s="1">
        <v>49.0</v>
      </c>
      <c r="M695" s="1">
        <v>47.0</v>
      </c>
      <c r="N695" s="1" t="s">
        <v>51</v>
      </c>
      <c r="O695" s="1">
        <v>52.0</v>
      </c>
      <c r="P695" s="1">
        <v>27.0</v>
      </c>
      <c r="Q695" s="1">
        <v>21.0</v>
      </c>
      <c r="R695" s="1">
        <v>25.0</v>
      </c>
      <c r="S695" s="1">
        <v>11.0</v>
      </c>
      <c r="T695" s="1" t="s">
        <v>52</v>
      </c>
      <c r="U695" s="1">
        <v>44.0</v>
      </c>
      <c r="V695" s="1">
        <v>21.0</v>
      </c>
      <c r="W695" s="1">
        <v>14.0</v>
      </c>
      <c r="X695" s="1">
        <v>23.0</v>
      </c>
      <c r="Y695" s="1">
        <v>20.0</v>
      </c>
      <c r="Z695" s="1" t="s">
        <v>53</v>
      </c>
      <c r="AA695" s="1">
        <v>35.0</v>
      </c>
      <c r="AB695" s="1">
        <v>17.0</v>
      </c>
      <c r="AC695" s="1">
        <v>17.0</v>
      </c>
      <c r="AD695" s="1">
        <v>18.0</v>
      </c>
      <c r="AE695" s="1">
        <v>10.0</v>
      </c>
      <c r="AF695" s="1" t="s">
        <v>54</v>
      </c>
      <c r="AG695" s="1" t="s">
        <v>55</v>
      </c>
      <c r="AH695" s="1" t="s">
        <v>55</v>
      </c>
      <c r="AI695" s="1" t="s">
        <v>55</v>
      </c>
      <c r="AJ695" s="1" t="s">
        <v>55</v>
      </c>
      <c r="AK695" s="1" t="s">
        <v>55</v>
      </c>
      <c r="AL695" s="1">
        <v>161.0</v>
      </c>
      <c r="AM695" s="1" t="s">
        <v>55</v>
      </c>
      <c r="AN695" s="1">
        <v>38.0</v>
      </c>
      <c r="AO695" s="1">
        <v>38.0</v>
      </c>
      <c r="AP695" s="1" t="s">
        <v>3510</v>
      </c>
      <c r="AQ695" s="3" t="str">
        <f>HYPERLINK("https://icf.clappia.com/app/GMB253374/submission/PPP83467305/ICF247370-GMB253374-1agp5l07idig00000000/SIG-20250701_104817pic9.jpeg", "SIG-20250701_104817pic9.jpeg")</f>
        <v>SIG-20250701_104817pic9.jpeg</v>
      </c>
      <c r="AR695" s="1" t="s">
        <v>1704</v>
      </c>
      <c r="AS695" s="3" t="str">
        <f>HYPERLINK("https://icf.clappia.com/app/GMB253374/submission/PPP83467305/ICF247370-GMB253374-2f1feakdfecg00000000/SIG-20250701_1047anj8d.jpeg", "SIG-20250701_1047anj8d.jpeg")</f>
        <v>SIG-20250701_1047anj8d.jpeg</v>
      </c>
      <c r="AT695" s="1" t="s">
        <v>1705</v>
      </c>
      <c r="AU695" s="3" t="str">
        <f>HYPERLINK("https://icf.clappia.com/app/GMB253374/submission/PPP83467305/ICF247370-GMB253374-24c9ii9h8bn0i0000000/SIG-20250701_105014597.jpeg", "SIG-20250701_105014597.jpeg")</f>
        <v>SIG-20250701_105014597.jpeg</v>
      </c>
      <c r="AV695" s="3" t="str">
        <f>HYPERLINK("https://www.google.com/maps/place/7.8925244%2C-11.9043221", "7.8925244,-11.9043221")</f>
        <v>7.8925244,-11.9043221</v>
      </c>
    </row>
    <row r="696" ht="15.75" customHeight="1">
      <c r="A696" s="1" t="s">
        <v>3511</v>
      </c>
      <c r="B696" s="1" t="s">
        <v>81</v>
      </c>
      <c r="C696" s="1" t="s">
        <v>3512</v>
      </c>
      <c r="D696" s="1" t="s">
        <v>3512</v>
      </c>
      <c r="E696" s="1" t="s">
        <v>3513</v>
      </c>
      <c r="F696" s="1" t="s">
        <v>49</v>
      </c>
      <c r="G696" s="1">
        <v>65.0</v>
      </c>
      <c r="H696" s="1" t="s">
        <v>50</v>
      </c>
      <c r="I696" s="1">
        <v>21.0</v>
      </c>
      <c r="J696" s="1">
        <v>12.0</v>
      </c>
      <c r="K696" s="1">
        <v>11.0</v>
      </c>
      <c r="L696" s="1">
        <v>9.0</v>
      </c>
      <c r="M696" s="1">
        <v>8.0</v>
      </c>
      <c r="N696" s="1" t="s">
        <v>51</v>
      </c>
      <c r="O696" s="1">
        <v>17.0</v>
      </c>
      <c r="P696" s="1">
        <v>9.0</v>
      </c>
      <c r="Q696" s="1">
        <v>7.0</v>
      </c>
      <c r="R696" s="1">
        <v>8.0</v>
      </c>
      <c r="S696" s="1">
        <v>8.0</v>
      </c>
      <c r="T696" s="1" t="s">
        <v>52</v>
      </c>
      <c r="U696" s="1">
        <v>22.0</v>
      </c>
      <c r="V696" s="1">
        <v>13.0</v>
      </c>
      <c r="W696" s="1">
        <v>12.0</v>
      </c>
      <c r="X696" s="1">
        <v>9.0</v>
      </c>
      <c r="Y696" s="1">
        <v>7.0</v>
      </c>
      <c r="Z696" s="1" t="s">
        <v>53</v>
      </c>
      <c r="AA696" s="1">
        <v>12.0</v>
      </c>
      <c r="AB696" s="1">
        <v>7.0</v>
      </c>
      <c r="AC696" s="1">
        <v>7.0</v>
      </c>
      <c r="AD696" s="1">
        <v>5.0</v>
      </c>
      <c r="AE696" s="1">
        <v>5.0</v>
      </c>
      <c r="AF696" s="1" t="s">
        <v>54</v>
      </c>
      <c r="AG696" s="1">
        <v>7.0</v>
      </c>
      <c r="AH696" s="1">
        <v>5.0</v>
      </c>
      <c r="AI696" s="1" t="s">
        <v>55</v>
      </c>
      <c r="AJ696" s="1">
        <v>2.0</v>
      </c>
      <c r="AK696" s="1" t="s">
        <v>55</v>
      </c>
      <c r="AL696" s="1">
        <v>65.0</v>
      </c>
      <c r="AM696" s="1" t="s">
        <v>55</v>
      </c>
      <c r="AN696" s="1" t="s">
        <v>55</v>
      </c>
      <c r="AO696" s="1" t="s">
        <v>55</v>
      </c>
      <c r="AP696" s="1" t="s">
        <v>1193</v>
      </c>
      <c r="AQ696" s="3" t="str">
        <f>HYPERLINK("https://icf.clappia.com/app/GMB253374/submission/RGJ70850319/ICF247370-GMB253374-1ie4p1gc4c1kk0000000/SIG-20250701_1129imcj1.jpeg", "SIG-20250701_1129imcj1.jpeg")</f>
        <v>SIG-20250701_1129imcj1.jpeg</v>
      </c>
      <c r="AR696" s="1" t="s">
        <v>1194</v>
      </c>
      <c r="AS696" s="3" t="str">
        <f>HYPERLINK("https://icf.clappia.com/app/GMB253374/submission/RGJ70850319/ICF247370-GMB253374-ncmei01dj0ik000000/SIG-20250701_1132ggonk.jpeg", "SIG-20250701_1132ggonk.jpeg")</f>
        <v>SIG-20250701_1132ggonk.jpeg</v>
      </c>
      <c r="AT696" s="1" t="s">
        <v>3514</v>
      </c>
      <c r="AU696" s="3" t="str">
        <f>HYPERLINK("https://icf.clappia.com/app/GMB253374/submission/RGJ70850319/ICF247370-GMB253374-27ccg227c40b20000000/SIG-20250701_113419k0pe.jpeg", "SIG-20250701_113419k0pe.jpeg")</f>
        <v>SIG-20250701_113419k0pe.jpeg</v>
      </c>
      <c r="AV696" s="3" t="str">
        <f>HYPERLINK("https://www.google.com/maps/place/7.9487535%2C-11.7258679", "7.9487535,-11.7258679")</f>
        <v>7.9487535,-11.7258679</v>
      </c>
    </row>
    <row r="697" ht="15.75" customHeight="1">
      <c r="A697" s="1" t="s">
        <v>3515</v>
      </c>
      <c r="B697" s="1" t="s">
        <v>690</v>
      </c>
      <c r="C697" s="1" t="s">
        <v>3516</v>
      </c>
      <c r="D697" s="1" t="s">
        <v>3516</v>
      </c>
      <c r="E697" s="1" t="s">
        <v>3517</v>
      </c>
      <c r="F697" s="1" t="s">
        <v>64</v>
      </c>
      <c r="G697" s="1">
        <v>150.0</v>
      </c>
      <c r="H697" s="1" t="s">
        <v>50</v>
      </c>
      <c r="I697" s="1">
        <v>46.0</v>
      </c>
      <c r="J697" s="1">
        <v>22.0</v>
      </c>
      <c r="K697" s="1">
        <v>22.0</v>
      </c>
      <c r="L697" s="1">
        <v>24.0</v>
      </c>
      <c r="M697" s="1">
        <v>24.0</v>
      </c>
      <c r="N697" s="1" t="s">
        <v>51</v>
      </c>
      <c r="O697" s="1">
        <v>19.0</v>
      </c>
      <c r="P697" s="1">
        <v>10.0</v>
      </c>
      <c r="Q697" s="1">
        <v>10.0</v>
      </c>
      <c r="R697" s="1">
        <v>9.0</v>
      </c>
      <c r="S697" s="1">
        <v>9.0</v>
      </c>
      <c r="T697" s="1" t="s">
        <v>52</v>
      </c>
      <c r="U697" s="1">
        <v>15.0</v>
      </c>
      <c r="V697" s="1">
        <v>7.0</v>
      </c>
      <c r="W697" s="1">
        <v>7.0</v>
      </c>
      <c r="X697" s="1">
        <v>8.0</v>
      </c>
      <c r="Y697" s="1">
        <v>8.0</v>
      </c>
      <c r="Z697" s="1" t="s">
        <v>53</v>
      </c>
      <c r="AA697" s="1">
        <v>18.0</v>
      </c>
      <c r="AB697" s="1">
        <v>8.0</v>
      </c>
      <c r="AC697" s="1">
        <v>8.0</v>
      </c>
      <c r="AD697" s="1">
        <v>10.0</v>
      </c>
      <c r="AE697" s="1">
        <v>10.0</v>
      </c>
      <c r="AF697" s="1" t="s">
        <v>54</v>
      </c>
      <c r="AG697" s="1">
        <v>13.0</v>
      </c>
      <c r="AH697" s="1">
        <v>8.0</v>
      </c>
      <c r="AI697" s="1">
        <v>8.0</v>
      </c>
      <c r="AJ697" s="1">
        <v>5.0</v>
      </c>
      <c r="AK697" s="1">
        <v>5.0</v>
      </c>
      <c r="AL697" s="1">
        <v>111.0</v>
      </c>
      <c r="AM697" s="1" t="s">
        <v>55</v>
      </c>
      <c r="AN697" s="1">
        <v>39.0</v>
      </c>
      <c r="AO697" s="1">
        <v>39.0</v>
      </c>
      <c r="AP697" s="1" t="s">
        <v>3518</v>
      </c>
      <c r="AQ697" s="3" t="str">
        <f>HYPERLINK("https://icf.clappia.com/app/GMB253374/submission/AMC37038681/ICF247370-GMB253374-4c0f34hjldcg00000000/SIG-20250701_1130ile0g.jpeg", "SIG-20250701_1130ile0g.jpeg")</f>
        <v>SIG-20250701_1130ile0g.jpeg</v>
      </c>
      <c r="AR697" s="1" t="s">
        <v>3519</v>
      </c>
      <c r="AS697" s="3" t="str">
        <f>HYPERLINK("https://icf.clappia.com/app/GMB253374/submission/AMC37038681/ICF247370-GMB253374-53d5p0pnbe4000000000/SIG-20250701_113115hg1j.jpeg", "SIG-20250701_113115hg1j.jpeg")</f>
        <v>SIG-20250701_113115hg1j.jpeg</v>
      </c>
      <c r="AT697" s="1" t="s">
        <v>3520</v>
      </c>
      <c r="AU697" s="3" t="str">
        <f>HYPERLINK("https://icf.clappia.com/app/GMB253374/submission/AMC37038681/ICF247370-GMB253374-35beb24dmbba00000000/SIG-20250701_1133ipoa8.jpeg", "SIG-20250701_1133ipoa8.jpeg")</f>
        <v>SIG-20250701_1133ipoa8.jpeg</v>
      </c>
      <c r="AV697" s="3" t="str">
        <f>HYPERLINK("https://www.google.com/maps/place/8.7492554%2C-12.1229767", "8.7492554,-12.1229767")</f>
        <v>8.7492554,-12.1229767</v>
      </c>
    </row>
    <row r="698" ht="15.75" customHeight="1">
      <c r="A698" s="1" t="s">
        <v>3521</v>
      </c>
      <c r="B698" s="1" t="s">
        <v>690</v>
      </c>
      <c r="C698" s="1" t="s">
        <v>3522</v>
      </c>
      <c r="D698" s="1" t="s">
        <v>3522</v>
      </c>
      <c r="E698" s="1" t="s">
        <v>3523</v>
      </c>
      <c r="F698" s="1" t="s">
        <v>64</v>
      </c>
      <c r="G698" s="1">
        <v>209.0</v>
      </c>
      <c r="H698" s="1" t="s">
        <v>50</v>
      </c>
      <c r="I698" s="1">
        <v>45.0</v>
      </c>
      <c r="J698" s="1">
        <v>25.0</v>
      </c>
      <c r="K698" s="1">
        <v>22.0</v>
      </c>
      <c r="L698" s="1">
        <v>20.0</v>
      </c>
      <c r="M698" s="1">
        <v>18.0</v>
      </c>
      <c r="N698" s="1" t="s">
        <v>51</v>
      </c>
      <c r="O698" s="1">
        <v>24.0</v>
      </c>
      <c r="P698" s="1">
        <v>10.0</v>
      </c>
      <c r="Q698" s="1">
        <v>10.0</v>
      </c>
      <c r="R698" s="1">
        <v>14.0</v>
      </c>
      <c r="S698" s="1">
        <v>12.0</v>
      </c>
      <c r="T698" s="1" t="s">
        <v>52</v>
      </c>
      <c r="U698" s="1">
        <v>28.0</v>
      </c>
      <c r="V698" s="1">
        <v>16.0</v>
      </c>
      <c r="W698" s="1">
        <v>15.0</v>
      </c>
      <c r="X698" s="1">
        <v>12.0</v>
      </c>
      <c r="Y698" s="1">
        <v>12.0</v>
      </c>
      <c r="Z698" s="1" t="s">
        <v>53</v>
      </c>
      <c r="AA698" s="1">
        <v>23.0</v>
      </c>
      <c r="AB698" s="1">
        <v>9.0</v>
      </c>
      <c r="AC698" s="1">
        <v>9.0</v>
      </c>
      <c r="AD698" s="1">
        <v>14.0</v>
      </c>
      <c r="AE698" s="1">
        <v>13.0</v>
      </c>
      <c r="AF698" s="1" t="s">
        <v>54</v>
      </c>
      <c r="AG698" s="1">
        <v>36.0</v>
      </c>
      <c r="AH698" s="1">
        <v>20.0</v>
      </c>
      <c r="AI698" s="1">
        <v>18.0</v>
      </c>
      <c r="AJ698" s="1">
        <v>16.0</v>
      </c>
      <c r="AK698" s="1">
        <v>16.0</v>
      </c>
      <c r="AL698" s="1">
        <v>145.0</v>
      </c>
      <c r="AM698" s="1">
        <v>10.0</v>
      </c>
      <c r="AN698" s="1">
        <v>54.0</v>
      </c>
      <c r="AO698" s="1">
        <v>54.0</v>
      </c>
      <c r="AP698" s="1" t="s">
        <v>1310</v>
      </c>
      <c r="AQ698" s="3" t="str">
        <f>HYPERLINK("https://icf.clappia.com/app/GMB253374/submission/MHA10608103/ICF247370-GMB253374-3988a2lb0cf200000000/SIG-20250701_115394hik.jpeg", "SIG-20250701_115394hik.jpeg")</f>
        <v>SIG-20250701_115394hik.jpeg</v>
      </c>
      <c r="AR698" s="1" t="s">
        <v>1311</v>
      </c>
      <c r="AS698" s="3" t="str">
        <f>HYPERLINK("https://icf.clappia.com/app/GMB253374/submission/MHA10608103/ICF247370-GMB253374-1em5kej76pbck0000000/SIG-20250701_1152165471.jpeg", "SIG-20250701_1152165471.jpeg")</f>
        <v>SIG-20250701_1152165471.jpeg</v>
      </c>
      <c r="AT698" s="1" t="s">
        <v>3524</v>
      </c>
      <c r="AU698" s="3" t="str">
        <f>HYPERLINK("https://icf.clappia.com/app/GMB253374/submission/MHA10608103/ICF247370-GMB253374-5j61g6k24jha00000000/SIG-20250701_1153edkh.jpeg", "SIG-20250701_1153edkh.jpeg")</f>
        <v>SIG-20250701_1153edkh.jpeg</v>
      </c>
      <c r="AV698" s="3" t="str">
        <f>HYPERLINK("https://www.google.com/maps/place/8.8411835%2C-12.0534414", "8.8411835,-12.0534414")</f>
        <v>8.8411835,-12.0534414</v>
      </c>
    </row>
    <row r="699" ht="15.75" customHeight="1">
      <c r="A699" s="1" t="s">
        <v>3525</v>
      </c>
      <c r="B699" s="1" t="s">
        <v>81</v>
      </c>
      <c r="C699" s="1" t="s">
        <v>3522</v>
      </c>
      <c r="D699" s="1" t="s">
        <v>3522</v>
      </c>
      <c r="E699" s="1" t="s">
        <v>3526</v>
      </c>
      <c r="F699" s="1" t="s">
        <v>64</v>
      </c>
      <c r="G699" s="1">
        <v>211.0</v>
      </c>
      <c r="H699" s="1" t="s">
        <v>50</v>
      </c>
      <c r="I699" s="1">
        <v>30.0</v>
      </c>
      <c r="J699" s="1">
        <v>15.0</v>
      </c>
      <c r="K699" s="1">
        <v>14.0</v>
      </c>
      <c r="L699" s="1">
        <v>15.0</v>
      </c>
      <c r="M699" s="1">
        <v>10.0</v>
      </c>
      <c r="N699" s="1" t="s">
        <v>51</v>
      </c>
      <c r="O699" s="1">
        <v>37.0</v>
      </c>
      <c r="P699" s="1">
        <v>15.0</v>
      </c>
      <c r="Q699" s="1">
        <v>14.0</v>
      </c>
      <c r="R699" s="1">
        <v>22.0</v>
      </c>
      <c r="S699" s="1">
        <v>19.0</v>
      </c>
      <c r="T699" s="1" t="s">
        <v>52</v>
      </c>
      <c r="U699" s="1">
        <v>31.0</v>
      </c>
      <c r="V699" s="1">
        <v>15.0</v>
      </c>
      <c r="W699" s="1">
        <v>13.0</v>
      </c>
      <c r="X699" s="1">
        <v>16.0</v>
      </c>
      <c r="Y699" s="1">
        <v>11.0</v>
      </c>
      <c r="Z699" s="1" t="s">
        <v>53</v>
      </c>
      <c r="AA699" s="1">
        <v>27.0</v>
      </c>
      <c r="AB699" s="1">
        <v>12.0</v>
      </c>
      <c r="AC699" s="1">
        <v>5.0</v>
      </c>
      <c r="AD699" s="1">
        <v>15.0</v>
      </c>
      <c r="AE699" s="1">
        <v>11.0</v>
      </c>
      <c r="AF699" s="1" t="s">
        <v>54</v>
      </c>
      <c r="AG699" s="1">
        <v>30.0</v>
      </c>
      <c r="AH699" s="1">
        <v>14.0</v>
      </c>
      <c r="AI699" s="1">
        <v>11.0</v>
      </c>
      <c r="AJ699" s="1">
        <v>16.0</v>
      </c>
      <c r="AK699" s="1">
        <v>11.0</v>
      </c>
      <c r="AL699" s="1">
        <v>119.0</v>
      </c>
      <c r="AM699" s="1" t="s">
        <v>55</v>
      </c>
      <c r="AN699" s="1">
        <v>92.0</v>
      </c>
      <c r="AO699" s="1">
        <v>92.0</v>
      </c>
      <c r="AP699" s="1" t="s">
        <v>854</v>
      </c>
      <c r="AQ699" s="3" t="str">
        <f>HYPERLINK("https://icf.clappia.com/app/GMB253374/submission/MNM58666910/ICF247370-GMB253374-3odoo5p4fom000000000/SIG-20250701_115214ffcg.jpeg", "SIG-20250701_115214ffcg.jpeg")</f>
        <v>SIG-20250701_115214ffcg.jpeg</v>
      </c>
      <c r="AR699" s="1" t="s">
        <v>855</v>
      </c>
      <c r="AS699" s="3" t="str">
        <f>HYPERLINK("https://icf.clappia.com/app/GMB253374/submission/MNM58666910/ICF247370-GMB253374-4ocdflldp5l600000000/SIG-20250701_1153cd64i.jpeg", "SIG-20250701_1153cd64i.jpeg")</f>
        <v>SIG-20250701_1153cd64i.jpeg</v>
      </c>
      <c r="AT699" s="1" t="s">
        <v>856</v>
      </c>
      <c r="AU699" s="3" t="str">
        <f>HYPERLINK("https://icf.clappia.com/app/GMB253374/submission/MNM58666910/ICF247370-GMB253374-36lpooh17lpc00000000/SIG-20250701_1154cmddp.jpeg", "SIG-20250701_1154cmddp.jpeg")</f>
        <v>SIG-20250701_1154cmddp.jpeg</v>
      </c>
      <c r="AV699" s="3" t="str">
        <f>HYPERLINK("https://www.google.com/maps/place/7.9460988%2C-11.7369012", "7.9460988,-11.7369012")</f>
        <v>7.9460988,-11.7369012</v>
      </c>
    </row>
    <row r="700" ht="15.75" customHeight="1">
      <c r="A700" s="1" t="s">
        <v>3527</v>
      </c>
      <c r="B700" s="1" t="s">
        <v>81</v>
      </c>
      <c r="C700" s="1" t="s">
        <v>3522</v>
      </c>
      <c r="D700" s="1" t="s">
        <v>3522</v>
      </c>
      <c r="E700" s="1" t="s">
        <v>3528</v>
      </c>
      <c r="F700" s="1" t="s">
        <v>49</v>
      </c>
      <c r="G700" s="1">
        <v>300.0</v>
      </c>
      <c r="H700" s="1" t="s">
        <v>50</v>
      </c>
      <c r="I700" s="1">
        <v>55.0</v>
      </c>
      <c r="J700" s="1">
        <v>22.0</v>
      </c>
      <c r="K700" s="1">
        <v>22.0</v>
      </c>
      <c r="L700" s="1">
        <v>33.0</v>
      </c>
      <c r="M700" s="1">
        <v>33.0</v>
      </c>
      <c r="N700" s="1" t="s">
        <v>51</v>
      </c>
      <c r="O700" s="1">
        <v>51.0</v>
      </c>
      <c r="P700" s="1">
        <v>25.0</v>
      </c>
      <c r="Q700" s="1">
        <v>23.0</v>
      </c>
      <c r="R700" s="1">
        <v>26.0</v>
      </c>
      <c r="S700" s="1">
        <v>26.0</v>
      </c>
      <c r="T700" s="1" t="s">
        <v>52</v>
      </c>
      <c r="U700" s="1">
        <v>64.0</v>
      </c>
      <c r="V700" s="1">
        <v>30.0</v>
      </c>
      <c r="W700" s="1">
        <v>30.0</v>
      </c>
      <c r="X700" s="1">
        <v>34.0</v>
      </c>
      <c r="Y700" s="1">
        <v>34.0</v>
      </c>
      <c r="Z700" s="1" t="s">
        <v>53</v>
      </c>
      <c r="AA700" s="1">
        <v>69.0</v>
      </c>
      <c r="AB700" s="1">
        <v>30.0</v>
      </c>
      <c r="AC700" s="1">
        <v>30.0</v>
      </c>
      <c r="AD700" s="1">
        <v>38.0</v>
      </c>
      <c r="AE700" s="1">
        <v>38.0</v>
      </c>
      <c r="AF700" s="1" t="s">
        <v>54</v>
      </c>
      <c r="AG700" s="1">
        <v>46.0</v>
      </c>
      <c r="AH700" s="1">
        <v>22.0</v>
      </c>
      <c r="AI700" s="1">
        <v>22.0</v>
      </c>
      <c r="AJ700" s="1">
        <v>24.0</v>
      </c>
      <c r="AK700" s="1">
        <v>24.0</v>
      </c>
      <c r="AL700" s="1">
        <v>282.0</v>
      </c>
      <c r="AM700" s="1" t="s">
        <v>55</v>
      </c>
      <c r="AN700" s="1">
        <v>18.0</v>
      </c>
      <c r="AO700" s="1">
        <v>18.0</v>
      </c>
      <c r="AP700" s="1" t="s">
        <v>176</v>
      </c>
      <c r="AQ700" s="3" t="str">
        <f>HYPERLINK("https://icf.clappia.com/app/GMB253374/submission/KGK35571452/ICF247370-GMB253374-cb7n1j3gb9mo0000000/SIG-20250701_1139924jp.jpeg", "SIG-20250701_1139924jp.jpeg")</f>
        <v>SIG-20250701_1139924jp.jpeg</v>
      </c>
      <c r="AR700" s="1" t="s">
        <v>177</v>
      </c>
      <c r="AS700" s="3" t="str">
        <f>HYPERLINK("https://icf.clappia.com/app/GMB253374/submission/KGK35571452/ICF247370-GMB253374-3g8j57jhaphe00000000/SIG-20250701_1144130kjg.jpeg", "SIG-20250701_1144130kjg.jpeg")</f>
        <v>SIG-20250701_1144130kjg.jpeg</v>
      </c>
      <c r="AT700" s="1" t="s">
        <v>178</v>
      </c>
      <c r="AU700" s="3" t="str">
        <f>HYPERLINK("https://icf.clappia.com/app/GMB253374/submission/KGK35571452/ICF247370-GMB253374-23hn8fl3age6i0000000/SIG-20250701_114510gmno.jpeg", "SIG-20250701_114510gmno.jpeg")</f>
        <v>SIG-20250701_114510gmno.jpeg</v>
      </c>
      <c r="AV700" s="3" t="str">
        <f>HYPERLINK("https://www.google.com/maps/place/7.9576417%2C-11.7417297", "7.9576417,-11.7417297")</f>
        <v>7.9576417,-11.7417297</v>
      </c>
    </row>
    <row r="701" ht="15.75" customHeight="1">
      <c r="A701" s="1" t="s">
        <v>3529</v>
      </c>
      <c r="B701" s="1" t="s">
        <v>802</v>
      </c>
      <c r="C701" s="1" t="s">
        <v>3530</v>
      </c>
      <c r="D701" s="1" t="s">
        <v>3531</v>
      </c>
      <c r="E701" s="1" t="s">
        <v>3532</v>
      </c>
      <c r="F701" s="1" t="s">
        <v>64</v>
      </c>
      <c r="G701" s="1">
        <v>356.0</v>
      </c>
      <c r="H701" s="1" t="s">
        <v>50</v>
      </c>
      <c r="I701" s="1">
        <v>85.0</v>
      </c>
      <c r="J701" s="1">
        <v>50.0</v>
      </c>
      <c r="K701" s="1">
        <v>50.0</v>
      </c>
      <c r="L701" s="1">
        <v>35.0</v>
      </c>
      <c r="M701" s="1">
        <v>35.0</v>
      </c>
      <c r="N701" s="1" t="s">
        <v>51</v>
      </c>
      <c r="O701" s="1">
        <v>47.0</v>
      </c>
      <c r="P701" s="1">
        <v>20.0</v>
      </c>
      <c r="Q701" s="1">
        <v>20.0</v>
      </c>
      <c r="R701" s="1">
        <v>27.0</v>
      </c>
      <c r="S701" s="1">
        <v>27.0</v>
      </c>
      <c r="T701" s="1" t="s">
        <v>52</v>
      </c>
      <c r="U701" s="1">
        <v>64.0</v>
      </c>
      <c r="V701" s="1">
        <v>39.0</v>
      </c>
      <c r="W701" s="1">
        <v>39.0</v>
      </c>
      <c r="X701" s="1">
        <v>25.0</v>
      </c>
      <c r="Y701" s="1">
        <v>25.0</v>
      </c>
      <c r="Z701" s="1" t="s">
        <v>53</v>
      </c>
      <c r="AA701" s="1">
        <v>68.0</v>
      </c>
      <c r="AB701" s="1">
        <v>43.0</v>
      </c>
      <c r="AC701" s="1">
        <v>43.0</v>
      </c>
      <c r="AD701" s="1">
        <v>25.0</v>
      </c>
      <c r="AE701" s="1">
        <v>25.0</v>
      </c>
      <c r="AF701" s="1" t="s">
        <v>54</v>
      </c>
      <c r="AG701" s="1">
        <v>92.0</v>
      </c>
      <c r="AH701" s="1">
        <v>40.0</v>
      </c>
      <c r="AI701" s="1">
        <v>40.0</v>
      </c>
      <c r="AJ701" s="1">
        <v>52.0</v>
      </c>
      <c r="AK701" s="1">
        <v>52.0</v>
      </c>
      <c r="AL701" s="1">
        <v>356.0</v>
      </c>
      <c r="AM701" s="1" t="s">
        <v>55</v>
      </c>
      <c r="AN701" s="1" t="s">
        <v>55</v>
      </c>
      <c r="AO701" s="1" t="s">
        <v>55</v>
      </c>
      <c r="AP701" s="1" t="s">
        <v>3533</v>
      </c>
      <c r="AQ701" s="3" t="str">
        <f>HYPERLINK("https://icf.clappia.com/app/GMB253374/submission/BZT94863039/ICF247370-GMB253374-2mgm8nk6a8a800000000/SIG-20250701_102414ic27.jpeg", "SIG-20250701_102414ic27.jpeg")</f>
        <v>SIG-20250701_102414ic27.jpeg</v>
      </c>
      <c r="AR701" s="1" t="s">
        <v>3534</v>
      </c>
      <c r="AS701" s="3" t="str">
        <f>HYPERLINK("https://icf.clappia.com/app/GMB253374/submission/BZT94863039/ICF247370-GMB253374-i57llce237je0000000/SIG-20250701_1025dc473.jpeg", "SIG-20250701_1025dc473.jpeg")</f>
        <v>SIG-20250701_1025dc473.jpeg</v>
      </c>
      <c r="AT701" s="1" t="s">
        <v>3535</v>
      </c>
      <c r="AU701" s="3" t="str">
        <f>HYPERLINK("https://icf.clappia.com/app/GMB253374/submission/BZT94863039/ICF247370-GMB253374-3o9954m49d0000000000/SIG-20250701_10268jbaa.jpeg", "SIG-20250701_10268jbaa.jpeg")</f>
        <v>SIG-20250701_10268jbaa.jpeg</v>
      </c>
      <c r="AV701" s="3" t="str">
        <f>HYPERLINK("https://www.google.com/maps/place/7.7785533%2C-11.43038", "7.7785533,-11.43038")</f>
        <v>7.7785533,-11.43038</v>
      </c>
    </row>
    <row r="702" ht="15.75" customHeight="1">
      <c r="A702" s="1" t="s">
        <v>3536</v>
      </c>
      <c r="B702" s="1" t="s">
        <v>81</v>
      </c>
      <c r="C702" s="1" t="s">
        <v>3537</v>
      </c>
      <c r="D702" s="1" t="s">
        <v>3537</v>
      </c>
      <c r="E702" s="1" t="s">
        <v>3538</v>
      </c>
      <c r="F702" s="1" t="s">
        <v>64</v>
      </c>
      <c r="G702" s="1">
        <v>150.0</v>
      </c>
      <c r="H702" s="1" t="s">
        <v>50</v>
      </c>
      <c r="I702" s="1">
        <v>50.0</v>
      </c>
      <c r="J702" s="1">
        <v>32.0</v>
      </c>
      <c r="K702" s="1">
        <v>32.0</v>
      </c>
      <c r="L702" s="1">
        <v>18.0</v>
      </c>
      <c r="M702" s="1">
        <v>18.0</v>
      </c>
      <c r="N702" s="1" t="s">
        <v>51</v>
      </c>
      <c r="O702" s="1">
        <v>32.0</v>
      </c>
      <c r="P702" s="1">
        <v>17.0</v>
      </c>
      <c r="Q702" s="1">
        <v>17.0</v>
      </c>
      <c r="R702" s="1">
        <v>15.0</v>
      </c>
      <c r="S702" s="1">
        <v>15.0</v>
      </c>
      <c r="T702" s="1" t="s">
        <v>52</v>
      </c>
      <c r="U702" s="1">
        <v>40.0</v>
      </c>
      <c r="V702" s="1">
        <v>19.0</v>
      </c>
      <c r="W702" s="1">
        <v>19.0</v>
      </c>
      <c r="X702" s="1">
        <v>21.0</v>
      </c>
      <c r="Y702" s="1">
        <v>21.0</v>
      </c>
      <c r="Z702" s="1" t="s">
        <v>53</v>
      </c>
      <c r="AA702" s="1">
        <v>20.0</v>
      </c>
      <c r="AB702" s="1">
        <v>11.0</v>
      </c>
      <c r="AC702" s="1">
        <v>11.0</v>
      </c>
      <c r="AD702" s="1">
        <v>9.0</v>
      </c>
      <c r="AE702" s="1">
        <v>9.0</v>
      </c>
      <c r="AF702" s="1" t="s">
        <v>54</v>
      </c>
      <c r="AG702" s="1">
        <v>8.0</v>
      </c>
      <c r="AH702" s="1">
        <v>5.0</v>
      </c>
      <c r="AI702" s="1">
        <v>5.0</v>
      </c>
      <c r="AJ702" s="1">
        <v>3.0</v>
      </c>
      <c r="AK702" s="1">
        <v>3.0</v>
      </c>
      <c r="AL702" s="1">
        <v>150.0</v>
      </c>
      <c r="AM702" s="1" t="s">
        <v>55</v>
      </c>
      <c r="AN702" s="1" t="s">
        <v>55</v>
      </c>
      <c r="AO702" s="1" t="s">
        <v>55</v>
      </c>
      <c r="AP702" s="1" t="s">
        <v>1113</v>
      </c>
      <c r="AQ702" s="3" t="str">
        <f>HYPERLINK("https://icf.clappia.com/app/GMB253374/submission/KLI45208462/ICF247370-GMB253374-cn8jb0e1enfe0000000/SIG-20250701_1117125g9g.jpeg", "SIG-20250701_1117125g9g.jpeg")</f>
        <v>SIG-20250701_1117125g9g.jpeg</v>
      </c>
      <c r="AR702" s="1" t="s">
        <v>2483</v>
      </c>
      <c r="AS702" s="3" t="str">
        <f>HYPERLINK("https://icf.clappia.com/app/GMB253374/submission/KLI45208462/ICF247370-GMB253374-gf82a17d06ic0000000/SIG-20250701_1118ipcfi.jpeg", "SIG-20250701_1118ipcfi.jpeg")</f>
        <v>SIG-20250701_1118ipcfi.jpeg</v>
      </c>
      <c r="AT702" s="1" t="s">
        <v>3539</v>
      </c>
      <c r="AU702" s="3" t="str">
        <f>HYPERLINK("https://icf.clappia.com/app/GMB253374/submission/KLI45208462/ICF247370-GMB253374-3c4kkmhii2lg00000000/SIG-20250701_1131n1j3k.jpeg", "SIG-20250701_1131n1j3k.jpeg")</f>
        <v>SIG-20250701_1131n1j3k.jpeg</v>
      </c>
      <c r="AV702" s="3" t="str">
        <f>HYPERLINK("https://www.google.com/maps/place/7.9511455%2C-11.7358334", "7.9511455,-11.7358334")</f>
        <v>7.9511455,-11.7358334</v>
      </c>
    </row>
    <row r="703" ht="15.75" customHeight="1">
      <c r="A703" s="1" t="s">
        <v>3540</v>
      </c>
      <c r="B703" s="1" t="s">
        <v>60</v>
      </c>
      <c r="C703" s="1" t="s">
        <v>3537</v>
      </c>
      <c r="D703" s="1" t="s">
        <v>3537</v>
      </c>
      <c r="E703" s="1" t="s">
        <v>3541</v>
      </c>
      <c r="F703" s="1" t="s">
        <v>49</v>
      </c>
      <c r="G703" s="1">
        <v>232.0</v>
      </c>
      <c r="H703" s="1" t="s">
        <v>50</v>
      </c>
      <c r="I703" s="1">
        <v>28.0</v>
      </c>
      <c r="J703" s="1">
        <v>16.0</v>
      </c>
      <c r="K703" s="1">
        <v>14.0</v>
      </c>
      <c r="L703" s="1">
        <v>12.0</v>
      </c>
      <c r="M703" s="1">
        <v>11.0</v>
      </c>
      <c r="N703" s="1" t="s">
        <v>51</v>
      </c>
      <c r="O703" s="1">
        <v>16.0</v>
      </c>
      <c r="P703" s="1">
        <v>7.0</v>
      </c>
      <c r="Q703" s="1">
        <v>6.0</v>
      </c>
      <c r="R703" s="1">
        <v>9.0</v>
      </c>
      <c r="S703" s="1">
        <v>9.0</v>
      </c>
      <c r="T703" s="1" t="s">
        <v>52</v>
      </c>
      <c r="U703" s="1">
        <v>23.0</v>
      </c>
      <c r="V703" s="1">
        <v>16.0</v>
      </c>
      <c r="W703" s="1">
        <v>16.0</v>
      </c>
      <c r="X703" s="1">
        <v>7.0</v>
      </c>
      <c r="Y703" s="1">
        <v>7.0</v>
      </c>
      <c r="Z703" s="1" t="s">
        <v>53</v>
      </c>
      <c r="AA703" s="1">
        <v>25.0</v>
      </c>
      <c r="AB703" s="1">
        <v>10.0</v>
      </c>
      <c r="AC703" s="1">
        <v>6.0</v>
      </c>
      <c r="AD703" s="1">
        <v>15.0</v>
      </c>
      <c r="AE703" s="1">
        <v>14.0</v>
      </c>
      <c r="AF703" s="1" t="s">
        <v>54</v>
      </c>
      <c r="AG703" s="1">
        <v>26.0</v>
      </c>
      <c r="AH703" s="1">
        <v>11.0</v>
      </c>
      <c r="AI703" s="1">
        <v>11.0</v>
      </c>
      <c r="AJ703" s="1">
        <v>15.0</v>
      </c>
      <c r="AK703" s="1">
        <v>14.0</v>
      </c>
      <c r="AL703" s="1">
        <v>108.0</v>
      </c>
      <c r="AM703" s="1">
        <v>10.0</v>
      </c>
      <c r="AN703" s="1">
        <v>114.0</v>
      </c>
      <c r="AO703" s="1">
        <v>114.0</v>
      </c>
      <c r="AP703" s="1" t="s">
        <v>3542</v>
      </c>
      <c r="AQ703" s="3" t="str">
        <f>HYPERLINK("https://icf.clappia.com/app/GMB253374/submission/ZTG30412605/ICF247370-GMB253374-3mj5a21jp2ck0000000/SIG-20250701_1144157cdd.jpeg", "SIG-20250701_1144157cdd.jpeg")</f>
        <v>SIG-20250701_1144157cdd.jpeg</v>
      </c>
      <c r="AR703" s="1" t="s">
        <v>3543</v>
      </c>
      <c r="AS703" s="3" t="str">
        <f>HYPERLINK("https://icf.clappia.com/app/GMB253374/submission/ZTG30412605/ICF247370-GMB253374-17aigpn4faaec0000000/SIG-20250701_1145k1ime.jpeg", "SIG-20250701_1145k1ime.jpeg")</f>
        <v>SIG-20250701_1145k1ime.jpeg</v>
      </c>
      <c r="AT703" s="1" t="s">
        <v>3544</v>
      </c>
      <c r="AU703" s="3" t="str">
        <f>HYPERLINK("https://icf.clappia.com/app/GMB253374/submission/ZTG30412605/ICF247370-GMB253374-3d2a7gi3358000000000/SIG-20250701_114517i87l.jpeg", "SIG-20250701_114517i87l.jpeg")</f>
        <v>SIG-20250701_114517i87l.jpeg</v>
      </c>
      <c r="AV703" s="3" t="str">
        <f>HYPERLINK("https://www.google.com/maps/place/8.8827449%2C-12.0523849", "8.8827449,-12.0523849")</f>
        <v>8.8827449,-12.0523849</v>
      </c>
    </row>
    <row r="704" ht="15.75" customHeight="1">
      <c r="A704" s="1" t="s">
        <v>3545</v>
      </c>
      <c r="B704" s="1" t="s">
        <v>46</v>
      </c>
      <c r="C704" s="1" t="s">
        <v>3546</v>
      </c>
      <c r="D704" s="1" t="s">
        <v>3546</v>
      </c>
      <c r="E704" s="1" t="s">
        <v>3547</v>
      </c>
      <c r="F704" s="1" t="s">
        <v>64</v>
      </c>
      <c r="G704" s="1">
        <v>187.0</v>
      </c>
      <c r="H704" s="1" t="s">
        <v>50</v>
      </c>
      <c r="I704" s="1">
        <v>20.0</v>
      </c>
      <c r="J704" s="1">
        <v>12.0</v>
      </c>
      <c r="K704" s="1">
        <v>9.0</v>
      </c>
      <c r="L704" s="1">
        <v>8.0</v>
      </c>
      <c r="M704" s="1">
        <v>8.0</v>
      </c>
      <c r="N704" s="1" t="s">
        <v>51</v>
      </c>
      <c r="O704" s="1">
        <v>26.0</v>
      </c>
      <c r="P704" s="1">
        <v>7.0</v>
      </c>
      <c r="Q704" s="1">
        <v>6.0</v>
      </c>
      <c r="R704" s="1">
        <v>19.0</v>
      </c>
      <c r="S704" s="1">
        <v>17.0</v>
      </c>
      <c r="T704" s="1" t="s">
        <v>52</v>
      </c>
      <c r="U704" s="1">
        <v>29.0</v>
      </c>
      <c r="V704" s="1">
        <v>11.0</v>
      </c>
      <c r="W704" s="1">
        <v>11.0</v>
      </c>
      <c r="X704" s="1">
        <v>17.0</v>
      </c>
      <c r="Y704" s="1">
        <v>17.0</v>
      </c>
      <c r="Z704" s="1" t="s">
        <v>53</v>
      </c>
      <c r="AA704" s="1">
        <v>18.0</v>
      </c>
      <c r="AB704" s="1">
        <v>8.0</v>
      </c>
      <c r="AC704" s="1">
        <v>8.0</v>
      </c>
      <c r="AD704" s="1">
        <v>10.0</v>
      </c>
      <c r="AE704" s="1">
        <v>9.0</v>
      </c>
      <c r="AF704" s="1" t="s">
        <v>54</v>
      </c>
      <c r="AG704" s="1">
        <v>16.0</v>
      </c>
      <c r="AH704" s="1">
        <v>7.0</v>
      </c>
      <c r="AI704" s="1">
        <v>4.0</v>
      </c>
      <c r="AJ704" s="1">
        <v>9.0</v>
      </c>
      <c r="AK704" s="1">
        <v>9.0</v>
      </c>
      <c r="AL704" s="1">
        <v>98.0</v>
      </c>
      <c r="AM704" s="1">
        <v>10.0</v>
      </c>
      <c r="AN704" s="1">
        <v>79.0</v>
      </c>
      <c r="AO704" s="1">
        <v>79.0</v>
      </c>
      <c r="AP704" s="1" t="s">
        <v>3548</v>
      </c>
      <c r="AQ704" s="3" t="str">
        <f>HYPERLINK("https://icf.clappia.com/app/GMB253374/submission/GOX39802424/ICF247370-GMB253374-2061chfb879cc00000/SIG-20250701_113719g6nk.jpeg", "SIG-20250701_113719g6nk.jpeg")</f>
        <v>SIG-20250701_113719g6nk.jpeg</v>
      </c>
      <c r="AR704" s="1" t="s">
        <v>3549</v>
      </c>
      <c r="AS704" s="3" t="str">
        <f>HYPERLINK("https://icf.clappia.com/app/GMB253374/submission/GOX39802424/ICF247370-GMB253374-j1hb3o1mk1a00000000/SIG-20250701_113817n0k6.jpeg", "SIG-20250701_113817n0k6.jpeg")</f>
        <v>SIG-20250701_113817n0k6.jpeg</v>
      </c>
      <c r="AT704" s="1" t="s">
        <v>333</v>
      </c>
      <c r="AU704" s="3" t="str">
        <f>HYPERLINK("https://icf.clappia.com/app/GMB253374/submission/GOX39802424/ICF247370-GMB253374-4cak8g608pp600000000/SIG-20250701_1139hgn9d.jpeg", "SIG-20250701_1139hgn9d.jpeg")</f>
        <v>SIG-20250701_1139hgn9d.jpeg</v>
      </c>
      <c r="AV704" s="3" t="str">
        <f>HYPERLINK("https://www.google.com/maps/place/8.8950517%2C-12.0615883", "8.8950517,-12.0615883")</f>
        <v>8.8950517,-12.0615883</v>
      </c>
    </row>
    <row r="705" ht="15.75" customHeight="1">
      <c r="A705" s="1" t="s">
        <v>3550</v>
      </c>
      <c r="B705" s="1" t="s">
        <v>189</v>
      </c>
      <c r="C705" s="1" t="s">
        <v>3551</v>
      </c>
      <c r="D705" s="1" t="s">
        <v>3551</v>
      </c>
      <c r="E705" s="1" t="s">
        <v>3552</v>
      </c>
      <c r="F705" s="1" t="s">
        <v>64</v>
      </c>
      <c r="G705" s="1">
        <v>550.0</v>
      </c>
      <c r="H705" s="1" t="s">
        <v>50</v>
      </c>
      <c r="I705" s="1">
        <v>153.0</v>
      </c>
      <c r="J705" s="1">
        <v>77.0</v>
      </c>
      <c r="K705" s="1">
        <v>47.0</v>
      </c>
      <c r="L705" s="1">
        <v>76.0</v>
      </c>
      <c r="M705" s="1">
        <v>52.0</v>
      </c>
      <c r="N705" s="1" t="s">
        <v>51</v>
      </c>
      <c r="O705" s="1">
        <v>141.0</v>
      </c>
      <c r="P705" s="1">
        <v>69.0</v>
      </c>
      <c r="Q705" s="1">
        <v>45.0</v>
      </c>
      <c r="R705" s="1">
        <v>72.0</v>
      </c>
      <c r="S705" s="1">
        <v>63.0</v>
      </c>
      <c r="T705" s="1" t="s">
        <v>52</v>
      </c>
      <c r="U705" s="1">
        <v>125.0</v>
      </c>
      <c r="V705" s="1">
        <v>55.0</v>
      </c>
      <c r="W705" s="1">
        <v>41.0</v>
      </c>
      <c r="X705" s="1">
        <v>70.0</v>
      </c>
      <c r="Y705" s="1">
        <v>55.0</v>
      </c>
      <c r="Z705" s="1" t="s">
        <v>53</v>
      </c>
      <c r="AA705" s="1">
        <v>134.0</v>
      </c>
      <c r="AB705" s="1">
        <v>61.0</v>
      </c>
      <c r="AC705" s="1">
        <v>51.0</v>
      </c>
      <c r="AD705" s="1">
        <v>73.0</v>
      </c>
      <c r="AE705" s="1">
        <v>73.0</v>
      </c>
      <c r="AF705" s="1" t="s">
        <v>54</v>
      </c>
      <c r="AG705" s="1">
        <v>123.0</v>
      </c>
      <c r="AH705" s="1">
        <v>62.0</v>
      </c>
      <c r="AI705" s="1">
        <v>62.0</v>
      </c>
      <c r="AJ705" s="1">
        <v>61.0</v>
      </c>
      <c r="AK705" s="1">
        <v>61.0</v>
      </c>
      <c r="AL705" s="1">
        <v>550.0</v>
      </c>
      <c r="AM705" s="1" t="s">
        <v>55</v>
      </c>
      <c r="AN705" s="1" t="s">
        <v>55</v>
      </c>
      <c r="AO705" s="1" t="s">
        <v>55</v>
      </c>
      <c r="AP705" s="1" t="s">
        <v>3553</v>
      </c>
      <c r="AQ705" s="3" t="str">
        <f>HYPERLINK("https://icf.clappia.com/app/GMB253374/submission/GLP41707586/ICF247370-GMB253374-58044dh2159i00000000/SIG-20250701_1132186i10.jpeg", "SIG-20250701_1132186i10.jpeg")</f>
        <v>SIG-20250701_1132186i10.jpeg</v>
      </c>
      <c r="AR705" s="1" t="s">
        <v>326</v>
      </c>
      <c r="AS705" s="3" t="str">
        <f>HYPERLINK("https://icf.clappia.com/app/GMB253374/submission/GLP41707586/ICF247370-GMB253374-4iboolid30pc00000000/SIG-20250701_11423cl92.jpeg", "SIG-20250701_11423cl92.jpeg")</f>
        <v>SIG-20250701_11423cl92.jpeg</v>
      </c>
      <c r="AT705" s="1" t="s">
        <v>3554</v>
      </c>
      <c r="AU705" s="3" t="str">
        <f>HYPERLINK("https://icf.clappia.com/app/GMB253374/submission/GLP41707586/ICF247370-GMB253374-3fllmek7d4nk00000000/SIG-20250701_1142nglmh.jpeg", "SIG-20250701_1142nglmh.jpeg")</f>
        <v>SIG-20250701_1142nglmh.jpeg</v>
      </c>
      <c r="AV705" s="3" t="str">
        <f>HYPERLINK("https://www.google.com/maps/place/8.8924%2C-12.0311683", "8.8924,-12.0311683")</f>
        <v>8.8924,-12.0311683</v>
      </c>
    </row>
    <row r="706" ht="15.75" customHeight="1">
      <c r="A706" s="1" t="s">
        <v>3555</v>
      </c>
      <c r="B706" s="1" t="s">
        <v>161</v>
      </c>
      <c r="C706" s="1" t="s">
        <v>3556</v>
      </c>
      <c r="D706" s="1" t="s">
        <v>3556</v>
      </c>
      <c r="E706" s="1" t="s">
        <v>3557</v>
      </c>
      <c r="F706" s="1" t="s">
        <v>64</v>
      </c>
      <c r="G706" s="1">
        <v>422.0</v>
      </c>
      <c r="H706" s="1" t="s">
        <v>50</v>
      </c>
      <c r="I706" s="1">
        <v>82.0</v>
      </c>
      <c r="J706" s="1">
        <v>40.0</v>
      </c>
      <c r="K706" s="1">
        <v>39.0</v>
      </c>
      <c r="L706" s="1">
        <v>42.0</v>
      </c>
      <c r="M706" s="1">
        <v>40.0</v>
      </c>
      <c r="N706" s="1" t="s">
        <v>51</v>
      </c>
      <c r="O706" s="1">
        <v>65.0</v>
      </c>
      <c r="P706" s="1">
        <v>30.0</v>
      </c>
      <c r="Q706" s="1">
        <v>30.0</v>
      </c>
      <c r="R706" s="1">
        <v>35.0</v>
      </c>
      <c r="S706" s="1">
        <v>35.0</v>
      </c>
      <c r="T706" s="1" t="s">
        <v>52</v>
      </c>
      <c r="U706" s="1">
        <v>58.0</v>
      </c>
      <c r="V706" s="1">
        <v>33.0</v>
      </c>
      <c r="W706" s="1">
        <v>31.0</v>
      </c>
      <c r="X706" s="1">
        <v>25.0</v>
      </c>
      <c r="Y706" s="1">
        <v>25.0</v>
      </c>
      <c r="Z706" s="1" t="s">
        <v>53</v>
      </c>
      <c r="AA706" s="1">
        <v>69.0</v>
      </c>
      <c r="AB706" s="1">
        <v>30.0</v>
      </c>
      <c r="AC706" s="1">
        <v>30.0</v>
      </c>
      <c r="AD706" s="1">
        <v>39.0</v>
      </c>
      <c r="AE706" s="1">
        <v>39.0</v>
      </c>
      <c r="AF706" s="1" t="s">
        <v>54</v>
      </c>
      <c r="AG706" s="1">
        <v>77.0</v>
      </c>
      <c r="AH706" s="1">
        <v>45.0</v>
      </c>
      <c r="AI706" s="1">
        <v>45.0</v>
      </c>
      <c r="AJ706" s="1">
        <v>32.0</v>
      </c>
      <c r="AK706" s="1">
        <v>32.0</v>
      </c>
      <c r="AL706" s="1">
        <v>346.0</v>
      </c>
      <c r="AM706" s="1">
        <v>5.0</v>
      </c>
      <c r="AN706" s="1">
        <v>71.0</v>
      </c>
      <c r="AO706" s="1">
        <v>71.0</v>
      </c>
      <c r="AP706" s="1" t="s">
        <v>1200</v>
      </c>
      <c r="AQ706" s="3" t="str">
        <f>HYPERLINK("https://icf.clappia.com/app/GMB253374/submission/LPE10918606/ICF247370-GMB253374-4plnmpj2mko000000000/SIG-20250630_135014m7f4.jpeg", "SIG-20250630_135014m7f4.jpeg")</f>
        <v>SIG-20250630_135014m7f4.jpeg</v>
      </c>
      <c r="AR706" s="1" t="s">
        <v>1201</v>
      </c>
      <c r="AS706" s="3" t="str">
        <f>HYPERLINK("https://icf.clappia.com/app/GMB253374/submission/LPE10918606/ICF247370-GMB253374-6970dga1mlmi00000000/SIG-20250630_13515o3a8.jpeg", "SIG-20250630_13515o3a8.jpeg")</f>
        <v>SIG-20250630_13515o3a8.jpeg</v>
      </c>
      <c r="AT706" s="1" t="s">
        <v>3558</v>
      </c>
      <c r="AU706" s="3" t="str">
        <f>HYPERLINK("https://icf.clappia.com/app/GMB253374/submission/LPE10918606/ICF247370-GMB253374-5dl7mlfkk9mg00000000/SIG-20250630_13513o94f.jpeg", "SIG-20250630_13513o94f.jpeg")</f>
        <v>SIG-20250630_13513o94f.jpeg</v>
      </c>
      <c r="AV706" s="3" t="str">
        <f>HYPERLINK("https://www.google.com/maps/place/7.9322617%2C-11.5992471", "7.9322617,-11.5992471")</f>
        <v>7.9322617,-11.5992471</v>
      </c>
    </row>
    <row r="707" ht="15.75" customHeight="1">
      <c r="A707" s="1" t="s">
        <v>3559</v>
      </c>
      <c r="B707" s="1" t="s">
        <v>60</v>
      </c>
      <c r="C707" s="1" t="s">
        <v>3560</v>
      </c>
      <c r="D707" s="1" t="s">
        <v>3560</v>
      </c>
      <c r="E707" s="1" t="s">
        <v>3561</v>
      </c>
      <c r="F707" s="1" t="s">
        <v>64</v>
      </c>
      <c r="G707" s="1">
        <v>379.0</v>
      </c>
      <c r="H707" s="1" t="s">
        <v>50</v>
      </c>
      <c r="I707" s="1">
        <v>77.0</v>
      </c>
      <c r="J707" s="1">
        <v>40.0</v>
      </c>
      <c r="K707" s="1">
        <v>30.0</v>
      </c>
      <c r="L707" s="1">
        <v>37.0</v>
      </c>
      <c r="M707" s="1">
        <v>28.0</v>
      </c>
      <c r="N707" s="1" t="s">
        <v>51</v>
      </c>
      <c r="O707" s="1">
        <v>71.0</v>
      </c>
      <c r="P707" s="1">
        <v>43.0</v>
      </c>
      <c r="Q707" s="1">
        <v>35.0</v>
      </c>
      <c r="R707" s="1">
        <v>28.0</v>
      </c>
      <c r="S707" s="1">
        <v>19.0</v>
      </c>
      <c r="T707" s="1" t="s">
        <v>52</v>
      </c>
      <c r="U707" s="1">
        <v>76.0</v>
      </c>
      <c r="V707" s="1">
        <v>34.0</v>
      </c>
      <c r="W707" s="1">
        <v>23.0</v>
      </c>
      <c r="X707" s="1">
        <v>42.0</v>
      </c>
      <c r="Y707" s="1">
        <v>35.0</v>
      </c>
      <c r="Z707" s="1" t="s">
        <v>53</v>
      </c>
      <c r="AA707" s="1">
        <v>75.0</v>
      </c>
      <c r="AB707" s="1">
        <v>36.0</v>
      </c>
      <c r="AC707" s="1">
        <v>21.0</v>
      </c>
      <c r="AD707" s="1">
        <v>39.0</v>
      </c>
      <c r="AE707" s="1">
        <v>30.0</v>
      </c>
      <c r="AF707" s="1" t="s">
        <v>54</v>
      </c>
      <c r="AG707" s="1">
        <v>78.0</v>
      </c>
      <c r="AH707" s="1">
        <v>39.0</v>
      </c>
      <c r="AI707" s="1">
        <v>29.0</v>
      </c>
      <c r="AJ707" s="1">
        <v>39.0</v>
      </c>
      <c r="AK707" s="1">
        <v>34.0</v>
      </c>
      <c r="AL707" s="1">
        <v>284.0</v>
      </c>
      <c r="AM707" s="1" t="s">
        <v>55</v>
      </c>
      <c r="AN707" s="1">
        <v>95.0</v>
      </c>
      <c r="AO707" s="1">
        <v>95.0</v>
      </c>
      <c r="AP707" s="1" t="s">
        <v>3562</v>
      </c>
      <c r="AQ707" s="3" t="str">
        <f>HYPERLINK("https://icf.clappia.com/app/GMB253374/submission/BPI14251659/ICF247370-GMB253374-3pjfobdfi1ni00000000/SIG-20250701_1138122ll.jpeg", "SIG-20250701_1138122ll.jpeg")</f>
        <v>SIG-20250701_1138122ll.jpeg</v>
      </c>
      <c r="AR707" s="1" t="s">
        <v>3563</v>
      </c>
      <c r="AS707" s="3" t="str">
        <f>HYPERLINK("https://icf.clappia.com/app/GMB253374/submission/BPI14251659/ICF247370-GMB253374-3gpjf023b4ic00000000/SIG-20250701_1138d2mo9.jpeg", "SIG-20250701_1138d2mo9.jpeg")</f>
        <v>SIG-20250701_1138d2mo9.jpeg</v>
      </c>
      <c r="AT707" s="1" t="s">
        <v>3564</v>
      </c>
      <c r="AU707" s="3" t="str">
        <f>HYPERLINK("https://icf.clappia.com/app/GMB253374/submission/BPI14251659/ICF247370-GMB253374-dpeei0e1ho480000000/SIG-20250701_113916gp58.jpeg", "SIG-20250701_113916gp58.jpeg")</f>
        <v>SIG-20250701_113916gp58.jpeg</v>
      </c>
      <c r="AV707" s="3" t="str">
        <f>HYPERLINK("https://www.google.com/maps/place/8.8611643%2C-12.0558321", "8.8611643,-12.0558321")</f>
        <v>8.8611643,-12.0558321</v>
      </c>
    </row>
    <row r="708" ht="15.75" customHeight="1">
      <c r="A708" s="1" t="s">
        <v>3565</v>
      </c>
      <c r="B708" s="1" t="s">
        <v>81</v>
      </c>
      <c r="C708" s="1" t="s">
        <v>3560</v>
      </c>
      <c r="D708" s="1" t="s">
        <v>3560</v>
      </c>
      <c r="E708" s="1" t="s">
        <v>3566</v>
      </c>
      <c r="F708" s="1" t="s">
        <v>64</v>
      </c>
      <c r="G708" s="1">
        <v>203.0</v>
      </c>
      <c r="H708" s="1" t="s">
        <v>50</v>
      </c>
      <c r="I708" s="1">
        <v>47.0</v>
      </c>
      <c r="J708" s="1">
        <v>20.0</v>
      </c>
      <c r="K708" s="1">
        <v>19.0</v>
      </c>
      <c r="L708" s="1">
        <v>27.0</v>
      </c>
      <c r="M708" s="1">
        <v>20.0</v>
      </c>
      <c r="N708" s="1" t="s">
        <v>51</v>
      </c>
      <c r="O708" s="1">
        <v>41.0</v>
      </c>
      <c r="P708" s="1">
        <v>20.0</v>
      </c>
      <c r="Q708" s="1">
        <v>15.0</v>
      </c>
      <c r="R708" s="1">
        <v>21.0</v>
      </c>
      <c r="S708" s="1">
        <v>16.0</v>
      </c>
      <c r="T708" s="1" t="s">
        <v>52</v>
      </c>
      <c r="U708" s="1">
        <v>43.0</v>
      </c>
      <c r="V708" s="1">
        <v>20.0</v>
      </c>
      <c r="W708" s="1">
        <v>18.0</v>
      </c>
      <c r="X708" s="1">
        <v>23.0</v>
      </c>
      <c r="Y708" s="1">
        <v>19.0</v>
      </c>
      <c r="Z708" s="1" t="s">
        <v>53</v>
      </c>
      <c r="AA708" s="1">
        <v>47.0</v>
      </c>
      <c r="AB708" s="1">
        <v>17.0</v>
      </c>
      <c r="AC708" s="1">
        <v>17.0</v>
      </c>
      <c r="AD708" s="1">
        <v>30.0</v>
      </c>
      <c r="AE708" s="1">
        <v>22.0</v>
      </c>
      <c r="AF708" s="1" t="s">
        <v>54</v>
      </c>
      <c r="AG708" s="1">
        <v>65.0</v>
      </c>
      <c r="AH708" s="1">
        <v>31.0</v>
      </c>
      <c r="AI708" s="1">
        <v>26.0</v>
      </c>
      <c r="AJ708" s="1">
        <v>32.0</v>
      </c>
      <c r="AK708" s="1">
        <v>31.0</v>
      </c>
      <c r="AL708" s="1">
        <v>203.0</v>
      </c>
      <c r="AM708" s="1" t="s">
        <v>55</v>
      </c>
      <c r="AN708" s="1" t="s">
        <v>55</v>
      </c>
      <c r="AO708" s="1" t="s">
        <v>55</v>
      </c>
      <c r="AP708" s="1" t="s">
        <v>1006</v>
      </c>
      <c r="AQ708" s="3" t="str">
        <f>HYPERLINK("https://icf.clappia.com/app/GMB253374/submission/XNK39086531/ICF247370-GMB253374-2gihg1m9o30o00000000/SIG-20250701_11377m0fc.jpeg", "SIG-20250701_11377m0fc.jpeg")</f>
        <v>SIG-20250701_11377m0fc.jpeg</v>
      </c>
      <c r="AR708" s="1" t="s">
        <v>1007</v>
      </c>
      <c r="AS708" s="3" t="str">
        <f>HYPERLINK("https://icf.clappia.com/app/GMB253374/submission/XNK39086531/ICF247370-GMB253374-1gcom3d535ld20000000/SIG-20250701_1139lcojc.jpeg", "SIG-20250701_1139lcojc.jpeg")</f>
        <v>SIG-20250701_1139lcojc.jpeg</v>
      </c>
      <c r="AT708" s="1" t="s">
        <v>3567</v>
      </c>
      <c r="AU708" s="3" t="str">
        <f>HYPERLINK("https://icf.clappia.com/app/GMB253374/submission/XNK39086531/ICF247370-GMB253374-310a3d76d4o600000000/SIG-20250701_1139198dp7.jpeg", "SIG-20250701_1139198dp7.jpeg")</f>
        <v>SIG-20250701_1139198dp7.jpeg</v>
      </c>
      <c r="AV708" s="3" t="str">
        <f>HYPERLINK("https://www.google.com/maps/place/7.9462133%2C-11.7361317", "7.9462133,-11.7361317")</f>
        <v>7.9462133,-11.7361317</v>
      </c>
    </row>
    <row r="709" ht="15.75" customHeight="1">
      <c r="A709" s="1" t="s">
        <v>3568</v>
      </c>
      <c r="B709" s="1" t="s">
        <v>189</v>
      </c>
      <c r="C709" s="1" t="s">
        <v>3569</v>
      </c>
      <c r="D709" s="1" t="s">
        <v>3569</v>
      </c>
      <c r="E709" s="1" t="s">
        <v>3570</v>
      </c>
      <c r="F709" s="1" t="s">
        <v>64</v>
      </c>
      <c r="G709" s="1">
        <v>300.0</v>
      </c>
      <c r="H709" s="1" t="s">
        <v>50</v>
      </c>
      <c r="I709" s="1">
        <v>105.0</v>
      </c>
      <c r="J709" s="1">
        <v>45.0</v>
      </c>
      <c r="K709" s="1">
        <v>14.0</v>
      </c>
      <c r="L709" s="1">
        <v>60.0</v>
      </c>
      <c r="M709" s="1">
        <v>22.0</v>
      </c>
      <c r="N709" s="1" t="s">
        <v>51</v>
      </c>
      <c r="O709" s="1">
        <v>131.0</v>
      </c>
      <c r="P709" s="1">
        <v>50.0</v>
      </c>
      <c r="Q709" s="1">
        <v>26.0</v>
      </c>
      <c r="R709" s="1">
        <v>81.0</v>
      </c>
      <c r="S709" s="1">
        <v>36.0</v>
      </c>
      <c r="T709" s="1" t="s">
        <v>52</v>
      </c>
      <c r="U709" s="1">
        <v>119.0</v>
      </c>
      <c r="V709" s="1">
        <v>38.0</v>
      </c>
      <c r="W709" s="1">
        <v>14.0</v>
      </c>
      <c r="X709" s="1">
        <v>81.0</v>
      </c>
      <c r="Y709" s="1">
        <v>41.0</v>
      </c>
      <c r="Z709" s="1" t="s">
        <v>53</v>
      </c>
      <c r="AA709" s="1">
        <v>124.0</v>
      </c>
      <c r="AB709" s="1">
        <v>48.0</v>
      </c>
      <c r="AC709" s="1">
        <v>24.0</v>
      </c>
      <c r="AD709" s="1">
        <v>76.0</v>
      </c>
      <c r="AE709" s="1">
        <v>33.0</v>
      </c>
      <c r="AF709" s="1" t="s">
        <v>54</v>
      </c>
      <c r="AG709" s="1">
        <v>119.0</v>
      </c>
      <c r="AH709" s="1">
        <v>48.0</v>
      </c>
      <c r="AI709" s="1">
        <v>18.0</v>
      </c>
      <c r="AJ709" s="1">
        <v>71.0</v>
      </c>
      <c r="AK709" s="1">
        <v>42.0</v>
      </c>
      <c r="AL709" s="1">
        <v>270.0</v>
      </c>
      <c r="AM709" s="1" t="s">
        <v>55</v>
      </c>
      <c r="AN709" s="1">
        <v>30.0</v>
      </c>
      <c r="AO709" s="1">
        <v>30.0</v>
      </c>
      <c r="AP709" s="1" t="s">
        <v>192</v>
      </c>
      <c r="AQ709" s="3" t="str">
        <f>HYPERLINK("https://icf.clappia.com/app/GMB253374/submission/ZCH27532538/ICF247370-GMB253374-1nkjkl1kjh6320000000/SIG-20250701_104216icgm.jpeg", "SIG-20250701_104216icgm.jpeg")</f>
        <v>SIG-20250701_104216icgm.jpeg</v>
      </c>
      <c r="AR709" s="1" t="s">
        <v>3571</v>
      </c>
      <c r="AS709" s="3" t="str">
        <f>HYPERLINK("https://icf.clappia.com/app/GMB253374/submission/ZCH27532538/ICF247370-GMB253374-2n8ln5bjl4am00000000/SIG-20250701_1045116hhd.jpeg", "SIG-20250701_1045116hhd.jpeg")</f>
        <v>SIG-20250701_1045116hhd.jpeg</v>
      </c>
      <c r="AT709" s="1" t="s">
        <v>3572</v>
      </c>
      <c r="AU709" s="3" t="str">
        <f>HYPERLINK("https://icf.clappia.com/app/GMB253374/submission/ZCH27532538/ICF247370-GMB253374-4b35j6d4o31800000000/SIG-20250701_1044135h3c.jpeg", "SIG-20250701_1044135h3c.jpeg")</f>
        <v>SIG-20250701_1044135h3c.jpeg</v>
      </c>
      <c r="AV709" s="3" t="str">
        <f>HYPERLINK("https://www.google.com/maps/place/8.8914949%2C-12.0366063", "8.8914949,-12.0366063")</f>
        <v>8.8914949,-12.0366063</v>
      </c>
    </row>
    <row r="710" ht="15.75" customHeight="1">
      <c r="A710" s="1" t="s">
        <v>3573</v>
      </c>
      <c r="B710" s="1" t="s">
        <v>69</v>
      </c>
      <c r="C710" s="1" t="s">
        <v>3574</v>
      </c>
      <c r="D710" s="1" t="s">
        <v>3574</v>
      </c>
      <c r="E710" s="1" t="s">
        <v>3575</v>
      </c>
      <c r="F710" s="1" t="s">
        <v>64</v>
      </c>
      <c r="G710" s="1">
        <v>167.0</v>
      </c>
      <c r="H710" s="1" t="s">
        <v>50</v>
      </c>
      <c r="I710" s="1">
        <v>38.0</v>
      </c>
      <c r="J710" s="1">
        <v>15.0</v>
      </c>
      <c r="K710" s="1">
        <v>15.0</v>
      </c>
      <c r="L710" s="1">
        <v>23.0</v>
      </c>
      <c r="M710" s="1">
        <v>23.0</v>
      </c>
      <c r="N710" s="1" t="s">
        <v>51</v>
      </c>
      <c r="O710" s="1">
        <v>25.0</v>
      </c>
      <c r="P710" s="1">
        <v>10.0</v>
      </c>
      <c r="Q710" s="1">
        <v>10.0</v>
      </c>
      <c r="R710" s="1">
        <v>15.0</v>
      </c>
      <c r="S710" s="1">
        <v>15.0</v>
      </c>
      <c r="T710" s="1" t="s">
        <v>52</v>
      </c>
      <c r="U710" s="1">
        <v>30.0</v>
      </c>
      <c r="V710" s="1">
        <v>10.0</v>
      </c>
      <c r="W710" s="1">
        <v>10.0</v>
      </c>
      <c r="X710" s="1">
        <v>20.0</v>
      </c>
      <c r="Y710" s="1">
        <v>20.0</v>
      </c>
      <c r="Z710" s="1" t="s">
        <v>53</v>
      </c>
      <c r="AA710" s="1">
        <v>35.0</v>
      </c>
      <c r="AB710" s="1">
        <v>25.0</v>
      </c>
      <c r="AC710" s="1">
        <v>25.0</v>
      </c>
      <c r="AD710" s="1">
        <v>10.0</v>
      </c>
      <c r="AE710" s="1">
        <v>10.0</v>
      </c>
      <c r="AF710" s="1" t="s">
        <v>54</v>
      </c>
      <c r="AG710" s="1">
        <v>39.0</v>
      </c>
      <c r="AH710" s="1">
        <v>25.0</v>
      </c>
      <c r="AI710" s="1">
        <v>25.0</v>
      </c>
      <c r="AJ710" s="1">
        <v>14.0</v>
      </c>
      <c r="AK710" s="1">
        <v>14.0</v>
      </c>
      <c r="AL710" s="1">
        <v>167.0</v>
      </c>
      <c r="AM710" s="1" t="s">
        <v>55</v>
      </c>
      <c r="AN710" s="1" t="s">
        <v>55</v>
      </c>
      <c r="AO710" s="1" t="s">
        <v>55</v>
      </c>
      <c r="AP710" s="1" t="s">
        <v>3576</v>
      </c>
      <c r="AQ710" s="3" t="str">
        <f>HYPERLINK("https://icf.clappia.com/app/GMB253374/submission/DWA84745607/ICF247370-GMB253374-1i9g4kb7jhmfa0000000/SIG-20250701_11365cbga.jpeg", "SIG-20250701_11365cbga.jpeg")</f>
        <v>SIG-20250701_11365cbga.jpeg</v>
      </c>
      <c r="AR710" s="1" t="s">
        <v>3577</v>
      </c>
      <c r="AS710" s="3" t="str">
        <f>HYPERLINK("https://icf.clappia.com/app/GMB253374/submission/DWA84745607/ICF247370-GMB253374-3cjjf6enbgak00000000/SIG-20250701_1136i3dcg.jpeg", "SIG-20250701_1136i3dcg.jpeg")</f>
        <v>SIG-20250701_1136i3dcg.jpeg</v>
      </c>
      <c r="AT710" s="1" t="s">
        <v>3578</v>
      </c>
      <c r="AU710" s="3" t="str">
        <f>HYPERLINK("https://icf.clappia.com/app/GMB253374/submission/DWA84745607/ICF247370-GMB253374-32goeeo0hd9400000000/SIG-20250701_11374glcl.jpeg", "SIG-20250701_11374glcl.jpeg")</f>
        <v>SIG-20250701_11374glcl.jpeg</v>
      </c>
      <c r="AV710" s="3" t="str">
        <f>HYPERLINK("https://www.google.com/maps/place/8.8929342%2C-12.0641517", "8.8929342,-12.0641517")</f>
        <v>8.8929342,-12.0641517</v>
      </c>
    </row>
    <row r="711" ht="15.75" customHeight="1">
      <c r="A711" s="1" t="s">
        <v>3579</v>
      </c>
      <c r="B711" s="1" t="s">
        <v>81</v>
      </c>
      <c r="C711" s="1" t="s">
        <v>3580</v>
      </c>
      <c r="D711" s="1" t="s">
        <v>3580</v>
      </c>
      <c r="E711" s="1" t="s">
        <v>3581</v>
      </c>
      <c r="F711" s="1" t="s">
        <v>64</v>
      </c>
      <c r="G711" s="1">
        <v>150.0</v>
      </c>
      <c r="H711" s="1" t="s">
        <v>50</v>
      </c>
      <c r="I711" s="1">
        <v>50.0</v>
      </c>
      <c r="J711" s="1">
        <v>20.0</v>
      </c>
      <c r="K711" s="1">
        <v>11.0</v>
      </c>
      <c r="L711" s="1">
        <v>30.0</v>
      </c>
      <c r="M711" s="1">
        <v>15.0</v>
      </c>
      <c r="N711" s="1" t="s">
        <v>51</v>
      </c>
      <c r="O711" s="1">
        <v>50.0</v>
      </c>
      <c r="P711" s="1">
        <v>27.0</v>
      </c>
      <c r="Q711" s="1">
        <v>3.0</v>
      </c>
      <c r="R711" s="1">
        <v>23.0</v>
      </c>
      <c r="S711" s="1">
        <v>8.0</v>
      </c>
      <c r="T711" s="1" t="s">
        <v>52</v>
      </c>
      <c r="U711" s="1">
        <v>43.0</v>
      </c>
      <c r="V711" s="1">
        <v>20.0</v>
      </c>
      <c r="W711" s="1">
        <v>8.0</v>
      </c>
      <c r="X711" s="1">
        <v>23.0</v>
      </c>
      <c r="Y711" s="1">
        <v>14.0</v>
      </c>
      <c r="Z711" s="1" t="s">
        <v>53</v>
      </c>
      <c r="AA711" s="1">
        <v>40.0</v>
      </c>
      <c r="AB711" s="1">
        <v>18.0</v>
      </c>
      <c r="AC711" s="1">
        <v>10.0</v>
      </c>
      <c r="AD711" s="1">
        <v>22.0</v>
      </c>
      <c r="AE711" s="1">
        <v>13.0</v>
      </c>
      <c r="AF711" s="1" t="s">
        <v>54</v>
      </c>
      <c r="AG711" s="1">
        <v>38.0</v>
      </c>
      <c r="AH711" s="1">
        <v>16.0</v>
      </c>
      <c r="AI711" s="1">
        <v>3.0</v>
      </c>
      <c r="AJ711" s="1">
        <v>22.0</v>
      </c>
      <c r="AK711" s="1">
        <v>7.0</v>
      </c>
      <c r="AL711" s="1">
        <v>92.0</v>
      </c>
      <c r="AM711" s="1" t="s">
        <v>55</v>
      </c>
      <c r="AN711" s="1">
        <v>58.0</v>
      </c>
      <c r="AO711" s="1">
        <v>58.0</v>
      </c>
      <c r="AP711" s="1" t="s">
        <v>3582</v>
      </c>
      <c r="AQ711" s="3" t="str">
        <f>HYPERLINK("https://icf.clappia.com/app/GMB253374/submission/MRP82560629/ICF247370-GMB253374-be8aa5h74fo40000000/SIG-20250701_1123406lf.jpeg", "SIG-20250701_1123406lf.jpeg")</f>
        <v>SIG-20250701_1123406lf.jpeg</v>
      </c>
      <c r="AR711" s="1" t="s">
        <v>3583</v>
      </c>
      <c r="AS711" s="3" t="str">
        <f>HYPERLINK("https://icf.clappia.com/app/GMB253374/submission/MRP82560629/ICF247370-GMB253374-2l1gdh0646n000000000/SIG-20250701_1123m68ia.jpeg", "SIG-20250701_1123m68ia.jpeg")</f>
        <v>SIG-20250701_1123m68ia.jpeg</v>
      </c>
      <c r="AT711" s="1" t="s">
        <v>842</v>
      </c>
      <c r="AU711" s="3" t="str">
        <f>HYPERLINK("https://icf.clappia.com/app/GMB253374/submission/MRP82560629/ICF247370-GMB253374-4db2pn2ibchm00000000/SIG-20250701_11245h187.jpeg", "SIG-20250701_11245h187.jpeg")</f>
        <v>SIG-20250701_11245h187.jpeg</v>
      </c>
      <c r="AV711" s="3" t="str">
        <f>HYPERLINK("https://www.google.com/maps/place/7.9588177%2C-11.7365453", "7.9588177,-11.7365453")</f>
        <v>7.9588177,-11.7365453</v>
      </c>
    </row>
    <row r="712" ht="15.75" customHeight="1">
      <c r="A712" s="1" t="s">
        <v>3584</v>
      </c>
      <c r="B712" s="1" t="s">
        <v>102</v>
      </c>
      <c r="C712" s="1" t="s">
        <v>3580</v>
      </c>
      <c r="D712" s="1" t="s">
        <v>3580</v>
      </c>
      <c r="E712" s="1" t="s">
        <v>3585</v>
      </c>
      <c r="F712" s="1" t="s">
        <v>49</v>
      </c>
      <c r="G712" s="1">
        <v>139.0</v>
      </c>
      <c r="H712" s="1" t="s">
        <v>50</v>
      </c>
      <c r="I712" s="1">
        <v>44.0</v>
      </c>
      <c r="J712" s="1">
        <v>20.0</v>
      </c>
      <c r="K712" s="1">
        <v>19.0</v>
      </c>
      <c r="L712" s="1">
        <v>24.0</v>
      </c>
      <c r="M712" s="1">
        <v>23.0</v>
      </c>
      <c r="N712" s="1" t="s">
        <v>51</v>
      </c>
      <c r="O712" s="1">
        <v>35.0</v>
      </c>
      <c r="P712" s="1">
        <v>18.0</v>
      </c>
      <c r="Q712" s="1">
        <v>16.0</v>
      </c>
      <c r="R712" s="1">
        <v>17.0</v>
      </c>
      <c r="S712" s="1">
        <v>17.0</v>
      </c>
      <c r="T712" s="1" t="s">
        <v>52</v>
      </c>
      <c r="U712" s="1">
        <v>21.0</v>
      </c>
      <c r="V712" s="1">
        <v>11.0</v>
      </c>
      <c r="W712" s="1">
        <v>11.0</v>
      </c>
      <c r="X712" s="1">
        <v>10.0</v>
      </c>
      <c r="Y712" s="1">
        <v>10.0</v>
      </c>
      <c r="Z712" s="1" t="s">
        <v>53</v>
      </c>
      <c r="AA712" s="1">
        <v>25.0</v>
      </c>
      <c r="AB712" s="1">
        <v>12.0</v>
      </c>
      <c r="AC712" s="1">
        <v>12.0</v>
      </c>
      <c r="AD712" s="1">
        <v>13.0</v>
      </c>
      <c r="AE712" s="1">
        <v>13.0</v>
      </c>
      <c r="AF712" s="1" t="s">
        <v>54</v>
      </c>
      <c r="AG712" s="1">
        <v>14.0</v>
      </c>
      <c r="AH712" s="1">
        <v>7.0</v>
      </c>
      <c r="AI712" s="1">
        <v>5.0</v>
      </c>
      <c r="AJ712" s="1">
        <v>7.0</v>
      </c>
      <c r="AK712" s="1">
        <v>4.0</v>
      </c>
      <c r="AL712" s="1">
        <v>130.0</v>
      </c>
      <c r="AM712" s="1" t="s">
        <v>55</v>
      </c>
      <c r="AN712" s="1">
        <v>9.0</v>
      </c>
      <c r="AO712" s="1">
        <v>9.0</v>
      </c>
      <c r="AP712" s="1" t="s">
        <v>983</v>
      </c>
      <c r="AQ712" s="3" t="str">
        <f>HYPERLINK("https://icf.clappia.com/app/GMB253374/submission/QDI20122344/ICF247370-GMB253374-2j956n2g0hpm00000000/SIG-20250701_1119kd95l.jpeg", "SIG-20250701_1119kd95l.jpeg")</f>
        <v>SIG-20250701_1119kd95l.jpeg</v>
      </c>
      <c r="AR712" s="1" t="s">
        <v>984</v>
      </c>
      <c r="AS712" s="3" t="str">
        <f>HYPERLINK("https://icf.clappia.com/app/GMB253374/submission/QDI20122344/ICF247370-GMB253374-19m00go3c2b9a0000000/SIG-20250701_1120ahjd3.jpeg", "SIG-20250701_1120ahjd3.jpeg")</f>
        <v>SIG-20250701_1120ahjd3.jpeg</v>
      </c>
      <c r="AT712" s="1" t="s">
        <v>985</v>
      </c>
      <c r="AU712" s="3" t="str">
        <f>HYPERLINK("https://icf.clappia.com/app/GMB253374/submission/QDI20122344/ICF247370-GMB253374-hoc47ciic8400000000/SIG-20250701_1120ke7eo.jpeg", "SIG-20250701_1120ke7eo.jpeg")</f>
        <v>SIG-20250701_1120ke7eo.jpeg</v>
      </c>
      <c r="AV712" s="3" t="str">
        <f>HYPERLINK("https://www.google.com/maps/place/9.0799892%2C-11.9274437", "9.0799892,-11.9274437")</f>
        <v>9.0799892,-11.9274437</v>
      </c>
    </row>
    <row r="713" ht="15.75" customHeight="1">
      <c r="A713" s="1" t="s">
        <v>3586</v>
      </c>
      <c r="B713" s="1" t="s">
        <v>75</v>
      </c>
      <c r="C713" s="1" t="s">
        <v>1865</v>
      </c>
      <c r="D713" s="1" t="s">
        <v>1865</v>
      </c>
      <c r="E713" s="1" t="s">
        <v>3587</v>
      </c>
      <c r="F713" s="1" t="s">
        <v>49</v>
      </c>
      <c r="G713" s="1">
        <v>100.0</v>
      </c>
      <c r="H713" s="1" t="s">
        <v>50</v>
      </c>
      <c r="I713" s="1">
        <v>15.0</v>
      </c>
      <c r="J713" s="1">
        <v>7.0</v>
      </c>
      <c r="K713" s="1">
        <v>7.0</v>
      </c>
      <c r="L713" s="1">
        <v>8.0</v>
      </c>
      <c r="M713" s="1">
        <v>8.0</v>
      </c>
      <c r="N713" s="1" t="s">
        <v>51</v>
      </c>
      <c r="O713" s="1">
        <v>26.0</v>
      </c>
      <c r="P713" s="1">
        <v>14.0</v>
      </c>
      <c r="Q713" s="1">
        <v>14.0</v>
      </c>
      <c r="R713" s="1">
        <v>12.0</v>
      </c>
      <c r="S713" s="1">
        <v>12.0</v>
      </c>
      <c r="T713" s="1" t="s">
        <v>52</v>
      </c>
      <c r="U713" s="1">
        <v>19.0</v>
      </c>
      <c r="V713" s="1">
        <v>11.0</v>
      </c>
      <c r="W713" s="1">
        <v>11.0</v>
      </c>
      <c r="X713" s="1">
        <v>8.0</v>
      </c>
      <c r="Y713" s="1">
        <v>8.0</v>
      </c>
      <c r="Z713" s="1" t="s">
        <v>53</v>
      </c>
      <c r="AA713" s="1">
        <v>19.0</v>
      </c>
      <c r="AB713" s="1">
        <v>8.0</v>
      </c>
      <c r="AC713" s="1">
        <v>8.0</v>
      </c>
      <c r="AD713" s="1">
        <v>11.0</v>
      </c>
      <c r="AE713" s="1">
        <v>11.0</v>
      </c>
      <c r="AF713" s="1" t="s">
        <v>54</v>
      </c>
      <c r="AG713" s="1">
        <v>21.0</v>
      </c>
      <c r="AH713" s="1">
        <v>12.0</v>
      </c>
      <c r="AI713" s="1">
        <v>12.0</v>
      </c>
      <c r="AJ713" s="1">
        <v>9.0</v>
      </c>
      <c r="AK713" s="1">
        <v>9.0</v>
      </c>
      <c r="AL713" s="1">
        <v>100.0</v>
      </c>
      <c r="AM713" s="1" t="s">
        <v>55</v>
      </c>
      <c r="AN713" s="1" t="s">
        <v>55</v>
      </c>
      <c r="AO713" s="1" t="s">
        <v>55</v>
      </c>
      <c r="AP713" s="1" t="s">
        <v>771</v>
      </c>
      <c r="AQ713" s="3" t="str">
        <f>HYPERLINK("https://icf.clappia.com/app/GMB253374/submission/ZMP35644995/ICF247370-GMB253374-497fac50l51m00000000/SIG-20250701_1132305oe.jpeg", "SIG-20250701_1132305oe.jpeg")</f>
        <v>SIG-20250701_1132305oe.jpeg</v>
      </c>
      <c r="AR713" s="1" t="s">
        <v>3588</v>
      </c>
      <c r="AS713" s="3" t="str">
        <f>HYPERLINK("https://icf.clappia.com/app/GMB253374/submission/ZMP35644995/ICF247370-GMB253374-3dkjpdiij2pm00000000/SIG-20250701_11326cpff.jpeg", "SIG-20250701_11326cpff.jpeg")</f>
        <v>SIG-20250701_11326cpff.jpeg</v>
      </c>
      <c r="AT713" s="1" t="s">
        <v>3589</v>
      </c>
      <c r="AU713" s="3" t="str">
        <f>HYPERLINK("https://icf.clappia.com/app/GMB253374/submission/ZMP35644995/ICF247370-GMB253374-2ponna687h3e00000000/SIG-20250701_113487oia.jpeg", "SIG-20250701_113487oia.jpeg")</f>
        <v>SIG-20250701_113487oia.jpeg</v>
      </c>
      <c r="AV713" s="3" t="str">
        <f>HYPERLINK("https://www.google.com/maps/place/8.97017%2C-12.22215", "8.97017,-12.22215")</f>
        <v>8.97017,-12.22215</v>
      </c>
    </row>
    <row r="714" ht="15.75" customHeight="1">
      <c r="A714" s="1" t="s">
        <v>3590</v>
      </c>
      <c r="B714" s="1" t="s">
        <v>189</v>
      </c>
      <c r="C714" s="1" t="s">
        <v>1865</v>
      </c>
      <c r="D714" s="1" t="s">
        <v>1865</v>
      </c>
      <c r="E714" s="1" t="s">
        <v>3591</v>
      </c>
      <c r="F714" s="1" t="s">
        <v>49</v>
      </c>
      <c r="G714" s="1">
        <v>150.0</v>
      </c>
      <c r="H714" s="1" t="s">
        <v>50</v>
      </c>
      <c r="I714" s="1">
        <v>38.0</v>
      </c>
      <c r="J714" s="1">
        <v>18.0</v>
      </c>
      <c r="K714" s="1">
        <v>18.0</v>
      </c>
      <c r="L714" s="1">
        <v>20.0</v>
      </c>
      <c r="M714" s="1">
        <v>20.0</v>
      </c>
      <c r="N714" s="1" t="s">
        <v>51</v>
      </c>
      <c r="O714" s="1">
        <v>35.0</v>
      </c>
      <c r="P714" s="1">
        <v>20.0</v>
      </c>
      <c r="Q714" s="1">
        <v>20.0</v>
      </c>
      <c r="R714" s="1">
        <v>15.0</v>
      </c>
      <c r="S714" s="1">
        <v>15.0</v>
      </c>
      <c r="T714" s="1" t="s">
        <v>52</v>
      </c>
      <c r="U714" s="1">
        <v>30.0</v>
      </c>
      <c r="V714" s="1">
        <v>16.0</v>
      </c>
      <c r="W714" s="1">
        <v>16.0</v>
      </c>
      <c r="X714" s="1">
        <v>14.0</v>
      </c>
      <c r="Y714" s="1">
        <v>14.0</v>
      </c>
      <c r="Z714" s="1" t="s">
        <v>53</v>
      </c>
      <c r="AA714" s="1">
        <v>20.0</v>
      </c>
      <c r="AB714" s="1">
        <v>10.0</v>
      </c>
      <c r="AC714" s="1">
        <v>10.0</v>
      </c>
      <c r="AD714" s="1">
        <v>10.0</v>
      </c>
      <c r="AE714" s="1">
        <v>10.0</v>
      </c>
      <c r="AF714" s="1" t="s">
        <v>54</v>
      </c>
      <c r="AG714" s="1">
        <v>27.0</v>
      </c>
      <c r="AH714" s="1">
        <v>10.0</v>
      </c>
      <c r="AI714" s="1">
        <v>10.0</v>
      </c>
      <c r="AJ714" s="1">
        <v>17.0</v>
      </c>
      <c r="AK714" s="1">
        <v>17.0</v>
      </c>
      <c r="AL714" s="1">
        <v>150.0</v>
      </c>
      <c r="AM714" s="1" t="s">
        <v>55</v>
      </c>
      <c r="AN714" s="1" t="s">
        <v>55</v>
      </c>
      <c r="AO714" s="1" t="s">
        <v>55</v>
      </c>
      <c r="AP714" s="1" t="s">
        <v>3592</v>
      </c>
      <c r="AQ714" s="3" t="str">
        <f>HYPERLINK("https://icf.clappia.com/app/GMB253374/submission/ZZB42992433/ICF247370-GMB253374-1ee57c1oc8cp60000000/SIG-20250701_1109534j2.jpeg", "SIG-20250701_1109534j2.jpeg")</f>
        <v>SIG-20250701_1109534j2.jpeg</v>
      </c>
      <c r="AR714" s="1" t="s">
        <v>1917</v>
      </c>
      <c r="AS714" s="3" t="str">
        <f>HYPERLINK("https://icf.clappia.com/app/GMB253374/submission/ZZB42992433/ICF247370-GMB253374-22bmlh11cmpe00000000/SIG-20250701_111087m2m.jpeg", "SIG-20250701_111087m2m.jpeg")</f>
        <v>SIG-20250701_111087m2m.jpeg</v>
      </c>
      <c r="AT714" s="1" t="s">
        <v>1918</v>
      </c>
      <c r="AU714" s="3" t="str">
        <f>HYPERLINK("https://icf.clappia.com/app/GMB253374/submission/ZZB42992433/ICF247370-GMB253374-61c7la0m42m000000000/SIG-20250701_111013m6nn.jpeg", "SIG-20250701_111013m6nn.jpeg")</f>
        <v>SIG-20250701_111013m6nn.jpeg</v>
      </c>
      <c r="AV714" s="3" t="str">
        <f>HYPERLINK("https://www.google.com/maps/place/8.8920116%2C-12.0438652", "8.8920116,-12.0438652")</f>
        <v>8.8920116,-12.0438652</v>
      </c>
    </row>
    <row r="715" ht="15.75" customHeight="1">
      <c r="A715" s="1" t="s">
        <v>3593</v>
      </c>
      <c r="B715" s="1" t="s">
        <v>189</v>
      </c>
      <c r="C715" s="1" t="s">
        <v>1865</v>
      </c>
      <c r="D715" s="1" t="s">
        <v>1865</v>
      </c>
      <c r="E715" s="1" t="s">
        <v>3594</v>
      </c>
      <c r="F715" s="1" t="s">
        <v>64</v>
      </c>
      <c r="G715" s="1">
        <v>177.0</v>
      </c>
      <c r="H715" s="1" t="s">
        <v>50</v>
      </c>
      <c r="I715" s="1">
        <v>46.0</v>
      </c>
      <c r="J715" s="1">
        <v>25.0</v>
      </c>
      <c r="K715" s="1">
        <v>1.0</v>
      </c>
      <c r="L715" s="1">
        <v>21.0</v>
      </c>
      <c r="M715" s="1">
        <v>5.0</v>
      </c>
      <c r="N715" s="1" t="s">
        <v>51</v>
      </c>
      <c r="O715" s="1">
        <v>38.0</v>
      </c>
      <c r="P715" s="1">
        <v>18.0</v>
      </c>
      <c r="Q715" s="1">
        <v>1.0</v>
      </c>
      <c r="R715" s="1">
        <v>20.0</v>
      </c>
      <c r="S715" s="1">
        <v>5.0</v>
      </c>
      <c r="T715" s="1" t="s">
        <v>52</v>
      </c>
      <c r="U715" s="1">
        <v>10.0</v>
      </c>
      <c r="V715" s="1">
        <v>6.0</v>
      </c>
      <c r="W715" s="1">
        <v>4.0</v>
      </c>
      <c r="X715" s="1">
        <v>4.0</v>
      </c>
      <c r="Y715" s="1">
        <v>3.0</v>
      </c>
      <c r="Z715" s="1" t="s">
        <v>53</v>
      </c>
      <c r="AA715" s="1">
        <v>7.0</v>
      </c>
      <c r="AB715" s="1">
        <v>3.0</v>
      </c>
      <c r="AC715" s="1">
        <v>3.0</v>
      </c>
      <c r="AD715" s="1">
        <v>4.0</v>
      </c>
      <c r="AE715" s="1">
        <v>2.0</v>
      </c>
      <c r="AF715" s="1" t="s">
        <v>54</v>
      </c>
      <c r="AG715" s="1">
        <v>40.0</v>
      </c>
      <c r="AH715" s="1">
        <v>18.0</v>
      </c>
      <c r="AI715" s="1">
        <v>5.0</v>
      </c>
      <c r="AJ715" s="1">
        <v>22.0</v>
      </c>
      <c r="AK715" s="1">
        <v>8.0</v>
      </c>
      <c r="AL715" s="1">
        <v>37.0</v>
      </c>
      <c r="AM715" s="1" t="s">
        <v>55</v>
      </c>
      <c r="AN715" s="1">
        <v>140.0</v>
      </c>
      <c r="AO715" s="1">
        <v>140.0</v>
      </c>
      <c r="AP715" s="1" t="s">
        <v>1012</v>
      </c>
      <c r="AQ715" s="3" t="str">
        <f>HYPERLINK("https://icf.clappia.com/app/GMB253374/submission/PEK80075830/ICF247370-GMB253374-40gfco7980mc00000000/SIG-20250701_1133co8k5.jpeg", "SIG-20250701_1133co8k5.jpeg")</f>
        <v>SIG-20250701_1133co8k5.jpeg</v>
      </c>
      <c r="AR715" s="1" t="s">
        <v>1013</v>
      </c>
      <c r="AS715" s="3" t="str">
        <f>HYPERLINK("https://icf.clappia.com/app/GMB253374/submission/PEK80075830/ICF247370-GMB253374-3lfigembnk9a00000000/SIG-20250701_113415mcii.jpeg", "SIG-20250701_113415mcii.jpeg")</f>
        <v>SIG-20250701_113415mcii.jpeg</v>
      </c>
      <c r="AT715" s="1" t="s">
        <v>1014</v>
      </c>
      <c r="AU715" s="3" t="str">
        <f>HYPERLINK("https://icf.clappia.com/app/GMB253374/submission/PEK80075830/ICF247370-GMB253374-2o2jf8hl7c5800000000/SIG-20250701_1134145d.jpeg", "SIG-20250701_1134145d.jpeg")</f>
        <v>SIG-20250701_1134145d.jpeg</v>
      </c>
      <c r="AV715" s="3" t="str">
        <f>HYPERLINK("https://www.google.com/maps/place/8.8764571%2C-12.0505855", "8.8764571,-12.0505855")</f>
        <v>8.8764571,-12.0505855</v>
      </c>
    </row>
    <row r="716" ht="15.75" customHeight="1">
      <c r="A716" s="1" t="s">
        <v>3595</v>
      </c>
      <c r="B716" s="1" t="s">
        <v>161</v>
      </c>
      <c r="C716" s="1" t="s">
        <v>1865</v>
      </c>
      <c r="D716" s="1" t="s">
        <v>1865</v>
      </c>
      <c r="E716" s="1" t="s">
        <v>3596</v>
      </c>
      <c r="F716" s="1" t="s">
        <v>64</v>
      </c>
      <c r="G716" s="1">
        <v>150.0</v>
      </c>
      <c r="H716" s="1" t="s">
        <v>50</v>
      </c>
      <c r="I716" s="1">
        <v>44.0</v>
      </c>
      <c r="J716" s="1">
        <v>19.0</v>
      </c>
      <c r="K716" s="1">
        <v>7.0</v>
      </c>
      <c r="L716" s="1">
        <v>25.0</v>
      </c>
      <c r="M716" s="1">
        <v>15.0</v>
      </c>
      <c r="N716" s="1" t="s">
        <v>51</v>
      </c>
      <c r="O716" s="1">
        <v>36.0</v>
      </c>
      <c r="P716" s="1">
        <v>18.0</v>
      </c>
      <c r="Q716" s="1">
        <v>10.0</v>
      </c>
      <c r="R716" s="1">
        <v>18.0</v>
      </c>
      <c r="S716" s="1">
        <v>12.0</v>
      </c>
      <c r="T716" s="1" t="s">
        <v>52</v>
      </c>
      <c r="U716" s="1">
        <v>35.0</v>
      </c>
      <c r="V716" s="1">
        <v>15.0</v>
      </c>
      <c r="W716" s="1">
        <v>5.0</v>
      </c>
      <c r="X716" s="1">
        <v>20.0</v>
      </c>
      <c r="Y716" s="1">
        <v>12.0</v>
      </c>
      <c r="Z716" s="1" t="s">
        <v>53</v>
      </c>
      <c r="AA716" s="1">
        <v>47.0</v>
      </c>
      <c r="AB716" s="1">
        <v>15.0</v>
      </c>
      <c r="AC716" s="1">
        <v>9.0</v>
      </c>
      <c r="AD716" s="1">
        <v>28.0</v>
      </c>
      <c r="AE716" s="1">
        <v>11.0</v>
      </c>
      <c r="AF716" s="1" t="s">
        <v>54</v>
      </c>
      <c r="AG716" s="1">
        <v>35.0</v>
      </c>
      <c r="AH716" s="1">
        <v>16.0</v>
      </c>
      <c r="AI716" s="1">
        <v>8.0</v>
      </c>
      <c r="AJ716" s="1">
        <v>19.0</v>
      </c>
      <c r="AK716" s="1">
        <v>16.0</v>
      </c>
      <c r="AL716" s="1">
        <v>105.0</v>
      </c>
      <c r="AM716" s="1" t="s">
        <v>55</v>
      </c>
      <c r="AN716" s="1">
        <v>45.0</v>
      </c>
      <c r="AO716" s="1">
        <v>45.0</v>
      </c>
      <c r="AP716" s="1" t="s">
        <v>2203</v>
      </c>
      <c r="AQ716" s="3" t="str">
        <f>HYPERLINK("https://icf.clappia.com/app/GMB253374/submission/GOZ33057107/ICF247370-GMB253374-3o50o99o5ad600000000/SIG-20250701_1130179eg4.jpeg", "SIG-20250701_1130179eg4.jpeg")</f>
        <v>SIG-20250701_1130179eg4.jpeg</v>
      </c>
      <c r="AR716" s="1" t="s">
        <v>2204</v>
      </c>
      <c r="AS716" s="3" t="str">
        <f>HYPERLINK("https://icf.clappia.com/app/GMB253374/submission/GOZ33057107/ICF247370-GMB253374-3jpmk6o2onao00000000/SIG-20250701_113417jjl9.jpeg", "SIG-20250701_113417jjl9.jpeg")</f>
        <v>SIG-20250701_113417jjl9.jpeg</v>
      </c>
      <c r="AT716" s="1" t="s">
        <v>3597</v>
      </c>
      <c r="AU716" s="3" t="str">
        <f>HYPERLINK("https://icf.clappia.com/app/GMB253374/submission/GOZ33057107/ICF247370-GMB253374-46b56lpklj4o00000000/SIG-20250701_1130400pc.jpeg", "SIG-20250701_1130400pc.jpeg")</f>
        <v>SIG-20250701_1130400pc.jpeg</v>
      </c>
      <c r="AV716" s="3" t="str">
        <f>HYPERLINK("https://www.google.com/maps/place/7.9250831%2C-11.7233767", "7.9250831,-11.7233767")</f>
        <v>7.9250831,-11.7233767</v>
      </c>
    </row>
    <row r="717" ht="15.75" customHeight="1">
      <c r="A717" s="1" t="s">
        <v>3598</v>
      </c>
      <c r="B717" s="1" t="s">
        <v>167</v>
      </c>
      <c r="C717" s="1" t="s">
        <v>3394</v>
      </c>
      <c r="D717" s="1" t="s">
        <v>3394</v>
      </c>
      <c r="E717" s="1" t="s">
        <v>3599</v>
      </c>
      <c r="F717" s="1" t="s">
        <v>64</v>
      </c>
      <c r="G717" s="1">
        <v>250.0</v>
      </c>
      <c r="H717" s="1" t="s">
        <v>50</v>
      </c>
      <c r="I717" s="1">
        <v>60.0</v>
      </c>
      <c r="J717" s="1">
        <v>35.0</v>
      </c>
      <c r="K717" s="1">
        <v>35.0</v>
      </c>
      <c r="L717" s="1">
        <v>25.0</v>
      </c>
      <c r="M717" s="1">
        <v>25.0</v>
      </c>
      <c r="N717" s="1" t="s">
        <v>51</v>
      </c>
      <c r="O717" s="1">
        <v>40.0</v>
      </c>
      <c r="P717" s="1">
        <v>30.0</v>
      </c>
      <c r="Q717" s="1">
        <v>30.0</v>
      </c>
      <c r="R717" s="1">
        <v>10.0</v>
      </c>
      <c r="S717" s="1">
        <v>10.0</v>
      </c>
      <c r="T717" s="1" t="s">
        <v>52</v>
      </c>
      <c r="U717" s="1">
        <v>30.0</v>
      </c>
      <c r="V717" s="1">
        <v>15.0</v>
      </c>
      <c r="W717" s="1">
        <v>15.0</v>
      </c>
      <c r="X717" s="1">
        <v>15.0</v>
      </c>
      <c r="Y717" s="1">
        <v>15.0</v>
      </c>
      <c r="Z717" s="1" t="s">
        <v>53</v>
      </c>
      <c r="AA717" s="1">
        <v>40.0</v>
      </c>
      <c r="AB717" s="1">
        <v>25.0</v>
      </c>
      <c r="AC717" s="1">
        <v>25.0</v>
      </c>
      <c r="AD717" s="1">
        <v>15.0</v>
      </c>
      <c r="AE717" s="1">
        <v>15.0</v>
      </c>
      <c r="AF717" s="1" t="s">
        <v>54</v>
      </c>
      <c r="AG717" s="1">
        <v>58.0</v>
      </c>
      <c r="AH717" s="1">
        <v>30.0</v>
      </c>
      <c r="AI717" s="1">
        <v>30.0</v>
      </c>
      <c r="AJ717" s="1">
        <v>28.0</v>
      </c>
      <c r="AK717" s="1">
        <v>28.0</v>
      </c>
      <c r="AL717" s="1">
        <v>228.0</v>
      </c>
      <c r="AM717" s="1" t="s">
        <v>55</v>
      </c>
      <c r="AN717" s="1">
        <v>22.0</v>
      </c>
      <c r="AO717" s="1">
        <v>22.0</v>
      </c>
      <c r="AP717" s="1" t="s">
        <v>818</v>
      </c>
      <c r="AQ717" s="3" t="str">
        <f>HYPERLINK("https://icf.clappia.com/app/GMB253374/submission/BJO54116400/ICF247370-GMB253374-4ie57bl8e02000000000/SIG-20250701_1131bbmg8.jpeg", "SIG-20250701_1131bbmg8.jpeg")</f>
        <v>SIG-20250701_1131bbmg8.jpeg</v>
      </c>
      <c r="AR717" s="1" t="s">
        <v>2144</v>
      </c>
      <c r="AS717" s="3" t="str">
        <f>HYPERLINK("https://icf.clappia.com/app/GMB253374/submission/BJO54116400/ICF247370-GMB253374-59f6347hbnli00000000/SIG-20250701_1132i1ll4.jpeg", "SIG-20250701_1132i1ll4.jpeg")</f>
        <v>SIG-20250701_1132i1ll4.jpeg</v>
      </c>
      <c r="AT717" s="1" t="s">
        <v>2145</v>
      </c>
      <c r="AU717" s="3" t="str">
        <f>HYPERLINK("https://icf.clappia.com/app/GMB253374/submission/BJO54116400/ICF247370-GMB253374-4hpegbmi9g5m00000000/SIG-20250701_11321pjhj.jpeg", "SIG-20250701_11321pjhj.jpeg")</f>
        <v>SIG-20250701_11321pjhj.jpeg</v>
      </c>
      <c r="AV717" s="3" t="str">
        <f>HYPERLINK("https://www.google.com/maps/place/7.8852287%2C-11.785319", "7.8852287,-11.785319")</f>
        <v>7.8852287,-11.785319</v>
      </c>
    </row>
    <row r="718" ht="15.75" customHeight="1">
      <c r="A718" s="1" t="s">
        <v>3600</v>
      </c>
      <c r="B718" s="1" t="s">
        <v>189</v>
      </c>
      <c r="C718" s="1" t="s">
        <v>3394</v>
      </c>
      <c r="D718" s="1" t="s">
        <v>3394</v>
      </c>
      <c r="E718" s="1" t="s">
        <v>3601</v>
      </c>
      <c r="F718" s="1" t="s">
        <v>64</v>
      </c>
      <c r="G718" s="1">
        <v>700.0</v>
      </c>
      <c r="H718" s="1" t="s">
        <v>50</v>
      </c>
      <c r="I718" s="1">
        <v>125.0</v>
      </c>
      <c r="J718" s="1">
        <v>65.0</v>
      </c>
      <c r="K718" s="1">
        <v>63.0</v>
      </c>
      <c r="L718" s="1">
        <v>60.0</v>
      </c>
      <c r="M718" s="1">
        <v>60.0</v>
      </c>
      <c r="N718" s="1" t="s">
        <v>51</v>
      </c>
      <c r="O718" s="1">
        <v>130.0</v>
      </c>
      <c r="P718" s="1">
        <v>60.0</v>
      </c>
      <c r="Q718" s="1">
        <v>60.0</v>
      </c>
      <c r="R718" s="1">
        <v>70.0</v>
      </c>
      <c r="S718" s="1">
        <v>69.0</v>
      </c>
      <c r="T718" s="1" t="s">
        <v>52</v>
      </c>
      <c r="U718" s="1">
        <v>125.0</v>
      </c>
      <c r="V718" s="1">
        <v>55.0</v>
      </c>
      <c r="W718" s="1">
        <v>55.0</v>
      </c>
      <c r="X718" s="1">
        <v>70.0</v>
      </c>
      <c r="Y718" s="1">
        <v>68.0</v>
      </c>
      <c r="Z718" s="1" t="s">
        <v>53</v>
      </c>
      <c r="AA718" s="1">
        <v>140.0</v>
      </c>
      <c r="AB718" s="1">
        <v>50.0</v>
      </c>
      <c r="AC718" s="1">
        <v>47.0</v>
      </c>
      <c r="AD718" s="1">
        <v>90.0</v>
      </c>
      <c r="AE718" s="1">
        <v>90.0</v>
      </c>
      <c r="AF718" s="1" t="s">
        <v>54</v>
      </c>
      <c r="AG718" s="1">
        <v>150.0</v>
      </c>
      <c r="AH718" s="1">
        <v>70.0</v>
      </c>
      <c r="AI718" s="1">
        <v>70.0</v>
      </c>
      <c r="AJ718" s="1">
        <v>80.0</v>
      </c>
      <c r="AK718" s="1">
        <v>80.0</v>
      </c>
      <c r="AL718" s="1">
        <v>662.0</v>
      </c>
      <c r="AM718" s="1">
        <v>10.0</v>
      </c>
      <c r="AN718" s="1">
        <v>28.0</v>
      </c>
      <c r="AO718" s="1">
        <v>28.0</v>
      </c>
      <c r="AP718" s="1" t="s">
        <v>3602</v>
      </c>
      <c r="AQ718" s="3" t="str">
        <f>HYPERLINK("https://icf.clappia.com/app/GMB253374/submission/MCI18771322/ICF247370-GMB253374-51b8l35c9f0g00000000/SIG-20250701_1131gk460.jpeg", "SIG-20250701_1131gk460.jpeg")</f>
        <v>SIG-20250701_1131gk460.jpeg</v>
      </c>
      <c r="AR718" s="1" t="s">
        <v>3603</v>
      </c>
      <c r="AS718" s="3" t="str">
        <f>HYPERLINK("https://icf.clappia.com/app/GMB253374/submission/MCI18771322/ICF247370-GMB253374-18b4dbpodf6ko0000000/SIG-20250701_113251gla.jpeg", "SIG-20250701_113251gla.jpeg")</f>
        <v>SIG-20250701_113251gla.jpeg</v>
      </c>
      <c r="AT718" s="1" t="s">
        <v>3604</v>
      </c>
      <c r="AU718" s="3" t="str">
        <f>HYPERLINK("https://icf.clappia.com/app/GMB253374/submission/MCI18771322/ICF247370-GMB253374-16g45a5p100g00000000/SIG-20250701_1132112i8k.jpeg", "SIG-20250701_1132112i8k.jpeg")</f>
        <v>SIG-20250701_1132112i8k.jpeg</v>
      </c>
      <c r="AV718" s="3" t="str">
        <f>HYPERLINK("https://www.google.com/maps/place/8.8758905%2C-12.0426087", "8.8758905,-12.0426087")</f>
        <v>8.8758905,-12.0426087</v>
      </c>
    </row>
    <row r="719" ht="15.75" customHeight="1">
      <c r="A719" s="1" t="s">
        <v>3605</v>
      </c>
      <c r="B719" s="1" t="s">
        <v>690</v>
      </c>
      <c r="C719" s="1" t="s">
        <v>3606</v>
      </c>
      <c r="D719" s="1" t="s">
        <v>3606</v>
      </c>
      <c r="E719" s="1" t="s">
        <v>3607</v>
      </c>
      <c r="F719" s="1" t="s">
        <v>64</v>
      </c>
      <c r="G719" s="1">
        <v>261.0</v>
      </c>
      <c r="H719" s="1" t="s">
        <v>50</v>
      </c>
      <c r="I719" s="1">
        <v>69.0</v>
      </c>
      <c r="J719" s="1">
        <v>30.0</v>
      </c>
      <c r="K719" s="1">
        <v>30.0</v>
      </c>
      <c r="L719" s="1">
        <v>39.0</v>
      </c>
      <c r="M719" s="1">
        <v>39.0</v>
      </c>
      <c r="N719" s="1" t="s">
        <v>51</v>
      </c>
      <c r="O719" s="1">
        <v>46.0</v>
      </c>
      <c r="P719" s="1">
        <v>20.0</v>
      </c>
      <c r="Q719" s="1">
        <v>20.0</v>
      </c>
      <c r="R719" s="1">
        <v>25.0</v>
      </c>
      <c r="S719" s="1">
        <v>25.0</v>
      </c>
      <c r="T719" s="1" t="s">
        <v>52</v>
      </c>
      <c r="U719" s="1">
        <v>45.0</v>
      </c>
      <c r="V719" s="1">
        <v>19.0</v>
      </c>
      <c r="W719" s="1">
        <v>19.0</v>
      </c>
      <c r="X719" s="1">
        <v>26.0</v>
      </c>
      <c r="Y719" s="1">
        <v>26.0</v>
      </c>
      <c r="Z719" s="1" t="s">
        <v>53</v>
      </c>
      <c r="AA719" s="1">
        <v>55.0</v>
      </c>
      <c r="AB719" s="1">
        <v>35.0</v>
      </c>
      <c r="AC719" s="1">
        <v>35.0</v>
      </c>
      <c r="AD719" s="1">
        <v>20.0</v>
      </c>
      <c r="AE719" s="1">
        <v>20.0</v>
      </c>
      <c r="AF719" s="1" t="s">
        <v>54</v>
      </c>
      <c r="AG719" s="1">
        <v>41.0</v>
      </c>
      <c r="AH719" s="1">
        <v>25.0</v>
      </c>
      <c r="AI719" s="1">
        <v>25.0</v>
      </c>
      <c r="AJ719" s="1">
        <v>16.0</v>
      </c>
      <c r="AK719" s="1">
        <v>16.0</v>
      </c>
      <c r="AL719" s="1">
        <v>255.0</v>
      </c>
      <c r="AM719" s="1">
        <v>6.0</v>
      </c>
      <c r="AN719" s="1" t="s">
        <v>55</v>
      </c>
      <c r="AO719" s="1" t="s">
        <v>55</v>
      </c>
      <c r="AP719" s="1" t="s">
        <v>2262</v>
      </c>
      <c r="AQ719" s="3" t="str">
        <f>HYPERLINK("https://icf.clappia.com/app/GMB253374/submission/XNR23817995/ICF247370-GMB253374-664majmp1na400000000/SIG-20250701_104616fhh4.jpeg", "SIG-20250701_104616fhh4.jpeg")</f>
        <v>SIG-20250701_104616fhh4.jpeg</v>
      </c>
      <c r="AR719" s="1" t="s">
        <v>3608</v>
      </c>
      <c r="AS719" s="3" t="str">
        <f>HYPERLINK("https://icf.clappia.com/app/GMB253374/submission/XNR23817995/ICF247370-GMB253374-2fm6dmncoo3800000000/SIG-20250701_1047199mc2.jpeg", "SIG-20250701_1047199mc2.jpeg")</f>
        <v>SIG-20250701_1047199mc2.jpeg</v>
      </c>
      <c r="AT719" s="1" t="s">
        <v>3609</v>
      </c>
      <c r="AU719" s="3" t="str">
        <f>HYPERLINK("https://icf.clappia.com/app/GMB253374/submission/XNR23817995/ICF247370-GMB253374-3g4gaahbg77a00000000/SIG-20250701_1048o4k7h.jpeg", "SIG-20250701_1048o4k7h.jpeg")</f>
        <v>SIG-20250701_1048o4k7h.jpeg</v>
      </c>
      <c r="AV719" s="3" t="str">
        <f>HYPERLINK("https://www.google.com/maps/place/8.8540068%2C-12.0461828", "8.8540068,-12.0461828")</f>
        <v>8.8540068,-12.0461828</v>
      </c>
    </row>
    <row r="720" ht="15.75" customHeight="1">
      <c r="A720" s="1" t="s">
        <v>3610</v>
      </c>
      <c r="B720" s="1" t="s">
        <v>167</v>
      </c>
      <c r="C720" s="1" t="s">
        <v>3611</v>
      </c>
      <c r="D720" s="1" t="s">
        <v>3611</v>
      </c>
      <c r="E720" s="1" t="s">
        <v>3612</v>
      </c>
      <c r="F720" s="1" t="s">
        <v>64</v>
      </c>
      <c r="G720" s="1">
        <v>227.0</v>
      </c>
      <c r="H720" s="1" t="s">
        <v>50</v>
      </c>
      <c r="I720" s="1">
        <v>77.0</v>
      </c>
      <c r="J720" s="1">
        <v>39.0</v>
      </c>
      <c r="K720" s="1">
        <v>39.0</v>
      </c>
      <c r="L720" s="1">
        <v>38.0</v>
      </c>
      <c r="M720" s="1">
        <v>38.0</v>
      </c>
      <c r="N720" s="1" t="s">
        <v>51</v>
      </c>
      <c r="O720" s="1">
        <v>33.0</v>
      </c>
      <c r="P720" s="1">
        <v>18.0</v>
      </c>
      <c r="Q720" s="1">
        <v>18.0</v>
      </c>
      <c r="R720" s="1">
        <v>15.0</v>
      </c>
      <c r="S720" s="1">
        <v>15.0</v>
      </c>
      <c r="T720" s="1" t="s">
        <v>52</v>
      </c>
      <c r="U720" s="1">
        <v>31.0</v>
      </c>
      <c r="V720" s="1">
        <v>19.0</v>
      </c>
      <c r="W720" s="1">
        <v>19.0</v>
      </c>
      <c r="X720" s="1">
        <v>12.0</v>
      </c>
      <c r="Y720" s="1">
        <v>12.0</v>
      </c>
      <c r="Z720" s="1" t="s">
        <v>53</v>
      </c>
      <c r="AA720" s="1">
        <v>37.0</v>
      </c>
      <c r="AB720" s="1">
        <v>14.0</v>
      </c>
      <c r="AC720" s="1">
        <v>14.0</v>
      </c>
      <c r="AD720" s="1">
        <v>23.0</v>
      </c>
      <c r="AE720" s="1">
        <v>23.0</v>
      </c>
      <c r="AF720" s="1" t="s">
        <v>54</v>
      </c>
      <c r="AG720" s="1">
        <v>39.0</v>
      </c>
      <c r="AH720" s="1">
        <v>21.0</v>
      </c>
      <c r="AI720" s="1">
        <v>21.0</v>
      </c>
      <c r="AJ720" s="1">
        <v>18.0</v>
      </c>
      <c r="AK720" s="1">
        <v>18.0</v>
      </c>
      <c r="AL720" s="1">
        <v>217.0</v>
      </c>
      <c r="AM720" s="1">
        <v>10.0</v>
      </c>
      <c r="AN720" s="1" t="s">
        <v>55</v>
      </c>
      <c r="AO720" s="1" t="s">
        <v>55</v>
      </c>
      <c r="AP720" s="1" t="s">
        <v>2296</v>
      </c>
      <c r="AQ720" s="3" t="str">
        <f>HYPERLINK("https://icf.clappia.com/app/GMB253374/submission/ZDK96596224/ICF247370-GMB253374-78pbgolhod6a0000000/SIG-20250701_1125b7kdh.jpeg", "SIG-20250701_1125b7kdh.jpeg")</f>
        <v>SIG-20250701_1125b7kdh.jpeg</v>
      </c>
      <c r="AR720" s="1" t="s">
        <v>3613</v>
      </c>
      <c r="AS720" s="3" t="str">
        <f>HYPERLINK("https://icf.clappia.com/app/GMB253374/submission/ZDK96596224/ICF247370-GMB253374-17b32g2eb4efi0000000/SIG-20250701_112746mm1.jpeg", "SIG-20250701_112746mm1.jpeg")</f>
        <v>SIG-20250701_112746mm1.jpeg</v>
      </c>
      <c r="AT720" s="1" t="s">
        <v>2298</v>
      </c>
      <c r="AU720" s="3" t="str">
        <f>HYPERLINK("https://icf.clappia.com/app/GMB253374/submission/ZDK96596224/ICF247370-GMB253374-35obae0mnep600000000/SIG-20250701_1127ki250.jpeg", "SIG-20250701_1127ki250.jpeg")</f>
        <v>SIG-20250701_1127ki250.jpeg</v>
      </c>
      <c r="AV720" s="3" t="str">
        <f>HYPERLINK("https://www.google.com/maps/place/7.9511617%2C-11.7913117", "7.9511617,-11.7913117")</f>
        <v>7.9511617,-11.7913117</v>
      </c>
    </row>
    <row r="721" ht="15.75" customHeight="1">
      <c r="A721" s="1" t="s">
        <v>3614</v>
      </c>
      <c r="B721" s="1" t="s">
        <v>46</v>
      </c>
      <c r="C721" s="1" t="s">
        <v>3615</v>
      </c>
      <c r="D721" s="1" t="s">
        <v>3616</v>
      </c>
      <c r="E721" s="1" t="s">
        <v>3617</v>
      </c>
      <c r="F721" s="1" t="s">
        <v>64</v>
      </c>
      <c r="G721" s="1">
        <v>51.0</v>
      </c>
      <c r="H721" s="1" t="s">
        <v>50</v>
      </c>
      <c r="I721" s="1">
        <v>27.0</v>
      </c>
      <c r="J721" s="1">
        <v>13.0</v>
      </c>
      <c r="K721" s="1">
        <v>4.0</v>
      </c>
      <c r="L721" s="1">
        <v>14.0</v>
      </c>
      <c r="M721" s="1">
        <v>7.0</v>
      </c>
      <c r="N721" s="1" t="s">
        <v>51</v>
      </c>
      <c r="O721" s="1">
        <v>35.0</v>
      </c>
      <c r="P721" s="1">
        <v>14.0</v>
      </c>
      <c r="Q721" s="1">
        <v>7.0</v>
      </c>
      <c r="R721" s="1">
        <v>21.0</v>
      </c>
      <c r="S721" s="1">
        <v>2.0</v>
      </c>
      <c r="T721" s="1" t="s">
        <v>52</v>
      </c>
      <c r="U721" s="1">
        <v>38.0</v>
      </c>
      <c r="V721" s="1">
        <v>20.0</v>
      </c>
      <c r="W721" s="1">
        <v>8.0</v>
      </c>
      <c r="X721" s="1">
        <v>18.0</v>
      </c>
      <c r="Y721" s="1">
        <v>5.0</v>
      </c>
      <c r="Z721" s="1" t="s">
        <v>53</v>
      </c>
      <c r="AA721" s="1">
        <v>35.0</v>
      </c>
      <c r="AB721" s="1">
        <v>15.0</v>
      </c>
      <c r="AC721" s="1">
        <v>6.0</v>
      </c>
      <c r="AD721" s="1">
        <v>20.0</v>
      </c>
      <c r="AE721" s="1">
        <v>5.0</v>
      </c>
      <c r="AF721" s="1" t="s">
        <v>54</v>
      </c>
      <c r="AG721" s="1">
        <v>22.0</v>
      </c>
      <c r="AH721" s="1">
        <v>12.0</v>
      </c>
      <c r="AI721" s="1" t="s">
        <v>55</v>
      </c>
      <c r="AJ721" s="1">
        <v>10.0</v>
      </c>
      <c r="AK721" s="1">
        <v>6.0</v>
      </c>
      <c r="AL721" s="1">
        <v>50.0</v>
      </c>
      <c r="AM721" s="1" t="s">
        <v>55</v>
      </c>
      <c r="AN721" s="1">
        <v>1.0</v>
      </c>
      <c r="AO721" s="1" t="s">
        <v>55</v>
      </c>
      <c r="AP721" s="1" t="s">
        <v>1813</v>
      </c>
      <c r="AQ721" s="3" t="str">
        <f>HYPERLINK("https://icf.clappia.com/app/GMB253374/submission/WZJ62766606/ICF247370-GMB253374-1ha3k12edma720000000/SIG-20250701_10472j6a6.jpeg", "SIG-20250701_10472j6a6.jpeg")</f>
        <v>SIG-20250701_10472j6a6.jpeg</v>
      </c>
      <c r="AR721" s="1" t="s">
        <v>1814</v>
      </c>
      <c r="AS721" s="3" t="str">
        <f>HYPERLINK("https://icf.clappia.com/app/GMB253374/submission/WZJ62766606/ICF247370-GMB253374-58fff0in4bgo00000000/SIG-20250701_1047190pa6.jpeg", "SIG-20250701_1047190pa6.jpeg")</f>
        <v>SIG-20250701_1047190pa6.jpeg</v>
      </c>
      <c r="AT721" s="1" t="s">
        <v>1815</v>
      </c>
      <c r="AU721" s="3" t="str">
        <f>HYPERLINK("https://icf.clappia.com/app/GMB253374/submission/WZJ62766606/ICF247370-GMB253374-3ob47e1km6d600000000/SIG-20250701_1048p45j8.jpeg", "SIG-20250701_1048p45j8.jpeg")</f>
        <v>SIG-20250701_1048p45j8.jpeg</v>
      </c>
      <c r="AV721" s="3" t="str">
        <f>HYPERLINK("https://www.google.com/maps/place/8.9280768%2C-12.0066517", "8.9280768,-12.0066517")</f>
        <v>8.9280768,-12.0066517</v>
      </c>
    </row>
    <row r="722" ht="15.75" customHeight="1">
      <c r="A722" s="1" t="s">
        <v>3618</v>
      </c>
      <c r="B722" s="1" t="s">
        <v>46</v>
      </c>
      <c r="C722" s="1" t="s">
        <v>3619</v>
      </c>
      <c r="D722" s="1" t="s">
        <v>3616</v>
      </c>
      <c r="E722" s="1" t="s">
        <v>3620</v>
      </c>
      <c r="F722" s="1" t="s">
        <v>49</v>
      </c>
      <c r="G722" s="1">
        <v>50.0</v>
      </c>
      <c r="H722" s="1" t="s">
        <v>50</v>
      </c>
      <c r="I722" s="1">
        <v>13.0</v>
      </c>
      <c r="J722" s="1">
        <v>8.0</v>
      </c>
      <c r="K722" s="1">
        <v>8.0</v>
      </c>
      <c r="L722" s="1">
        <v>5.0</v>
      </c>
      <c r="M722" s="1">
        <v>5.0</v>
      </c>
      <c r="N722" s="1" t="s">
        <v>51</v>
      </c>
      <c r="O722" s="1">
        <v>4.0</v>
      </c>
      <c r="P722" s="1">
        <v>3.0</v>
      </c>
      <c r="Q722" s="1">
        <v>3.0</v>
      </c>
      <c r="R722" s="1">
        <v>1.0</v>
      </c>
      <c r="S722" s="1" t="s">
        <v>55</v>
      </c>
      <c r="T722" s="1" t="s">
        <v>52</v>
      </c>
      <c r="U722" s="1">
        <v>7.0</v>
      </c>
      <c r="V722" s="1">
        <v>3.0</v>
      </c>
      <c r="W722" s="1">
        <v>3.0</v>
      </c>
      <c r="X722" s="1">
        <v>4.0</v>
      </c>
      <c r="Y722" s="1">
        <v>1.0</v>
      </c>
      <c r="Z722" s="1" t="s">
        <v>53</v>
      </c>
      <c r="AA722" s="1">
        <v>8.0</v>
      </c>
      <c r="AB722" s="1">
        <v>5.0</v>
      </c>
      <c r="AC722" s="1">
        <v>2.0</v>
      </c>
      <c r="AD722" s="1">
        <v>3.0</v>
      </c>
      <c r="AE722" s="1">
        <v>2.0</v>
      </c>
      <c r="AF722" s="1" t="s">
        <v>54</v>
      </c>
      <c r="AG722" s="1">
        <v>8.0</v>
      </c>
      <c r="AH722" s="1">
        <v>4.0</v>
      </c>
      <c r="AI722" s="1">
        <v>4.0</v>
      </c>
      <c r="AJ722" s="1">
        <v>4.0</v>
      </c>
      <c r="AK722" s="1">
        <v>4.0</v>
      </c>
      <c r="AL722" s="1">
        <v>32.0</v>
      </c>
      <c r="AM722" s="1">
        <v>8.0</v>
      </c>
      <c r="AN722" s="1">
        <v>10.0</v>
      </c>
      <c r="AO722" s="1">
        <v>10.0</v>
      </c>
      <c r="AP722" s="1" t="s">
        <v>1813</v>
      </c>
      <c r="AQ722" s="3" t="str">
        <f>HYPERLINK("https://icf.clappia.com/app/GMB253374/submission/BVM45588925/ICF247370-GMB253374-5nf2i9nh8jeg00000000/SIG-20250630_11495fc26.jpeg", "SIG-20250630_11495fc26.jpeg")</f>
        <v>SIG-20250630_11495fc26.jpeg</v>
      </c>
      <c r="AR722" s="1" t="s">
        <v>1814</v>
      </c>
      <c r="AS722" s="3" t="str">
        <f>HYPERLINK("https://icf.clappia.com/app/GMB253374/submission/BVM45588925/ICF247370-GMB253374-3p0e3ldlggig00000000/SIG-20250630_1148i4iea.jpeg", "SIG-20250630_1148i4iea.jpeg")</f>
        <v>SIG-20250630_1148i4iea.jpeg</v>
      </c>
      <c r="AT722" s="1" t="s">
        <v>3621</v>
      </c>
      <c r="AU722" s="3" t="str">
        <f>HYPERLINK("https://icf.clappia.com/app/GMB253374/submission/BVM45588925/ICF247370-GMB253374-2k2m388fj5pc00000000/SIG-20250701_09501o7la.jpeg", "SIG-20250701_09501o7la.jpeg")</f>
        <v>SIG-20250701_09501o7la.jpeg</v>
      </c>
      <c r="AV722" s="3" t="str">
        <f>HYPERLINK("https://www.google.com/maps/place/8.9280203%2C-12.0067083", "8.9280203,-12.0067083")</f>
        <v>8.9280203,-12.0067083</v>
      </c>
    </row>
    <row r="723" ht="15.75" customHeight="1">
      <c r="A723" s="1" t="s">
        <v>3622</v>
      </c>
      <c r="B723" s="1" t="s">
        <v>60</v>
      </c>
      <c r="C723" s="1" t="s">
        <v>3623</v>
      </c>
      <c r="D723" s="1" t="s">
        <v>3623</v>
      </c>
      <c r="E723" s="1" t="s">
        <v>3624</v>
      </c>
      <c r="F723" s="1" t="s">
        <v>64</v>
      </c>
      <c r="G723" s="1">
        <v>300.0</v>
      </c>
      <c r="H723" s="1" t="s">
        <v>50</v>
      </c>
      <c r="I723" s="1">
        <v>74.0</v>
      </c>
      <c r="J723" s="1">
        <v>34.0</v>
      </c>
      <c r="K723" s="1">
        <v>23.0</v>
      </c>
      <c r="L723" s="1">
        <v>40.0</v>
      </c>
      <c r="M723" s="1">
        <v>31.0</v>
      </c>
      <c r="N723" s="1" t="s">
        <v>51</v>
      </c>
      <c r="O723" s="1">
        <v>66.0</v>
      </c>
      <c r="P723" s="1">
        <v>31.0</v>
      </c>
      <c r="Q723" s="1">
        <v>31.0</v>
      </c>
      <c r="R723" s="1">
        <v>35.0</v>
      </c>
      <c r="S723" s="1">
        <v>35.0</v>
      </c>
      <c r="T723" s="1" t="s">
        <v>52</v>
      </c>
      <c r="U723" s="1">
        <v>67.0</v>
      </c>
      <c r="V723" s="1">
        <v>39.0</v>
      </c>
      <c r="W723" s="1">
        <v>36.0</v>
      </c>
      <c r="X723" s="1">
        <v>28.0</v>
      </c>
      <c r="Y723" s="1">
        <v>26.0</v>
      </c>
      <c r="Z723" s="1" t="s">
        <v>53</v>
      </c>
      <c r="AA723" s="1">
        <v>48.0</v>
      </c>
      <c r="AB723" s="1">
        <v>19.0</v>
      </c>
      <c r="AC723" s="1">
        <v>19.0</v>
      </c>
      <c r="AD723" s="1">
        <v>29.0</v>
      </c>
      <c r="AE723" s="1">
        <v>25.0</v>
      </c>
      <c r="AF723" s="1" t="s">
        <v>54</v>
      </c>
      <c r="AG723" s="1">
        <v>59.0</v>
      </c>
      <c r="AH723" s="1">
        <v>25.0</v>
      </c>
      <c r="AI723" s="1">
        <v>17.0</v>
      </c>
      <c r="AJ723" s="1">
        <v>24.0</v>
      </c>
      <c r="AK723" s="1">
        <v>20.0</v>
      </c>
      <c r="AL723" s="1">
        <v>263.0</v>
      </c>
      <c r="AM723" s="1" t="s">
        <v>55</v>
      </c>
      <c r="AN723" s="1">
        <v>37.0</v>
      </c>
      <c r="AO723" s="1">
        <v>37.0</v>
      </c>
      <c r="AP723" s="1" t="s">
        <v>3625</v>
      </c>
      <c r="AQ723" s="3" t="str">
        <f>HYPERLINK("https://icf.clappia.com/app/GMB253374/submission/UTQ71000270/ICF247370-GMB253374-27hnnpah9nk6c000000/SIG-20250701_112313il29.jpeg", "SIG-20250701_112313il29.jpeg")</f>
        <v>SIG-20250701_112313il29.jpeg</v>
      </c>
      <c r="AR723" s="1" t="s">
        <v>1975</v>
      </c>
      <c r="AS723" s="3" t="str">
        <f>HYPERLINK("https://icf.clappia.com/app/GMB253374/submission/UTQ71000270/ICF247370-GMB253374-15ik3i97pik160000000/SIG-20250701_11244e2c1.jpeg", "SIG-20250701_11244e2c1.jpeg")</f>
        <v>SIG-20250701_11244e2c1.jpeg</v>
      </c>
      <c r="AT723" s="1" t="s">
        <v>3626</v>
      </c>
      <c r="AU723" s="3" t="str">
        <f>HYPERLINK("https://icf.clappia.com/app/GMB253374/submission/UTQ71000270/ICF247370-GMB253374-2c6gd12nfiaa00000000/SIG-20250701_11254d6d0.jpeg", "SIG-20250701_11254d6d0.jpeg")</f>
        <v>SIG-20250701_11254d6d0.jpeg</v>
      </c>
      <c r="AV723" s="3" t="str">
        <f>HYPERLINK("https://www.google.com/maps/place/8.90396%2C-12.0601467", "8.90396,-12.0601467")</f>
        <v>8.90396,-12.0601467</v>
      </c>
    </row>
    <row r="724" ht="15.75" customHeight="1">
      <c r="A724" s="1" t="s">
        <v>3627</v>
      </c>
      <c r="B724" s="1" t="s">
        <v>46</v>
      </c>
      <c r="C724" s="1" t="s">
        <v>3628</v>
      </c>
      <c r="D724" s="1" t="s">
        <v>3628</v>
      </c>
      <c r="E724" s="1" t="s">
        <v>3629</v>
      </c>
      <c r="F724" s="1" t="s">
        <v>64</v>
      </c>
      <c r="G724" s="1">
        <v>150.0</v>
      </c>
      <c r="H724" s="1" t="s">
        <v>50</v>
      </c>
      <c r="I724" s="1">
        <v>34.0</v>
      </c>
      <c r="J724" s="1">
        <v>19.0</v>
      </c>
      <c r="K724" s="1">
        <v>19.0</v>
      </c>
      <c r="L724" s="1">
        <v>15.0</v>
      </c>
      <c r="M724" s="1">
        <v>15.0</v>
      </c>
      <c r="N724" s="1" t="s">
        <v>51</v>
      </c>
      <c r="O724" s="1">
        <v>29.0</v>
      </c>
      <c r="P724" s="1">
        <v>15.0</v>
      </c>
      <c r="Q724" s="1">
        <v>15.0</v>
      </c>
      <c r="R724" s="1">
        <v>14.0</v>
      </c>
      <c r="S724" s="1">
        <v>14.0</v>
      </c>
      <c r="T724" s="1" t="s">
        <v>52</v>
      </c>
      <c r="U724" s="1">
        <v>32.0</v>
      </c>
      <c r="V724" s="1">
        <v>17.0</v>
      </c>
      <c r="W724" s="1">
        <v>17.0</v>
      </c>
      <c r="X724" s="1">
        <v>15.0</v>
      </c>
      <c r="Y724" s="1">
        <v>15.0</v>
      </c>
      <c r="Z724" s="1" t="s">
        <v>53</v>
      </c>
      <c r="AA724" s="1">
        <v>25.0</v>
      </c>
      <c r="AB724" s="1">
        <v>15.0</v>
      </c>
      <c r="AC724" s="1">
        <v>15.0</v>
      </c>
      <c r="AD724" s="1">
        <v>10.0</v>
      </c>
      <c r="AE724" s="1">
        <v>10.0</v>
      </c>
      <c r="AF724" s="1" t="s">
        <v>54</v>
      </c>
      <c r="AG724" s="1">
        <v>25.0</v>
      </c>
      <c r="AH724" s="1">
        <v>12.0</v>
      </c>
      <c r="AI724" s="1">
        <v>12.0</v>
      </c>
      <c r="AJ724" s="1">
        <v>13.0</v>
      </c>
      <c r="AK724" s="1">
        <v>13.0</v>
      </c>
      <c r="AL724" s="1">
        <v>145.0</v>
      </c>
      <c r="AM724" s="1" t="s">
        <v>55</v>
      </c>
      <c r="AN724" s="1">
        <v>5.0</v>
      </c>
      <c r="AO724" s="1">
        <v>5.0</v>
      </c>
      <c r="AP724" s="1" t="s">
        <v>1666</v>
      </c>
      <c r="AQ724" s="3" t="str">
        <f>HYPERLINK("https://icf.clappia.com/app/GMB253374/submission/OIJ83830087/ICF247370-GMB253374-kb53fppca49m0000000/SIG-20250630_131619ddea.jpeg", "SIG-20250630_131619ddea.jpeg")</f>
        <v>SIG-20250630_131619ddea.jpeg</v>
      </c>
      <c r="AR724" s="1" t="s">
        <v>1469</v>
      </c>
      <c r="AS724" s="3" t="str">
        <f>HYPERLINK("https://icf.clappia.com/app/GMB253374/submission/OIJ83830087/ICF247370-GMB253374-b466keple43a0000000/SIG-20250701_100416p71l.jpeg", "SIG-20250701_100416p71l.jpeg")</f>
        <v>SIG-20250701_100416p71l.jpeg</v>
      </c>
      <c r="AT724" s="1" t="s">
        <v>3630</v>
      </c>
      <c r="AU724" s="3" t="str">
        <f>HYPERLINK("https://icf.clappia.com/app/GMB253374/submission/OIJ83830087/ICF247370-GMB253374-168bmnga9nbkk0000000/SIG-20250701_09131nbmg.jpeg", "SIG-20250701_09131nbmg.jpeg")</f>
        <v>SIG-20250701_09131nbmg.jpeg</v>
      </c>
      <c r="AV724" s="3" t="str">
        <f>HYPERLINK("https://www.google.com/maps/place/8.9357217%2C-11.9967867", "8.9357217,-11.9967867")</f>
        <v>8.9357217,-11.9967867</v>
      </c>
    </row>
    <row r="725" ht="15.75" customHeight="1">
      <c r="A725" s="1" t="s">
        <v>3631</v>
      </c>
      <c r="B725" s="1" t="s">
        <v>155</v>
      </c>
      <c r="C725" s="1" t="s">
        <v>3632</v>
      </c>
      <c r="D725" s="1" t="s">
        <v>3632</v>
      </c>
      <c r="E725" s="1" t="s">
        <v>3633</v>
      </c>
      <c r="F725" s="1" t="s">
        <v>64</v>
      </c>
      <c r="G725" s="1">
        <v>150.0</v>
      </c>
      <c r="H725" s="1" t="s">
        <v>50</v>
      </c>
      <c r="I725" s="1">
        <v>33.0</v>
      </c>
      <c r="J725" s="1">
        <v>18.0</v>
      </c>
      <c r="K725" s="1">
        <v>18.0</v>
      </c>
      <c r="L725" s="1">
        <v>15.0</v>
      </c>
      <c r="M725" s="1">
        <v>15.0</v>
      </c>
      <c r="N725" s="1" t="s">
        <v>51</v>
      </c>
      <c r="O725" s="1">
        <v>15.0</v>
      </c>
      <c r="P725" s="1">
        <v>7.0</v>
      </c>
      <c r="Q725" s="1">
        <v>4.0</v>
      </c>
      <c r="R725" s="1">
        <v>8.0</v>
      </c>
      <c r="S725" s="1">
        <v>5.0</v>
      </c>
      <c r="T725" s="1" t="s">
        <v>52</v>
      </c>
      <c r="U725" s="1">
        <v>27.0</v>
      </c>
      <c r="V725" s="1">
        <v>16.0</v>
      </c>
      <c r="W725" s="1">
        <v>6.0</v>
      </c>
      <c r="X725" s="1">
        <v>11.0</v>
      </c>
      <c r="Y725" s="1">
        <v>1.0</v>
      </c>
      <c r="Z725" s="1" t="s">
        <v>53</v>
      </c>
      <c r="AA725" s="1">
        <v>33.0</v>
      </c>
      <c r="AB725" s="1">
        <v>14.0</v>
      </c>
      <c r="AC725" s="1">
        <v>5.0</v>
      </c>
      <c r="AD725" s="1">
        <v>19.0</v>
      </c>
      <c r="AE725" s="1">
        <v>4.0</v>
      </c>
      <c r="AF725" s="1" t="s">
        <v>54</v>
      </c>
      <c r="AG725" s="1">
        <v>10.0</v>
      </c>
      <c r="AH725" s="1">
        <v>5.0</v>
      </c>
      <c r="AI725" s="1">
        <v>5.0</v>
      </c>
      <c r="AJ725" s="1">
        <v>5.0</v>
      </c>
      <c r="AK725" s="1">
        <v>5.0</v>
      </c>
      <c r="AL725" s="1">
        <v>68.0</v>
      </c>
      <c r="AM725" s="1" t="s">
        <v>55</v>
      </c>
      <c r="AN725" s="1">
        <v>82.0</v>
      </c>
      <c r="AO725" s="1">
        <v>3.0</v>
      </c>
      <c r="AP725" s="1" t="s">
        <v>1531</v>
      </c>
      <c r="AQ725" s="3" t="str">
        <f>HYPERLINK("https://icf.clappia.com/app/GMB253374/submission/IQP72740984/ICF247370-GMB253374-1ked874cfhbc40000000/SIG-20250630_133788d4b.jpeg", "SIG-20250630_133788d4b.jpeg")</f>
        <v>SIG-20250630_133788d4b.jpeg</v>
      </c>
      <c r="AR725" s="1" t="s">
        <v>1532</v>
      </c>
      <c r="AS725" s="3" t="str">
        <f>HYPERLINK("https://icf.clappia.com/app/GMB253374/submission/IQP72740984/ICF247370-GMB253374-67g9334n83gc00000000/SIG-20250630_1338en2hi.jpeg", "SIG-20250630_1338en2hi.jpeg")</f>
        <v>SIG-20250630_1338en2hi.jpeg</v>
      </c>
      <c r="AT725" s="1" t="s">
        <v>3634</v>
      </c>
      <c r="AU725" s="3" t="str">
        <f>HYPERLINK("https://icf.clappia.com/app/GMB253374/submission/IQP72740984/ICF247370-GMB253374-9pf300nh59bk0000000/SIG-20250630_1339lb788.jpeg", "SIG-20250630_1339lb788.jpeg")</f>
        <v>SIG-20250630_1339lb788.jpeg</v>
      </c>
      <c r="AV725" s="3" t="str">
        <f>HYPERLINK("https://www.google.com/maps/place/8.8076817%2C-11.9019433", "8.8076817,-11.9019433")</f>
        <v>8.8076817,-11.9019433</v>
      </c>
    </row>
    <row r="726" ht="15.75" customHeight="1">
      <c r="A726" s="1" t="s">
        <v>3635</v>
      </c>
      <c r="B726" s="1" t="s">
        <v>278</v>
      </c>
      <c r="C726" s="1" t="s">
        <v>3636</v>
      </c>
      <c r="D726" s="1" t="s">
        <v>3636</v>
      </c>
      <c r="E726" s="1" t="s">
        <v>3637</v>
      </c>
      <c r="F726" s="1" t="s">
        <v>64</v>
      </c>
      <c r="G726" s="1">
        <v>248.0</v>
      </c>
      <c r="H726" s="1" t="s">
        <v>50</v>
      </c>
      <c r="I726" s="1">
        <v>65.0</v>
      </c>
      <c r="J726" s="1">
        <v>29.0</v>
      </c>
      <c r="K726" s="1">
        <v>29.0</v>
      </c>
      <c r="L726" s="1">
        <v>36.0</v>
      </c>
      <c r="M726" s="1">
        <v>36.0</v>
      </c>
      <c r="N726" s="1" t="s">
        <v>51</v>
      </c>
      <c r="O726" s="1">
        <v>55.0</v>
      </c>
      <c r="P726" s="1">
        <v>26.0</v>
      </c>
      <c r="Q726" s="1">
        <v>26.0</v>
      </c>
      <c r="R726" s="1">
        <v>29.0</v>
      </c>
      <c r="S726" s="1">
        <v>29.0</v>
      </c>
      <c r="T726" s="1" t="s">
        <v>52</v>
      </c>
      <c r="U726" s="1">
        <v>61.0</v>
      </c>
      <c r="V726" s="1">
        <v>31.0</v>
      </c>
      <c r="W726" s="1">
        <v>31.0</v>
      </c>
      <c r="X726" s="1">
        <v>30.0</v>
      </c>
      <c r="Y726" s="1">
        <v>30.0</v>
      </c>
      <c r="Z726" s="1" t="s">
        <v>53</v>
      </c>
      <c r="AA726" s="1">
        <v>40.0</v>
      </c>
      <c r="AB726" s="1">
        <v>18.0</v>
      </c>
      <c r="AC726" s="1">
        <v>18.0</v>
      </c>
      <c r="AD726" s="1">
        <v>22.0</v>
      </c>
      <c r="AE726" s="1">
        <v>22.0</v>
      </c>
      <c r="AF726" s="1" t="s">
        <v>54</v>
      </c>
      <c r="AG726" s="1">
        <v>25.0</v>
      </c>
      <c r="AH726" s="1">
        <v>15.0</v>
      </c>
      <c r="AI726" s="1">
        <v>13.0</v>
      </c>
      <c r="AJ726" s="1">
        <v>10.0</v>
      </c>
      <c r="AK726" s="1">
        <v>8.0</v>
      </c>
      <c r="AL726" s="1">
        <v>242.0</v>
      </c>
      <c r="AM726" s="1">
        <v>4.0</v>
      </c>
      <c r="AN726" s="1">
        <v>2.0</v>
      </c>
      <c r="AO726" s="1">
        <v>2.0</v>
      </c>
      <c r="AP726" s="1" t="s">
        <v>3638</v>
      </c>
      <c r="AQ726" s="3" t="str">
        <f>HYPERLINK("https://icf.clappia.com/app/GMB253374/submission/MJS46104785/ICF247370-GMB253374-13gjhl4l4hi1m0000000/SIG-20250701_1008gj7le.jpeg", "SIG-20250701_1008gj7le.jpeg")</f>
        <v>SIG-20250701_1008gj7le.jpeg</v>
      </c>
      <c r="AR726" s="1" t="s">
        <v>413</v>
      </c>
      <c r="AS726" s="3" t="str">
        <f>HYPERLINK("https://icf.clappia.com/app/GMB253374/submission/MJS46104785/ICF247370-GMB253374-5410k4ofmkje00000000/SIG-20250701_1005827fb.jpeg", "SIG-20250701_1005827fb.jpeg")</f>
        <v>SIG-20250701_1005827fb.jpeg</v>
      </c>
      <c r="AT726" s="1" t="s">
        <v>3639</v>
      </c>
      <c r="AU726" s="3" t="str">
        <f>HYPERLINK("https://icf.clappia.com/app/GMB253374/submission/MJS46104785/ICF247370-GMB253374-2oim0mmkdlg600000000/SIG-20250701_1007cohl0.jpeg", "SIG-20250701_1007cohl0.jpeg")</f>
        <v>SIG-20250701_1007cohl0.jpeg</v>
      </c>
      <c r="AV726" s="3" t="str">
        <f>HYPERLINK("https://www.google.com/maps/place/9.29777%2C-12.20619", "9.29777,-12.20619")</f>
        <v>9.29777,-12.20619</v>
      </c>
    </row>
    <row r="727" ht="15.75" customHeight="1">
      <c r="A727" s="1" t="s">
        <v>3640</v>
      </c>
      <c r="B727" s="1" t="s">
        <v>81</v>
      </c>
      <c r="C727" s="1" t="s">
        <v>1404</v>
      </c>
      <c r="D727" s="1" t="s">
        <v>1404</v>
      </c>
      <c r="E727" s="1" t="s">
        <v>3641</v>
      </c>
      <c r="F727" s="1" t="s">
        <v>49</v>
      </c>
      <c r="G727" s="1">
        <v>442.0</v>
      </c>
      <c r="H727" s="1" t="s">
        <v>50</v>
      </c>
      <c r="I727" s="1">
        <v>47.0</v>
      </c>
      <c r="J727" s="1">
        <v>16.0</v>
      </c>
      <c r="K727" s="1">
        <v>16.0</v>
      </c>
      <c r="L727" s="1">
        <v>31.0</v>
      </c>
      <c r="M727" s="1">
        <v>30.0</v>
      </c>
      <c r="N727" s="1" t="s">
        <v>51</v>
      </c>
      <c r="O727" s="1">
        <v>56.0</v>
      </c>
      <c r="P727" s="1">
        <v>23.0</v>
      </c>
      <c r="Q727" s="1">
        <v>23.0</v>
      </c>
      <c r="R727" s="1">
        <v>33.0</v>
      </c>
      <c r="S727" s="1">
        <v>33.0</v>
      </c>
      <c r="T727" s="1" t="s">
        <v>52</v>
      </c>
      <c r="U727" s="1">
        <v>47.0</v>
      </c>
      <c r="V727" s="1">
        <v>16.0</v>
      </c>
      <c r="W727" s="1">
        <v>16.0</v>
      </c>
      <c r="X727" s="1">
        <v>31.0</v>
      </c>
      <c r="Y727" s="1">
        <v>31.0</v>
      </c>
      <c r="Z727" s="1" t="s">
        <v>53</v>
      </c>
      <c r="AA727" s="1">
        <v>29.0</v>
      </c>
      <c r="AB727" s="1">
        <v>11.0</v>
      </c>
      <c r="AC727" s="1">
        <v>11.0</v>
      </c>
      <c r="AD727" s="1">
        <v>18.0</v>
      </c>
      <c r="AE727" s="1">
        <v>18.0</v>
      </c>
      <c r="AF727" s="1" t="s">
        <v>54</v>
      </c>
      <c r="AG727" s="1">
        <v>36.0</v>
      </c>
      <c r="AH727" s="1">
        <v>16.0</v>
      </c>
      <c r="AI727" s="1">
        <v>16.0</v>
      </c>
      <c r="AJ727" s="1">
        <v>20.0</v>
      </c>
      <c r="AK727" s="1">
        <v>20.0</v>
      </c>
      <c r="AL727" s="1">
        <v>214.0</v>
      </c>
      <c r="AM727" s="1">
        <v>2.0</v>
      </c>
      <c r="AN727" s="1">
        <v>226.0</v>
      </c>
      <c r="AO727" s="1">
        <v>225.0</v>
      </c>
      <c r="AP727" s="1" t="s">
        <v>3642</v>
      </c>
      <c r="AQ727" s="3" t="str">
        <f>HYPERLINK("https://icf.clappia.com/app/GMB253374/submission/OZA53202850/ICF247370-GMB253374-2pbm2878f716000000/SIG-20250701_105417dok0.jpeg", "SIG-20250701_105417dok0.jpeg")</f>
        <v>SIG-20250701_105417dok0.jpeg</v>
      </c>
      <c r="AR727" s="1" t="s">
        <v>3643</v>
      </c>
      <c r="AS727" s="3" t="str">
        <f>HYPERLINK("https://icf.clappia.com/app/GMB253374/submission/OZA53202850/ICF247370-GMB253374-274ckkjka6oj20000000/SIG-20250701_10558kchn.jpeg", "SIG-20250701_10558kchn.jpeg")</f>
        <v>SIG-20250701_10558kchn.jpeg</v>
      </c>
      <c r="AT727" s="1" t="s">
        <v>3644</v>
      </c>
      <c r="AU727" s="3" t="str">
        <f>HYPERLINK("https://icf.clappia.com/app/GMB253374/submission/OZA53202850/ICF247370-GMB253374-59i4h0hdo08200000000/SIG-20250701_111018jpl.jpeg", "SIG-20250701_111018jpl.jpeg")</f>
        <v>SIG-20250701_111018jpl.jpeg</v>
      </c>
      <c r="AV727" s="3" t="str">
        <f>HYPERLINK("https://www.google.com/maps/place/7.9527383%2C-11.7136467", "7.9527383,-11.7136467")</f>
        <v>7.9527383,-11.7136467</v>
      </c>
    </row>
    <row r="728" ht="15.75" customHeight="1">
      <c r="A728" s="1" t="s">
        <v>3645</v>
      </c>
      <c r="B728" s="1" t="s">
        <v>69</v>
      </c>
      <c r="C728" s="1" t="s">
        <v>2789</v>
      </c>
      <c r="D728" s="1" t="s">
        <v>2789</v>
      </c>
      <c r="E728" s="1" t="s">
        <v>3646</v>
      </c>
      <c r="F728" s="1" t="s">
        <v>64</v>
      </c>
      <c r="G728" s="1">
        <v>100.0</v>
      </c>
      <c r="H728" s="1" t="s">
        <v>50</v>
      </c>
      <c r="I728" s="1">
        <v>36.0</v>
      </c>
      <c r="J728" s="1">
        <v>18.0</v>
      </c>
      <c r="K728" s="1">
        <v>12.0</v>
      </c>
      <c r="L728" s="1">
        <v>18.0</v>
      </c>
      <c r="M728" s="1">
        <v>10.0</v>
      </c>
      <c r="N728" s="1" t="s">
        <v>51</v>
      </c>
      <c r="O728" s="1">
        <v>37.0</v>
      </c>
      <c r="P728" s="1">
        <v>19.0</v>
      </c>
      <c r="Q728" s="1">
        <v>14.0</v>
      </c>
      <c r="R728" s="1">
        <v>18.0</v>
      </c>
      <c r="S728" s="1">
        <v>10.0</v>
      </c>
      <c r="T728" s="1" t="s">
        <v>52</v>
      </c>
      <c r="U728" s="1">
        <v>19.0</v>
      </c>
      <c r="V728" s="1">
        <v>10.0</v>
      </c>
      <c r="W728" s="1">
        <v>8.0</v>
      </c>
      <c r="X728" s="1">
        <v>9.0</v>
      </c>
      <c r="Y728" s="1">
        <v>9.0</v>
      </c>
      <c r="Z728" s="1" t="s">
        <v>53</v>
      </c>
      <c r="AA728" s="1">
        <v>16.0</v>
      </c>
      <c r="AB728" s="1">
        <v>4.0</v>
      </c>
      <c r="AC728" s="1">
        <v>4.0</v>
      </c>
      <c r="AD728" s="1">
        <v>12.0</v>
      </c>
      <c r="AE728" s="1">
        <v>9.0</v>
      </c>
      <c r="AF728" s="1" t="s">
        <v>54</v>
      </c>
      <c r="AG728" s="1">
        <v>18.0</v>
      </c>
      <c r="AH728" s="1">
        <v>8.0</v>
      </c>
      <c r="AI728" s="1">
        <v>6.0</v>
      </c>
      <c r="AJ728" s="1">
        <v>10.0</v>
      </c>
      <c r="AK728" s="1">
        <v>8.0</v>
      </c>
      <c r="AL728" s="1">
        <v>90.0</v>
      </c>
      <c r="AM728" s="1">
        <v>10.0</v>
      </c>
      <c r="AN728" s="1" t="s">
        <v>55</v>
      </c>
      <c r="AO728" s="1" t="s">
        <v>55</v>
      </c>
      <c r="AP728" s="1" t="s">
        <v>3647</v>
      </c>
      <c r="AQ728" s="3" t="str">
        <f>HYPERLINK("https://icf.clappia.com/app/GMB253374/submission/FBQ20376564/ICF247370-GMB253374-4lb4f7fm5hlg00000000/SIG-20250701_1111e62mk.jpeg", "SIG-20250701_1111e62mk.jpeg")</f>
        <v>SIG-20250701_1111e62mk.jpeg</v>
      </c>
      <c r="AR728" s="1" t="s">
        <v>3648</v>
      </c>
      <c r="AS728" s="3" t="str">
        <f>HYPERLINK("https://icf.clappia.com/app/GMB253374/submission/FBQ20376564/ICF247370-GMB253374-k8iehf6hcj7e0000000/SIG-20250701_111123pjb.jpeg", "SIG-20250701_111123pjb.jpeg")</f>
        <v>SIG-20250701_111123pjb.jpeg</v>
      </c>
      <c r="AT728" s="1" t="s">
        <v>3649</v>
      </c>
      <c r="AU728" s="3" t="str">
        <f>HYPERLINK("https://icf.clappia.com/app/GMB253374/submission/FBQ20376564/ICF247370-GMB253374-2l6ocm3d2laa00000000/SIG-20250701_111110bglg.jpeg", "SIG-20250701_111110bglg.jpeg")</f>
        <v>SIG-20250701_111110bglg.jpeg</v>
      </c>
      <c r="AV728" s="3" t="str">
        <f>HYPERLINK("https://www.google.com/maps/place/8.8795048%2C-12.0816474", "8.8795048,-12.0816474")</f>
        <v>8.8795048,-12.0816474</v>
      </c>
    </row>
    <row r="729" ht="15.75" customHeight="1">
      <c r="A729" s="1" t="s">
        <v>3650</v>
      </c>
      <c r="B729" s="1" t="s">
        <v>189</v>
      </c>
      <c r="C729" s="1" t="s">
        <v>3651</v>
      </c>
      <c r="D729" s="1" t="s">
        <v>3651</v>
      </c>
      <c r="E729" s="1" t="s">
        <v>3652</v>
      </c>
      <c r="F729" s="1" t="s">
        <v>64</v>
      </c>
      <c r="G729" s="1">
        <v>213.0</v>
      </c>
      <c r="H729" s="1" t="s">
        <v>50</v>
      </c>
      <c r="I729" s="1">
        <v>23.0</v>
      </c>
      <c r="J729" s="1">
        <v>14.0</v>
      </c>
      <c r="K729" s="1">
        <v>14.0</v>
      </c>
      <c r="L729" s="1">
        <v>9.0</v>
      </c>
      <c r="M729" s="1">
        <v>7.0</v>
      </c>
      <c r="N729" s="1" t="s">
        <v>51</v>
      </c>
      <c r="O729" s="1">
        <v>34.0</v>
      </c>
      <c r="P729" s="1">
        <v>22.0</v>
      </c>
      <c r="Q729" s="1">
        <v>19.0</v>
      </c>
      <c r="R729" s="1">
        <v>12.0</v>
      </c>
      <c r="S729" s="1">
        <v>7.0</v>
      </c>
      <c r="T729" s="1" t="s">
        <v>52</v>
      </c>
      <c r="U729" s="1">
        <v>25.0</v>
      </c>
      <c r="V729" s="1">
        <v>14.0</v>
      </c>
      <c r="W729" s="1">
        <v>13.0</v>
      </c>
      <c r="X729" s="1">
        <v>11.0</v>
      </c>
      <c r="Y729" s="1">
        <v>10.0</v>
      </c>
      <c r="Z729" s="1" t="s">
        <v>53</v>
      </c>
      <c r="AA729" s="1">
        <v>33.0</v>
      </c>
      <c r="AB729" s="1">
        <v>14.0</v>
      </c>
      <c r="AC729" s="1">
        <v>13.0</v>
      </c>
      <c r="AD729" s="1">
        <v>19.0</v>
      </c>
      <c r="AE729" s="1">
        <v>15.0</v>
      </c>
      <c r="AF729" s="1" t="s">
        <v>54</v>
      </c>
      <c r="AG729" s="1">
        <v>17.0</v>
      </c>
      <c r="AH729" s="1">
        <v>9.0</v>
      </c>
      <c r="AI729" s="1">
        <v>9.0</v>
      </c>
      <c r="AJ729" s="1">
        <v>8.0</v>
      </c>
      <c r="AK729" s="1">
        <v>7.0</v>
      </c>
      <c r="AL729" s="1">
        <v>114.0</v>
      </c>
      <c r="AM729" s="1">
        <v>10.0</v>
      </c>
      <c r="AN729" s="1">
        <v>89.0</v>
      </c>
      <c r="AO729" s="1">
        <v>89.0</v>
      </c>
      <c r="AP729" s="1" t="s">
        <v>2102</v>
      </c>
      <c r="AQ729" s="3" t="str">
        <f>HYPERLINK("https://icf.clappia.com/app/GMB253374/submission/LRH27980931/ICF247370-GMB253374-4j9n6d15fibk00000000/SIG-20250701_1102o8a9n.jpeg", "SIG-20250701_1102o8a9n.jpeg")</f>
        <v>SIG-20250701_1102o8a9n.jpeg</v>
      </c>
      <c r="AR729" s="1" t="s">
        <v>3653</v>
      </c>
      <c r="AS729" s="3" t="str">
        <f>HYPERLINK("https://icf.clappia.com/app/GMB253374/submission/LRH27980931/ICF247370-GMB253374-54b3m65c45eg00000000/SIG-20250701_1109b1ohm.jpeg", "SIG-20250701_1109b1ohm.jpeg")</f>
        <v>SIG-20250701_1109b1ohm.jpeg</v>
      </c>
      <c r="AT729" s="1" t="s">
        <v>3654</v>
      </c>
      <c r="AU729" s="3" t="str">
        <f>HYPERLINK("https://icf.clappia.com/app/GMB253374/submission/LRH27980931/ICF247370-GMB253374-113id5pn86mec0000000/SIG-20250701_1110k0444.jpeg", "SIG-20250701_1110k0444.jpeg")</f>
        <v>SIG-20250701_1110k0444.jpeg</v>
      </c>
      <c r="AV729" s="3" t="str">
        <f>HYPERLINK("https://www.google.com/maps/place/8.8866067%2C-12.052035", "8.8866067,-12.052035")</f>
        <v>8.8866067,-12.052035</v>
      </c>
    </row>
    <row r="730" ht="15.75" customHeight="1">
      <c r="A730" s="1" t="s">
        <v>3655</v>
      </c>
      <c r="B730" s="1" t="s">
        <v>248</v>
      </c>
      <c r="C730" s="1" t="s">
        <v>3656</v>
      </c>
      <c r="D730" s="1" t="s">
        <v>3656</v>
      </c>
      <c r="E730" s="1" t="s">
        <v>3657</v>
      </c>
      <c r="F730" s="1" t="s">
        <v>64</v>
      </c>
      <c r="G730" s="1">
        <v>200.0</v>
      </c>
      <c r="H730" s="1" t="s">
        <v>50</v>
      </c>
      <c r="I730" s="1">
        <v>80.0</v>
      </c>
      <c r="J730" s="1">
        <v>40.0</v>
      </c>
      <c r="K730" s="1">
        <v>40.0</v>
      </c>
      <c r="L730" s="1">
        <v>40.0</v>
      </c>
      <c r="M730" s="1">
        <v>30.0</v>
      </c>
      <c r="N730" s="1" t="s">
        <v>51</v>
      </c>
      <c r="O730" s="1">
        <v>35.0</v>
      </c>
      <c r="P730" s="1">
        <v>15.0</v>
      </c>
      <c r="Q730" s="1">
        <v>15.0</v>
      </c>
      <c r="R730" s="1">
        <v>20.0</v>
      </c>
      <c r="S730" s="1">
        <v>20.0</v>
      </c>
      <c r="T730" s="1" t="s">
        <v>52</v>
      </c>
      <c r="U730" s="1">
        <v>26.0</v>
      </c>
      <c r="V730" s="1">
        <v>20.0</v>
      </c>
      <c r="W730" s="1">
        <v>15.0</v>
      </c>
      <c r="X730" s="1">
        <v>6.0</v>
      </c>
      <c r="Y730" s="1">
        <v>6.0</v>
      </c>
      <c r="Z730" s="1" t="s">
        <v>53</v>
      </c>
      <c r="AA730" s="1">
        <v>41.0</v>
      </c>
      <c r="AB730" s="1">
        <v>20.0</v>
      </c>
      <c r="AC730" s="1">
        <v>20.0</v>
      </c>
      <c r="AD730" s="1">
        <v>21.0</v>
      </c>
      <c r="AE730" s="1">
        <v>21.0</v>
      </c>
      <c r="AF730" s="1" t="s">
        <v>54</v>
      </c>
      <c r="AG730" s="1">
        <v>18.0</v>
      </c>
      <c r="AH730" s="1">
        <v>10.0</v>
      </c>
      <c r="AI730" s="1">
        <v>10.0</v>
      </c>
      <c r="AJ730" s="1">
        <v>8.0</v>
      </c>
      <c r="AK730" s="1">
        <v>8.0</v>
      </c>
      <c r="AL730" s="1">
        <v>185.0</v>
      </c>
      <c r="AM730" s="1" t="s">
        <v>55</v>
      </c>
      <c r="AN730" s="1">
        <v>15.0</v>
      </c>
      <c r="AO730" s="1">
        <v>15.0</v>
      </c>
      <c r="AP730" s="1" t="s">
        <v>3658</v>
      </c>
      <c r="AQ730" s="3" t="str">
        <f>HYPERLINK("https://icf.clappia.com/app/GMB253374/submission/GWK45260111/ICF247370-GMB253374-4dd2h6e5ofbm00000000/SIG-20250701_1051cj0kf.jpeg", "SIG-20250701_1051cj0kf.jpeg")</f>
        <v>SIG-20250701_1051cj0kf.jpeg</v>
      </c>
      <c r="AR730" s="1" t="s">
        <v>3659</v>
      </c>
      <c r="AS730" s="3" t="str">
        <f>HYPERLINK("https://icf.clappia.com/app/GMB253374/submission/GWK45260111/ICF247370-GMB253374-12ip6jjaf8kj2000000/SIG-20250701_10521750lp.jpeg", "SIG-20250701_10521750lp.jpeg")</f>
        <v>SIG-20250701_10521750lp.jpeg</v>
      </c>
      <c r="AT730" s="1" t="s">
        <v>3660</v>
      </c>
      <c r="AU730" s="3" t="str">
        <f>HYPERLINK("https://icf.clappia.com/app/GMB253374/submission/GWK45260111/ICF247370-GMB253374-2c6a720imgkg00000000/SIG-20250701_11101p20b.jpeg", "SIG-20250701_11101p20b.jpeg")</f>
        <v>SIG-20250701_11101p20b.jpeg</v>
      </c>
      <c r="AV730" s="3" t="str">
        <f>HYPERLINK("https://www.google.com/maps/place/7.9399017%2C-11.4008583", "7.9399017,-11.4008583")</f>
        <v>7.9399017,-11.4008583</v>
      </c>
    </row>
    <row r="731" ht="15.75" customHeight="1">
      <c r="A731" s="1" t="s">
        <v>3661</v>
      </c>
      <c r="B731" s="1" t="s">
        <v>335</v>
      </c>
      <c r="C731" s="1" t="s">
        <v>3662</v>
      </c>
      <c r="D731" s="1" t="s">
        <v>3663</v>
      </c>
      <c r="E731" s="1" t="s">
        <v>3664</v>
      </c>
      <c r="F731" s="1" t="s">
        <v>64</v>
      </c>
      <c r="G731" s="1">
        <v>182.0</v>
      </c>
      <c r="H731" s="1" t="s">
        <v>50</v>
      </c>
      <c r="I731" s="1">
        <v>65.0</v>
      </c>
      <c r="J731" s="1">
        <v>41.0</v>
      </c>
      <c r="K731" s="1">
        <v>41.0</v>
      </c>
      <c r="L731" s="1">
        <v>24.0</v>
      </c>
      <c r="M731" s="1">
        <v>24.0</v>
      </c>
      <c r="N731" s="1" t="s">
        <v>51</v>
      </c>
      <c r="O731" s="1">
        <v>40.0</v>
      </c>
      <c r="P731" s="1">
        <v>18.0</v>
      </c>
      <c r="Q731" s="1">
        <v>17.0</v>
      </c>
      <c r="R731" s="1">
        <v>22.0</v>
      </c>
      <c r="S731" s="1">
        <v>22.0</v>
      </c>
      <c r="T731" s="1" t="s">
        <v>52</v>
      </c>
      <c r="U731" s="1">
        <v>30.0</v>
      </c>
      <c r="V731" s="1">
        <v>21.0</v>
      </c>
      <c r="W731" s="1">
        <v>19.0</v>
      </c>
      <c r="X731" s="1">
        <v>9.0</v>
      </c>
      <c r="Y731" s="1">
        <v>9.0</v>
      </c>
      <c r="Z731" s="1" t="s">
        <v>53</v>
      </c>
      <c r="AA731" s="1">
        <v>20.0</v>
      </c>
      <c r="AB731" s="1">
        <v>9.0</v>
      </c>
      <c r="AC731" s="1">
        <v>9.0</v>
      </c>
      <c r="AD731" s="1">
        <v>11.0</v>
      </c>
      <c r="AE731" s="1">
        <v>10.0</v>
      </c>
      <c r="AF731" s="1" t="s">
        <v>54</v>
      </c>
      <c r="AG731" s="1">
        <v>30.0</v>
      </c>
      <c r="AH731" s="1">
        <v>10.0</v>
      </c>
      <c r="AI731" s="1">
        <v>10.0</v>
      </c>
      <c r="AJ731" s="1">
        <v>20.0</v>
      </c>
      <c r="AK731" s="1">
        <v>18.0</v>
      </c>
      <c r="AL731" s="1">
        <v>179.0</v>
      </c>
      <c r="AM731" s="1">
        <v>3.0</v>
      </c>
      <c r="AN731" s="1" t="s">
        <v>55</v>
      </c>
      <c r="AO731" s="1" t="s">
        <v>55</v>
      </c>
      <c r="AP731" s="1" t="s">
        <v>2446</v>
      </c>
      <c r="AQ731" s="3" t="str">
        <f>HYPERLINK("https://icf.clappia.com/app/GMB253374/submission/OYU52127478/ICF247370-GMB253374-5k34ncmal6mc00000000/SIG-20250701_1104c3p4a.jpeg", "SIG-20250701_1104c3p4a.jpeg")</f>
        <v>SIG-20250701_1104c3p4a.jpeg</v>
      </c>
      <c r="AR731" s="1" t="s">
        <v>2447</v>
      </c>
      <c r="AS731" s="3" t="str">
        <f>HYPERLINK("https://icf.clappia.com/app/GMB253374/submission/OYU52127478/ICF247370-GMB253374-1kki24jn937280000000/SIG-20250701_0705l2k42.jpeg", "SIG-20250701_0705l2k42.jpeg")</f>
        <v>SIG-20250701_0705l2k42.jpeg</v>
      </c>
      <c r="AT731" s="1" t="s">
        <v>1219</v>
      </c>
      <c r="AU731" s="3" t="str">
        <f>HYPERLINK("https://icf.clappia.com/app/GMB253374/submission/OYU52127478/ICF247370-GMB253374-k31b65gb6nl20000000/SIG-20250701_110114fgdg.jpeg", "SIG-20250701_110114fgdg.jpeg")</f>
        <v>SIG-20250701_110114fgdg.jpeg</v>
      </c>
      <c r="AV731" s="3" t="str">
        <f>HYPERLINK("https://www.google.com/maps/place/8.0476499%2C-11.5793433", "8.0476499,-11.5793433")</f>
        <v>8.0476499,-11.5793433</v>
      </c>
    </row>
    <row r="732" ht="15.75" customHeight="1">
      <c r="A732" s="1" t="s">
        <v>3665</v>
      </c>
      <c r="B732" s="1" t="s">
        <v>60</v>
      </c>
      <c r="C732" s="1" t="s">
        <v>3666</v>
      </c>
      <c r="D732" s="1" t="s">
        <v>3662</v>
      </c>
      <c r="E732" s="1" t="s">
        <v>3667</v>
      </c>
      <c r="F732" s="1" t="s">
        <v>64</v>
      </c>
      <c r="G732" s="1">
        <v>200.0</v>
      </c>
      <c r="H732" s="1" t="s">
        <v>50</v>
      </c>
      <c r="I732" s="1">
        <v>68.0</v>
      </c>
      <c r="J732" s="1">
        <v>31.0</v>
      </c>
      <c r="K732" s="1">
        <v>20.0</v>
      </c>
      <c r="L732" s="1">
        <v>37.0</v>
      </c>
      <c r="M732" s="1">
        <v>22.0</v>
      </c>
      <c r="N732" s="1" t="s">
        <v>51</v>
      </c>
      <c r="O732" s="1">
        <v>45.0</v>
      </c>
      <c r="P732" s="1">
        <v>17.0</v>
      </c>
      <c r="Q732" s="1">
        <v>10.0</v>
      </c>
      <c r="R732" s="1">
        <v>28.0</v>
      </c>
      <c r="S732" s="1">
        <v>20.0</v>
      </c>
      <c r="T732" s="1" t="s">
        <v>52</v>
      </c>
      <c r="U732" s="1">
        <v>36.0</v>
      </c>
      <c r="V732" s="1">
        <v>20.0</v>
      </c>
      <c r="W732" s="1">
        <v>10.0</v>
      </c>
      <c r="X732" s="1">
        <v>14.0</v>
      </c>
      <c r="Y732" s="1">
        <v>5.0</v>
      </c>
      <c r="Z732" s="1" t="s">
        <v>53</v>
      </c>
      <c r="AA732" s="1">
        <v>30.0</v>
      </c>
      <c r="AB732" s="1">
        <v>12.0</v>
      </c>
      <c r="AC732" s="1">
        <v>8.0</v>
      </c>
      <c r="AD732" s="1">
        <v>18.0</v>
      </c>
      <c r="AE732" s="1">
        <v>10.0</v>
      </c>
      <c r="AF732" s="1" t="s">
        <v>54</v>
      </c>
      <c r="AG732" s="1">
        <v>21.0</v>
      </c>
      <c r="AH732" s="1">
        <v>10.0</v>
      </c>
      <c r="AI732" s="1">
        <v>5.0</v>
      </c>
      <c r="AJ732" s="1">
        <v>11.0</v>
      </c>
      <c r="AK732" s="1">
        <v>6.0</v>
      </c>
      <c r="AL732" s="1">
        <v>116.0</v>
      </c>
      <c r="AM732" s="1" t="s">
        <v>55</v>
      </c>
      <c r="AN732" s="1">
        <v>84.0</v>
      </c>
      <c r="AO732" s="1">
        <v>84.0</v>
      </c>
      <c r="AP732" s="1" t="s">
        <v>3668</v>
      </c>
      <c r="AQ732" s="3" t="str">
        <f>HYPERLINK("https://icf.clappia.com/app/GMB253374/submission/OIF19242302/ICF247370-GMB253374-1m5ga47o32f680000000/SIG-20250701_1102d3k3d.jpeg", "SIG-20250701_1102d3k3d.jpeg")</f>
        <v>SIG-20250701_1102d3k3d.jpeg</v>
      </c>
      <c r="AR732" s="1" t="s">
        <v>3669</v>
      </c>
      <c r="AS732" s="3" t="str">
        <f>HYPERLINK("https://icf.clappia.com/app/GMB253374/submission/OIF19242302/ICF247370-GMB253374-12d57k0cjl2jo0000000/SIG-20250701_110215155j.jpeg", "SIG-20250701_110215155j.jpeg")</f>
        <v>SIG-20250701_110215155j.jpeg</v>
      </c>
      <c r="AT732" s="1" t="s">
        <v>3670</v>
      </c>
      <c r="AU732" s="3" t="str">
        <f>HYPERLINK("https://icf.clappia.com/app/GMB253374/submission/OIF19242302/ICF247370-GMB253374-631o0klip9i200000000/SIG-20250701_1104a4cho.jpeg", "SIG-20250701_1104a4cho.jpeg")</f>
        <v>SIG-20250701_1104a4cho.jpeg</v>
      </c>
      <c r="AV732" s="3" t="str">
        <f>HYPERLINK("https://www.google.com/maps/place/8.0647433%2C-11.5871483", "8.0647433,-11.5871483")</f>
        <v>8.0647433,-11.5871483</v>
      </c>
    </row>
    <row r="733" ht="15.75" customHeight="1">
      <c r="A733" s="1" t="s">
        <v>3671</v>
      </c>
      <c r="B733" s="1" t="s">
        <v>2054</v>
      </c>
      <c r="C733" s="1" t="s">
        <v>3672</v>
      </c>
      <c r="D733" s="1" t="s">
        <v>3672</v>
      </c>
      <c r="E733" s="1" t="s">
        <v>3673</v>
      </c>
      <c r="F733" s="1" t="s">
        <v>64</v>
      </c>
      <c r="G733" s="1">
        <v>200.0</v>
      </c>
      <c r="H733" s="1" t="s">
        <v>50</v>
      </c>
      <c r="I733" s="1">
        <v>80.0</v>
      </c>
      <c r="J733" s="1">
        <v>35.0</v>
      </c>
      <c r="K733" s="1">
        <v>35.0</v>
      </c>
      <c r="L733" s="1">
        <v>45.0</v>
      </c>
      <c r="M733" s="1">
        <v>40.0</v>
      </c>
      <c r="N733" s="1" t="s">
        <v>51</v>
      </c>
      <c r="O733" s="1">
        <v>50.0</v>
      </c>
      <c r="P733" s="1">
        <v>15.0</v>
      </c>
      <c r="Q733" s="1">
        <v>15.0</v>
      </c>
      <c r="R733" s="1">
        <v>35.0</v>
      </c>
      <c r="S733" s="1">
        <v>12.0</v>
      </c>
      <c r="T733" s="1" t="s">
        <v>52</v>
      </c>
      <c r="U733" s="1">
        <v>13.0</v>
      </c>
      <c r="V733" s="1">
        <v>8.0</v>
      </c>
      <c r="W733" s="1">
        <v>6.0</v>
      </c>
      <c r="X733" s="1">
        <v>5.0</v>
      </c>
      <c r="Y733" s="1">
        <v>4.0</v>
      </c>
      <c r="Z733" s="1" t="s">
        <v>53</v>
      </c>
      <c r="AA733" s="1">
        <v>30.0</v>
      </c>
      <c r="AB733" s="1">
        <v>13.0</v>
      </c>
      <c r="AC733" s="1">
        <v>11.0</v>
      </c>
      <c r="AD733" s="1">
        <v>17.0</v>
      </c>
      <c r="AE733" s="1">
        <v>17.0</v>
      </c>
      <c r="AF733" s="1" t="s">
        <v>54</v>
      </c>
      <c r="AG733" s="1">
        <v>31.0</v>
      </c>
      <c r="AH733" s="1">
        <v>17.0</v>
      </c>
      <c r="AI733" s="1">
        <v>17.0</v>
      </c>
      <c r="AJ733" s="1">
        <v>14.0</v>
      </c>
      <c r="AK733" s="1">
        <v>14.0</v>
      </c>
      <c r="AL733" s="1">
        <v>171.0</v>
      </c>
      <c r="AM733" s="1" t="s">
        <v>55</v>
      </c>
      <c r="AN733" s="1">
        <v>29.0</v>
      </c>
      <c r="AO733" s="1">
        <v>29.0</v>
      </c>
      <c r="AP733" s="1" t="s">
        <v>3674</v>
      </c>
      <c r="AQ733" s="3" t="str">
        <f>HYPERLINK("https://icf.clappia.com/app/GMB253374/submission/STS60504224/ICF247370-GMB253374-54nm5ic43n2600000000/SIG-20250630_163616298k.jpeg", "SIG-20250630_163616298k.jpeg")</f>
        <v>SIG-20250630_163616298k.jpeg</v>
      </c>
      <c r="AR733" s="1" t="s">
        <v>3675</v>
      </c>
      <c r="AS733" s="3" t="str">
        <f>HYPERLINK("https://icf.clappia.com/app/GMB253374/submission/STS60504224/ICF247370-GMB253374-3mc152cgn9ec00000000/SIG-20250630_153511ooj.jpeg", "SIG-20250630_153511ooj.jpeg")</f>
        <v>SIG-20250630_153511ooj.jpeg</v>
      </c>
      <c r="AT733" s="1" t="s">
        <v>3676</v>
      </c>
      <c r="AU733" s="3" t="str">
        <f>HYPERLINK("https://icf.clappia.com/app/GMB253374/submission/STS60504224/ICF247370-GMB253374-e1bfk68m1na80000000/SIG-20250630_15455fme9.jpeg", "SIG-20250630_15455fme9.jpeg")</f>
        <v>SIG-20250630_15455fme9.jpeg</v>
      </c>
      <c r="AV733" s="3" t="str">
        <f>HYPERLINK("https://www.google.com/maps/place/8.20135%2C-11.4633", "8.20135,-11.4633")</f>
        <v>8.20135,-11.4633</v>
      </c>
    </row>
    <row r="734" ht="15.75" customHeight="1">
      <c r="A734" s="1" t="s">
        <v>3677</v>
      </c>
      <c r="B734" s="1" t="s">
        <v>189</v>
      </c>
      <c r="C734" s="1" t="s">
        <v>3666</v>
      </c>
      <c r="D734" s="1" t="s">
        <v>3666</v>
      </c>
      <c r="E734" s="1" t="s">
        <v>3678</v>
      </c>
      <c r="F734" s="1" t="s">
        <v>64</v>
      </c>
      <c r="G734" s="1">
        <v>250.0</v>
      </c>
      <c r="H734" s="1" t="s">
        <v>50</v>
      </c>
      <c r="I734" s="1">
        <v>66.0</v>
      </c>
      <c r="J734" s="1">
        <v>30.0</v>
      </c>
      <c r="K734" s="1">
        <v>14.0</v>
      </c>
      <c r="L734" s="1">
        <v>36.0</v>
      </c>
      <c r="M734" s="1">
        <v>21.0</v>
      </c>
      <c r="N734" s="1" t="s">
        <v>51</v>
      </c>
      <c r="O734" s="1">
        <v>59.0</v>
      </c>
      <c r="P734" s="1">
        <v>30.0</v>
      </c>
      <c r="Q734" s="1">
        <v>18.0</v>
      </c>
      <c r="R734" s="1">
        <v>29.0</v>
      </c>
      <c r="S734" s="1">
        <v>23.0</v>
      </c>
      <c r="T734" s="1" t="s">
        <v>52</v>
      </c>
      <c r="U734" s="1">
        <v>64.0</v>
      </c>
      <c r="V734" s="1">
        <v>24.0</v>
      </c>
      <c r="W734" s="1">
        <v>19.0</v>
      </c>
      <c r="X734" s="1">
        <v>40.0</v>
      </c>
      <c r="Y734" s="1">
        <v>32.0</v>
      </c>
      <c r="Z734" s="1" t="s">
        <v>53</v>
      </c>
      <c r="AA734" s="1">
        <v>70.0</v>
      </c>
      <c r="AB734" s="1">
        <v>30.0</v>
      </c>
      <c r="AC734" s="1">
        <v>25.0</v>
      </c>
      <c r="AD734" s="1">
        <v>40.0</v>
      </c>
      <c r="AE734" s="1">
        <v>31.0</v>
      </c>
      <c r="AF734" s="1" t="s">
        <v>54</v>
      </c>
      <c r="AG734" s="1">
        <v>58.0</v>
      </c>
      <c r="AH734" s="1">
        <v>25.0</v>
      </c>
      <c r="AI734" s="1">
        <v>23.0</v>
      </c>
      <c r="AJ734" s="1">
        <v>33.0</v>
      </c>
      <c r="AK734" s="1">
        <v>27.0</v>
      </c>
      <c r="AL734" s="1">
        <v>233.0</v>
      </c>
      <c r="AM734" s="1" t="s">
        <v>55</v>
      </c>
      <c r="AN734" s="1">
        <v>17.0</v>
      </c>
      <c r="AO734" s="1">
        <v>17.0</v>
      </c>
      <c r="AP734" s="1" t="s">
        <v>702</v>
      </c>
      <c r="AQ734" s="3" t="str">
        <f>HYPERLINK("https://icf.clappia.com/app/GMB253374/submission/FUK38145409/ICF247370-GMB253374-6b81n3iaa8ic00000000/SIG-20250701_1102je31o.jpeg", "SIG-20250701_1102je31o.jpeg")</f>
        <v>SIG-20250701_1102je31o.jpeg</v>
      </c>
      <c r="AR734" s="1" t="s">
        <v>703</v>
      </c>
      <c r="AS734" s="3" t="str">
        <f>HYPERLINK("https://icf.clappia.com/app/GMB253374/submission/FUK38145409/ICF247370-GMB253374-27aop1p65lk3a000000/SIG-20250701_1103a1nij.jpeg", "SIG-20250701_1103a1nij.jpeg")</f>
        <v>SIG-20250701_1103a1nij.jpeg</v>
      </c>
      <c r="AT734" s="1" t="s">
        <v>704</v>
      </c>
      <c r="AU734" s="3" t="str">
        <f>HYPERLINK("https://icf.clappia.com/app/GMB253374/submission/FUK38145409/ICF247370-GMB253374-5d0d861bo56i00000000/SIG-20250701_1104ilnbl.jpeg", "SIG-20250701_1104ilnbl.jpeg")</f>
        <v>SIG-20250701_1104ilnbl.jpeg</v>
      </c>
      <c r="AV734" s="3" t="str">
        <f>HYPERLINK("https://www.google.com/maps/place/8.8927217%2C-12.039775", "8.8927217,-12.039775")</f>
        <v>8.8927217,-12.039775</v>
      </c>
    </row>
    <row r="735" ht="15.75" customHeight="1">
      <c r="A735" s="1" t="s">
        <v>3679</v>
      </c>
      <c r="B735" s="1" t="s">
        <v>161</v>
      </c>
      <c r="C735" s="1" t="s">
        <v>3680</v>
      </c>
      <c r="D735" s="1" t="s">
        <v>3680</v>
      </c>
      <c r="E735" s="1" t="s">
        <v>3681</v>
      </c>
      <c r="F735" s="1" t="s">
        <v>64</v>
      </c>
      <c r="G735" s="1">
        <v>100.0</v>
      </c>
      <c r="H735" s="1" t="s">
        <v>50</v>
      </c>
      <c r="I735" s="1">
        <v>24.0</v>
      </c>
      <c r="J735" s="1">
        <v>12.0</v>
      </c>
      <c r="K735" s="1">
        <v>4.0</v>
      </c>
      <c r="L735" s="1">
        <v>12.0</v>
      </c>
      <c r="M735" s="1">
        <v>8.0</v>
      </c>
      <c r="N735" s="1" t="s">
        <v>51</v>
      </c>
      <c r="O735" s="1">
        <v>28.0</v>
      </c>
      <c r="P735" s="1">
        <v>13.0</v>
      </c>
      <c r="Q735" s="1">
        <v>11.0</v>
      </c>
      <c r="R735" s="1">
        <v>15.0</v>
      </c>
      <c r="S735" s="1">
        <v>8.0</v>
      </c>
      <c r="T735" s="1" t="s">
        <v>52</v>
      </c>
      <c r="U735" s="1">
        <v>53.0</v>
      </c>
      <c r="V735" s="1">
        <v>20.0</v>
      </c>
      <c r="W735" s="1">
        <v>10.0</v>
      </c>
      <c r="X735" s="1">
        <v>33.0</v>
      </c>
      <c r="Y735" s="1">
        <v>10.0</v>
      </c>
      <c r="Z735" s="1" t="s">
        <v>53</v>
      </c>
      <c r="AA735" s="1">
        <v>28.0</v>
      </c>
      <c r="AB735" s="1">
        <v>8.0</v>
      </c>
      <c r="AC735" s="1">
        <v>4.0</v>
      </c>
      <c r="AD735" s="1">
        <v>20.0</v>
      </c>
      <c r="AE735" s="1">
        <v>10.0</v>
      </c>
      <c r="AF735" s="1" t="s">
        <v>54</v>
      </c>
      <c r="AG735" s="1">
        <v>37.0</v>
      </c>
      <c r="AH735" s="1">
        <v>15.0</v>
      </c>
      <c r="AI735" s="1">
        <v>10.0</v>
      </c>
      <c r="AJ735" s="1">
        <v>22.0</v>
      </c>
      <c r="AK735" s="1">
        <v>11.0</v>
      </c>
      <c r="AL735" s="1">
        <v>86.0</v>
      </c>
      <c r="AM735" s="1" t="s">
        <v>55</v>
      </c>
      <c r="AN735" s="1">
        <v>14.0</v>
      </c>
      <c r="AO735" s="1">
        <v>14.0</v>
      </c>
      <c r="AP735" s="1" t="s">
        <v>1181</v>
      </c>
      <c r="AQ735" s="3" t="str">
        <f>HYPERLINK("https://icf.clappia.com/app/GMB253374/submission/FHD14816722/ICF247370-GMB253374-2c1jd84ebk0400000000/SIG-20250701_11028dln3.jpeg", "SIG-20250701_11028dln3.jpeg")</f>
        <v>SIG-20250701_11028dln3.jpeg</v>
      </c>
      <c r="AR735" s="1" t="s">
        <v>1182</v>
      </c>
      <c r="AS735" s="3" t="str">
        <f>HYPERLINK("https://icf.clappia.com/app/GMB253374/submission/FHD14816722/ICF247370-GMB253374-82pnjoadc4n20000000/SIG-20250701_11037637e.jpeg", "SIG-20250701_11037637e.jpeg")</f>
        <v>SIG-20250701_11037637e.jpeg</v>
      </c>
      <c r="AT735" s="1" t="s">
        <v>1183</v>
      </c>
      <c r="AU735" s="3" t="str">
        <f>HYPERLINK("https://icf.clappia.com/app/GMB253374/submission/FHD14816722/ICF247370-GMB253374-653523fh6ji800000000/SIG-20250701_1104892ln.jpeg", "SIG-20250701_1104892ln.jpeg")</f>
        <v>SIG-20250701_1104892ln.jpeg</v>
      </c>
      <c r="AV735" s="3" t="str">
        <f>HYPERLINK("https://www.google.com/maps/place/7.9312531%2C-11.7176448", "7.9312531,-11.7176448")</f>
        <v>7.9312531,-11.7176448</v>
      </c>
    </row>
    <row r="736" ht="15.75" customHeight="1">
      <c r="A736" s="1" t="s">
        <v>3682</v>
      </c>
      <c r="B736" s="1" t="s">
        <v>215</v>
      </c>
      <c r="C736" s="1" t="s">
        <v>3683</v>
      </c>
      <c r="D736" s="1" t="s">
        <v>3684</v>
      </c>
      <c r="E736" s="1" t="s">
        <v>3685</v>
      </c>
      <c r="F736" s="1" t="s">
        <v>64</v>
      </c>
      <c r="G736" s="1">
        <v>188.0</v>
      </c>
      <c r="H736" s="1" t="s">
        <v>50</v>
      </c>
      <c r="I736" s="1">
        <v>56.0</v>
      </c>
      <c r="J736" s="1">
        <v>26.0</v>
      </c>
      <c r="K736" s="1">
        <v>26.0</v>
      </c>
      <c r="L736" s="1">
        <v>30.0</v>
      </c>
      <c r="M736" s="1">
        <v>28.0</v>
      </c>
      <c r="N736" s="1" t="s">
        <v>51</v>
      </c>
      <c r="O736" s="1">
        <v>50.0</v>
      </c>
      <c r="P736" s="1">
        <v>20.0</v>
      </c>
      <c r="Q736" s="1">
        <v>17.0</v>
      </c>
      <c r="R736" s="1">
        <v>30.0</v>
      </c>
      <c r="S736" s="1">
        <v>28.0</v>
      </c>
      <c r="T736" s="1" t="s">
        <v>52</v>
      </c>
      <c r="U736" s="1">
        <v>50.0</v>
      </c>
      <c r="V736" s="1">
        <v>26.0</v>
      </c>
      <c r="W736" s="1">
        <v>23.0</v>
      </c>
      <c r="X736" s="1">
        <v>24.0</v>
      </c>
      <c r="Y736" s="1">
        <v>20.0</v>
      </c>
      <c r="Z736" s="1" t="s">
        <v>53</v>
      </c>
      <c r="AA736" s="1">
        <v>26.0</v>
      </c>
      <c r="AB736" s="1">
        <v>10.0</v>
      </c>
      <c r="AC736" s="1">
        <v>10.0</v>
      </c>
      <c r="AD736" s="1">
        <v>16.0</v>
      </c>
      <c r="AE736" s="1">
        <v>14.0</v>
      </c>
      <c r="AF736" s="1" t="s">
        <v>54</v>
      </c>
      <c r="AG736" s="1">
        <v>25.0</v>
      </c>
      <c r="AH736" s="1">
        <v>11.0</v>
      </c>
      <c r="AI736" s="1">
        <v>10.0</v>
      </c>
      <c r="AJ736" s="1">
        <v>14.0</v>
      </c>
      <c r="AK736" s="1">
        <v>12.0</v>
      </c>
      <c r="AL736" s="1">
        <v>188.0</v>
      </c>
      <c r="AM736" s="1" t="s">
        <v>55</v>
      </c>
      <c r="AN736" s="1" t="s">
        <v>55</v>
      </c>
      <c r="AO736" s="1" t="s">
        <v>55</v>
      </c>
      <c r="AP736" s="1" t="s">
        <v>3686</v>
      </c>
      <c r="AQ736" s="3" t="str">
        <f>HYPERLINK("https://icf.clappia.com/app/GMB253374/submission/MKC08191328/ICF247370-GMB253374-36lbmjn2j98c00000000/SIG-20250701_1052dg147.jpeg", "SIG-20250701_1052dg147.jpeg")</f>
        <v>SIG-20250701_1052dg147.jpeg</v>
      </c>
      <c r="AR736" s="1" t="s">
        <v>3687</v>
      </c>
      <c r="AS736" s="3" t="str">
        <f>HYPERLINK("https://icf.clappia.com/app/GMB253374/submission/MKC08191328/ICF247370-GMB253374-2c6ob9neiff600000000/SIG-20250701_1053832kf.jpeg", "SIG-20250701_1053832kf.jpeg")</f>
        <v>SIG-20250701_1053832kf.jpeg</v>
      </c>
      <c r="AT736" s="1" t="s">
        <v>3688</v>
      </c>
      <c r="AU736" s="3" t="str">
        <f>HYPERLINK("https://icf.clappia.com/app/GMB253374/submission/MKC08191328/ICF247370-GMB253374-20bggdjb18m5g0000000/SIG-20250701_10542kaei.jpeg", "SIG-20250701_10542kaei.jpeg")</f>
        <v>SIG-20250701_10542kaei.jpeg</v>
      </c>
      <c r="AV736" s="3" t="str">
        <f>HYPERLINK("https://www.google.com/maps/place/8.6885217%2C-12.1405267", "8.6885217,-12.1405267")</f>
        <v>8.6885217,-12.1405267</v>
      </c>
    </row>
    <row r="737" ht="15.75" customHeight="1">
      <c r="A737" s="1" t="s">
        <v>3689</v>
      </c>
      <c r="B737" s="1" t="s">
        <v>189</v>
      </c>
      <c r="C737" s="1" t="s">
        <v>3690</v>
      </c>
      <c r="D737" s="1" t="s">
        <v>3690</v>
      </c>
      <c r="E737" s="1" t="s">
        <v>3691</v>
      </c>
      <c r="F737" s="1" t="s">
        <v>64</v>
      </c>
      <c r="G737" s="1">
        <v>350.0</v>
      </c>
      <c r="H737" s="1" t="s">
        <v>50</v>
      </c>
      <c r="I737" s="1">
        <v>20.0</v>
      </c>
      <c r="J737" s="1">
        <v>8.0</v>
      </c>
      <c r="K737" s="1">
        <v>7.0</v>
      </c>
      <c r="L737" s="1">
        <v>12.0</v>
      </c>
      <c r="M737" s="1">
        <v>10.0</v>
      </c>
      <c r="N737" s="1" t="s">
        <v>51</v>
      </c>
      <c r="O737" s="1">
        <v>15.0</v>
      </c>
      <c r="P737" s="1">
        <v>5.0</v>
      </c>
      <c r="Q737" s="1">
        <v>3.0</v>
      </c>
      <c r="R737" s="1">
        <v>10.0</v>
      </c>
      <c r="S737" s="1">
        <v>9.0</v>
      </c>
      <c r="T737" s="1" t="s">
        <v>52</v>
      </c>
      <c r="U737" s="1">
        <v>15.0</v>
      </c>
      <c r="V737" s="1">
        <v>9.0</v>
      </c>
      <c r="W737" s="1">
        <v>7.0</v>
      </c>
      <c r="X737" s="1">
        <v>6.0</v>
      </c>
      <c r="Y737" s="1">
        <v>6.0</v>
      </c>
      <c r="Z737" s="1" t="s">
        <v>53</v>
      </c>
      <c r="AA737" s="1">
        <v>24.0</v>
      </c>
      <c r="AB737" s="1">
        <v>8.0</v>
      </c>
      <c r="AC737" s="1">
        <v>8.0</v>
      </c>
      <c r="AD737" s="1">
        <v>16.0</v>
      </c>
      <c r="AE737" s="1">
        <v>15.0</v>
      </c>
      <c r="AF737" s="1" t="s">
        <v>54</v>
      </c>
      <c r="AG737" s="1">
        <v>48.0</v>
      </c>
      <c r="AH737" s="1">
        <v>20.0</v>
      </c>
      <c r="AI737" s="1">
        <v>19.0</v>
      </c>
      <c r="AJ737" s="1">
        <v>28.0</v>
      </c>
      <c r="AK737" s="1">
        <v>25.0</v>
      </c>
      <c r="AL737" s="1">
        <v>109.0</v>
      </c>
      <c r="AM737" s="1" t="s">
        <v>55</v>
      </c>
      <c r="AN737" s="1">
        <v>241.0</v>
      </c>
      <c r="AO737" s="1">
        <v>241.0</v>
      </c>
      <c r="AP737" s="1" t="s">
        <v>2276</v>
      </c>
      <c r="AQ737" s="3" t="str">
        <f>HYPERLINK("https://icf.clappia.com/app/GMB253374/submission/HXJ43335621/ICF247370-GMB253374-2bnk2dlphj1200000000/SIG-20250701_1051h822c.jpeg", "SIG-20250701_1051h822c.jpeg")</f>
        <v>SIG-20250701_1051h822c.jpeg</v>
      </c>
      <c r="AR737" s="1" t="s">
        <v>3692</v>
      </c>
      <c r="AS737" s="3" t="str">
        <f>HYPERLINK("https://icf.clappia.com/app/GMB253374/submission/HXJ43335621/ICF247370-GMB253374-64f8877jae6g0000000/SIG-20250701_1052ecbh4.jpeg", "SIG-20250701_1052ecbh4.jpeg")</f>
        <v>SIG-20250701_1052ecbh4.jpeg</v>
      </c>
      <c r="AT737" s="1" t="s">
        <v>3693</v>
      </c>
      <c r="AU737" s="3" t="str">
        <f>HYPERLINK("https://icf.clappia.com/app/GMB253374/submission/HXJ43335621/ICF247370-GMB253374-4m4cogn1h9ma00000000/SIG-20250701_1053a794n.jpeg", "SIG-20250701_1053a794n.jpeg")</f>
        <v>SIG-20250701_1053a794n.jpeg</v>
      </c>
      <c r="AV737" s="3" t="str">
        <f>HYPERLINK("https://www.google.com/maps/place/8.8833131%2C-12.0396344", "8.8833131,-12.0396344")</f>
        <v>8.8833131,-12.0396344</v>
      </c>
    </row>
    <row r="738" ht="15.75" customHeight="1">
      <c r="A738" s="1" t="s">
        <v>3694</v>
      </c>
      <c r="B738" s="1" t="s">
        <v>167</v>
      </c>
      <c r="C738" s="1" t="s">
        <v>3695</v>
      </c>
      <c r="D738" s="1" t="s">
        <v>3695</v>
      </c>
      <c r="E738" s="1" t="s">
        <v>3696</v>
      </c>
      <c r="F738" s="1" t="s">
        <v>64</v>
      </c>
      <c r="G738" s="1">
        <v>160.0</v>
      </c>
      <c r="H738" s="1" t="s">
        <v>50</v>
      </c>
      <c r="I738" s="1">
        <v>27.0</v>
      </c>
      <c r="J738" s="1">
        <v>12.0</v>
      </c>
      <c r="K738" s="1">
        <v>4.0</v>
      </c>
      <c r="L738" s="1">
        <v>15.0</v>
      </c>
      <c r="M738" s="1">
        <v>6.0</v>
      </c>
      <c r="N738" s="1" t="s">
        <v>51</v>
      </c>
      <c r="O738" s="1">
        <v>25.0</v>
      </c>
      <c r="P738" s="1">
        <v>12.0</v>
      </c>
      <c r="Q738" s="1">
        <v>5.0</v>
      </c>
      <c r="R738" s="1">
        <v>13.0</v>
      </c>
      <c r="S738" s="1">
        <v>4.0</v>
      </c>
      <c r="T738" s="1" t="s">
        <v>52</v>
      </c>
      <c r="U738" s="1">
        <v>28.0</v>
      </c>
      <c r="V738" s="1">
        <v>13.0</v>
      </c>
      <c r="W738" s="1">
        <v>6.0</v>
      </c>
      <c r="X738" s="1">
        <v>15.0</v>
      </c>
      <c r="Y738" s="1">
        <v>4.0</v>
      </c>
      <c r="Z738" s="1" t="s">
        <v>53</v>
      </c>
      <c r="AA738" s="1">
        <v>25.0</v>
      </c>
      <c r="AB738" s="1">
        <v>11.0</v>
      </c>
      <c r="AC738" s="1">
        <v>4.0</v>
      </c>
      <c r="AD738" s="1">
        <v>14.0</v>
      </c>
      <c r="AE738" s="1">
        <v>5.0</v>
      </c>
      <c r="AF738" s="1" t="s">
        <v>54</v>
      </c>
      <c r="AG738" s="1">
        <v>26.0</v>
      </c>
      <c r="AH738" s="1">
        <v>12.0</v>
      </c>
      <c r="AI738" s="1">
        <v>5.0</v>
      </c>
      <c r="AJ738" s="1">
        <v>14.0</v>
      </c>
      <c r="AK738" s="1">
        <v>7.0</v>
      </c>
      <c r="AL738" s="1">
        <v>50.0</v>
      </c>
      <c r="AM738" s="1" t="s">
        <v>55</v>
      </c>
      <c r="AN738" s="1">
        <v>110.0</v>
      </c>
      <c r="AO738" s="1">
        <v>110.0</v>
      </c>
      <c r="AP738" s="1" t="s">
        <v>3697</v>
      </c>
      <c r="AQ738" s="3" t="str">
        <f>HYPERLINK("https://icf.clappia.com/app/GMB253374/submission/JUT02683789/ICF247370-GMB253374-halk45lgnj7m0000000/SIG-20250701_1056n7748.jpeg", "SIG-20250701_1056n7748.jpeg")</f>
        <v>SIG-20250701_1056n7748.jpeg</v>
      </c>
      <c r="AR738" s="1" t="s">
        <v>938</v>
      </c>
      <c r="AS738" s="3" t="str">
        <f>HYPERLINK("https://icf.clappia.com/app/GMB253374/submission/JUT02683789/ICF247370-GMB253374-lo29fjl3l3i8000000/SIG-20250701_1057m615h.jpeg", "SIG-20250701_1057m615h.jpeg")</f>
        <v>SIG-20250701_1057m615h.jpeg</v>
      </c>
      <c r="AT738" s="1" t="s">
        <v>3698</v>
      </c>
      <c r="AU738" s="3" t="str">
        <f>HYPERLINK("https://icf.clappia.com/app/GMB253374/submission/JUT02683789/ICF247370-GMB253374-4pn1bi6pg20a0000000/SIG-20250701_1057n2p2g.jpeg", "SIG-20250701_1057n2p2g.jpeg")</f>
        <v>SIG-20250701_1057n2p2g.jpeg</v>
      </c>
      <c r="AV738" s="3" t="str">
        <f>HYPERLINK("https://www.google.com/maps/place/7.8653894%2C-11.7052885", "7.8653894,-11.7052885")</f>
        <v>7.8653894,-11.7052885</v>
      </c>
    </row>
    <row r="739" ht="15.75" customHeight="1">
      <c r="A739" s="1" t="s">
        <v>3699</v>
      </c>
      <c r="B739" s="1" t="s">
        <v>60</v>
      </c>
      <c r="C739" s="1" t="s">
        <v>3700</v>
      </c>
      <c r="D739" s="1" t="s">
        <v>3700</v>
      </c>
      <c r="E739" s="1" t="s">
        <v>3701</v>
      </c>
      <c r="F739" s="1" t="s">
        <v>49</v>
      </c>
      <c r="G739" s="1">
        <v>250.0</v>
      </c>
      <c r="H739" s="1" t="s">
        <v>50</v>
      </c>
      <c r="I739" s="1">
        <v>51.0</v>
      </c>
      <c r="J739" s="1">
        <v>20.0</v>
      </c>
      <c r="K739" s="1">
        <v>20.0</v>
      </c>
      <c r="L739" s="1">
        <v>31.0</v>
      </c>
      <c r="M739" s="1">
        <v>31.0</v>
      </c>
      <c r="N739" s="1" t="s">
        <v>51</v>
      </c>
      <c r="O739" s="1">
        <v>53.0</v>
      </c>
      <c r="P739" s="1">
        <v>20.0</v>
      </c>
      <c r="Q739" s="1">
        <v>20.0</v>
      </c>
      <c r="R739" s="1">
        <v>33.0</v>
      </c>
      <c r="S739" s="1">
        <v>33.0</v>
      </c>
      <c r="T739" s="1" t="s">
        <v>52</v>
      </c>
      <c r="U739" s="1">
        <v>37.0</v>
      </c>
      <c r="V739" s="1">
        <v>12.0</v>
      </c>
      <c r="W739" s="1">
        <v>12.0</v>
      </c>
      <c r="X739" s="1">
        <v>25.0</v>
      </c>
      <c r="Y739" s="1">
        <v>25.0</v>
      </c>
      <c r="Z739" s="1" t="s">
        <v>53</v>
      </c>
      <c r="AA739" s="1">
        <v>32.0</v>
      </c>
      <c r="AB739" s="1">
        <v>13.0</v>
      </c>
      <c r="AC739" s="1">
        <v>12.0</v>
      </c>
      <c r="AD739" s="1">
        <v>18.0</v>
      </c>
      <c r="AE739" s="1">
        <v>18.0</v>
      </c>
      <c r="AF739" s="1" t="s">
        <v>54</v>
      </c>
      <c r="AG739" s="1">
        <v>29.0</v>
      </c>
      <c r="AH739" s="1">
        <v>9.0</v>
      </c>
      <c r="AI739" s="1">
        <v>9.0</v>
      </c>
      <c r="AJ739" s="1">
        <v>20.0</v>
      </c>
      <c r="AK739" s="1">
        <v>20.0</v>
      </c>
      <c r="AL739" s="1">
        <v>200.0</v>
      </c>
      <c r="AM739" s="1" t="s">
        <v>55</v>
      </c>
      <c r="AN739" s="1">
        <v>50.0</v>
      </c>
      <c r="AO739" s="1">
        <v>50.0</v>
      </c>
      <c r="AP739" s="1" t="s">
        <v>3702</v>
      </c>
      <c r="AQ739" s="3" t="str">
        <f>HYPERLINK("https://icf.clappia.com/app/GMB253374/submission/QKT58739764/ICF247370-GMB253374-6abak97lf84c00000000/SIG-20250701_1051fdbfn.jpeg", "SIG-20250701_1051fdbfn.jpeg")</f>
        <v>SIG-20250701_1051fdbfn.jpeg</v>
      </c>
      <c r="AR739" s="1" t="s">
        <v>3703</v>
      </c>
      <c r="AS739" s="3" t="str">
        <f>HYPERLINK("https://icf.clappia.com/app/GMB253374/submission/QKT58739764/ICF247370-GMB253374-3566lggibo3e00000000/SIG-20250701_10527be83.jpeg", "SIG-20250701_10527be83.jpeg")</f>
        <v>SIG-20250701_10527be83.jpeg</v>
      </c>
      <c r="AT739" s="1" t="s">
        <v>3704</v>
      </c>
      <c r="AU739" s="3" t="str">
        <f>HYPERLINK("https://icf.clappia.com/app/GMB253374/submission/QKT58739764/ICF247370-GMB253374-3ab3ok5pml2400000000/SIG-20250701_105317npf1.jpeg", "SIG-20250701_105317npf1.jpeg")</f>
        <v>SIG-20250701_105317npf1.jpeg</v>
      </c>
      <c r="AV739" s="3" t="str">
        <f>HYPERLINK("https://www.google.com/maps/place/8.896335%2C-12.0255017", "8.896335,-12.0255017")</f>
        <v>8.896335,-12.0255017</v>
      </c>
    </row>
    <row r="740" ht="15.75" customHeight="1">
      <c r="A740" s="1" t="s">
        <v>3705</v>
      </c>
      <c r="B740" s="1" t="s">
        <v>189</v>
      </c>
      <c r="C740" s="1" t="s">
        <v>3706</v>
      </c>
      <c r="D740" s="1" t="s">
        <v>3706</v>
      </c>
      <c r="E740" s="1" t="s">
        <v>3707</v>
      </c>
      <c r="F740" s="1" t="s">
        <v>49</v>
      </c>
      <c r="G740" s="1">
        <v>150.0</v>
      </c>
      <c r="H740" s="1" t="s">
        <v>50</v>
      </c>
      <c r="I740" s="1">
        <v>35.0</v>
      </c>
      <c r="J740" s="1">
        <v>15.0</v>
      </c>
      <c r="K740" s="1">
        <v>15.0</v>
      </c>
      <c r="L740" s="1">
        <v>20.0</v>
      </c>
      <c r="M740" s="1">
        <v>16.0</v>
      </c>
      <c r="N740" s="1" t="s">
        <v>51</v>
      </c>
      <c r="O740" s="1">
        <v>33.0</v>
      </c>
      <c r="P740" s="1">
        <v>21.0</v>
      </c>
      <c r="Q740" s="1">
        <v>21.0</v>
      </c>
      <c r="R740" s="1">
        <v>12.0</v>
      </c>
      <c r="S740" s="1">
        <v>12.0</v>
      </c>
      <c r="T740" s="1" t="s">
        <v>52</v>
      </c>
      <c r="U740" s="1">
        <v>25.0</v>
      </c>
      <c r="V740" s="1">
        <v>10.0</v>
      </c>
      <c r="W740" s="1">
        <v>10.0</v>
      </c>
      <c r="X740" s="1">
        <v>15.0</v>
      </c>
      <c r="Y740" s="1">
        <v>15.0</v>
      </c>
      <c r="Z740" s="1" t="s">
        <v>53</v>
      </c>
      <c r="AA740" s="1">
        <v>26.0</v>
      </c>
      <c r="AB740" s="1">
        <v>14.0</v>
      </c>
      <c r="AC740" s="1">
        <v>14.0</v>
      </c>
      <c r="AD740" s="1">
        <v>12.0</v>
      </c>
      <c r="AE740" s="1">
        <v>12.0</v>
      </c>
      <c r="AF740" s="1" t="s">
        <v>54</v>
      </c>
      <c r="AG740" s="1">
        <v>31.0</v>
      </c>
      <c r="AH740" s="1">
        <v>15.0</v>
      </c>
      <c r="AI740" s="1">
        <v>15.0</v>
      </c>
      <c r="AJ740" s="1">
        <v>16.0</v>
      </c>
      <c r="AK740" s="1">
        <v>16.0</v>
      </c>
      <c r="AL740" s="1">
        <v>146.0</v>
      </c>
      <c r="AM740" s="1">
        <v>4.0</v>
      </c>
      <c r="AN740" s="1" t="s">
        <v>55</v>
      </c>
      <c r="AO740" s="1" t="s">
        <v>55</v>
      </c>
      <c r="AP740" s="1" t="s">
        <v>3708</v>
      </c>
      <c r="AQ740" s="3" t="str">
        <f>HYPERLINK("https://icf.clappia.com/app/GMB253374/submission/KSF41589875/ICF247370-GMB253374-3697k02f6ca000000000/SIG-20250701_105018ciof.jpeg", "SIG-20250701_105018ciof.jpeg")</f>
        <v>SIG-20250701_105018ciof.jpeg</v>
      </c>
      <c r="AR740" s="1" t="s">
        <v>3709</v>
      </c>
      <c r="AS740" s="3" t="str">
        <f>HYPERLINK("https://icf.clappia.com/app/GMB253374/submission/KSF41589875/ICF247370-GMB253374-5bbp1d0528jm00000000/SIG-20250701_1018ko408.jpeg", "SIG-20250701_1018ko408.jpeg")</f>
        <v>SIG-20250701_1018ko408.jpeg</v>
      </c>
      <c r="AT740" s="1" t="s">
        <v>3710</v>
      </c>
      <c r="AU740" s="3" t="str">
        <f>HYPERLINK("https://icf.clappia.com/app/GMB253374/submission/KSF41589875/ICF247370-GMB253374-2094dhecne0h60000000/SIG-20250701_1019aali5.jpeg", "SIG-20250701_1019aali5.jpeg")</f>
        <v>SIG-20250701_1019aali5.jpeg</v>
      </c>
      <c r="AV740" s="3" t="str">
        <f>HYPERLINK("https://www.google.com/maps/place/8.9034244%2C-12.0451096", "8.9034244,-12.0451096")</f>
        <v>8.9034244,-12.0451096</v>
      </c>
    </row>
    <row r="741" ht="15.75" customHeight="1">
      <c r="A741" s="1" t="s">
        <v>3711</v>
      </c>
      <c r="B741" s="1" t="s">
        <v>167</v>
      </c>
      <c r="C741" s="1" t="s">
        <v>3712</v>
      </c>
      <c r="D741" s="1" t="s">
        <v>3712</v>
      </c>
      <c r="E741" s="1" t="s">
        <v>3713</v>
      </c>
      <c r="F741" s="1" t="s">
        <v>49</v>
      </c>
      <c r="G741" s="1">
        <v>222.0</v>
      </c>
      <c r="H741" s="1" t="s">
        <v>50</v>
      </c>
      <c r="I741" s="1">
        <v>51.0</v>
      </c>
      <c r="J741" s="1">
        <v>16.0</v>
      </c>
      <c r="K741" s="1">
        <v>16.0</v>
      </c>
      <c r="L741" s="1">
        <v>35.0</v>
      </c>
      <c r="M741" s="1">
        <v>35.0</v>
      </c>
      <c r="N741" s="1" t="s">
        <v>51</v>
      </c>
      <c r="O741" s="1">
        <v>30.0</v>
      </c>
      <c r="P741" s="1">
        <v>13.0</v>
      </c>
      <c r="Q741" s="1">
        <v>13.0</v>
      </c>
      <c r="R741" s="1">
        <v>17.0</v>
      </c>
      <c r="S741" s="1">
        <v>17.0</v>
      </c>
      <c r="T741" s="1" t="s">
        <v>52</v>
      </c>
      <c r="U741" s="1">
        <v>27.0</v>
      </c>
      <c r="V741" s="1">
        <v>13.0</v>
      </c>
      <c r="W741" s="1">
        <v>13.0</v>
      </c>
      <c r="X741" s="1">
        <v>14.0</v>
      </c>
      <c r="Y741" s="1">
        <v>14.0</v>
      </c>
      <c r="Z741" s="1" t="s">
        <v>53</v>
      </c>
      <c r="AA741" s="1">
        <v>58.0</v>
      </c>
      <c r="AB741" s="1">
        <v>26.0</v>
      </c>
      <c r="AC741" s="1">
        <v>26.0</v>
      </c>
      <c r="AD741" s="1">
        <v>32.0</v>
      </c>
      <c r="AE741" s="1">
        <v>32.0</v>
      </c>
      <c r="AF741" s="1" t="s">
        <v>54</v>
      </c>
      <c r="AG741" s="1">
        <v>46.0</v>
      </c>
      <c r="AH741" s="1">
        <v>22.0</v>
      </c>
      <c r="AI741" s="1">
        <v>22.0</v>
      </c>
      <c r="AJ741" s="1">
        <v>24.0</v>
      </c>
      <c r="AK741" s="1">
        <v>24.0</v>
      </c>
      <c r="AL741" s="1">
        <v>212.0</v>
      </c>
      <c r="AM741" s="1">
        <v>10.0</v>
      </c>
      <c r="AN741" s="1" t="s">
        <v>55</v>
      </c>
      <c r="AO741" s="1" t="s">
        <v>55</v>
      </c>
      <c r="AP741" s="1" t="s">
        <v>3714</v>
      </c>
      <c r="AQ741" s="3" t="str">
        <f>HYPERLINK("https://icf.clappia.com/app/GMB253374/submission/GLA43017726/ICF247370-GMB253374-5dmmef60keko00000000/SIG-20250701_1048bm8ck.jpeg", "SIG-20250701_1048bm8ck.jpeg")</f>
        <v>SIG-20250701_1048bm8ck.jpeg</v>
      </c>
      <c r="AR741" s="1" t="s">
        <v>171</v>
      </c>
      <c r="AS741" s="3" t="str">
        <f>HYPERLINK("https://icf.clappia.com/app/GMB253374/submission/GLA43017726/ICF247370-GMB253374-22p5bc6onojjm0000000/SIG-20250701_1049d2n8d.jpeg", "SIG-20250701_1049d2n8d.jpeg")</f>
        <v>SIG-20250701_1049d2n8d.jpeg</v>
      </c>
      <c r="AT741" s="1" t="s">
        <v>172</v>
      </c>
      <c r="AU741" s="3" t="str">
        <f>HYPERLINK("https://icf.clappia.com/app/GMB253374/submission/GLA43017726/ICF247370-GMB253374-5d3agbndh6gi0000000/SIG-20250701_104915jo5l.jpeg", "SIG-20250701_104915jo5l.jpeg")</f>
        <v>SIG-20250701_104915jo5l.jpeg</v>
      </c>
      <c r="AV741" s="3" t="str">
        <f>HYPERLINK("https://www.google.com/maps/place/7.9328953%2C-11.7308506", "7.9328953,-11.7308506")</f>
        <v>7.9328953,-11.7308506</v>
      </c>
    </row>
    <row r="742" ht="15.75" customHeight="1">
      <c r="A742" s="1" t="s">
        <v>3715</v>
      </c>
      <c r="B742" s="1" t="s">
        <v>161</v>
      </c>
      <c r="C742" s="1" t="s">
        <v>3716</v>
      </c>
      <c r="D742" s="1" t="s">
        <v>3716</v>
      </c>
      <c r="E742" s="1" t="s">
        <v>3717</v>
      </c>
      <c r="F742" s="1" t="s">
        <v>64</v>
      </c>
      <c r="G742" s="1">
        <v>56.0</v>
      </c>
      <c r="H742" s="1" t="s">
        <v>50</v>
      </c>
      <c r="I742" s="1">
        <v>28.0</v>
      </c>
      <c r="J742" s="1">
        <v>12.0</v>
      </c>
      <c r="K742" s="1">
        <v>5.0</v>
      </c>
      <c r="L742" s="1">
        <v>16.0</v>
      </c>
      <c r="M742" s="1">
        <v>5.0</v>
      </c>
      <c r="N742" s="1" t="s">
        <v>51</v>
      </c>
      <c r="O742" s="1">
        <v>13.0</v>
      </c>
      <c r="P742" s="1">
        <v>5.0</v>
      </c>
      <c r="Q742" s="1">
        <v>5.0</v>
      </c>
      <c r="R742" s="1">
        <v>8.0</v>
      </c>
      <c r="S742" s="1">
        <v>5.0</v>
      </c>
      <c r="T742" s="1" t="s">
        <v>52</v>
      </c>
      <c r="U742" s="1">
        <v>11.0</v>
      </c>
      <c r="V742" s="1">
        <v>6.0</v>
      </c>
      <c r="W742" s="1">
        <v>5.0</v>
      </c>
      <c r="X742" s="1">
        <v>4.0</v>
      </c>
      <c r="Y742" s="1">
        <v>4.0</v>
      </c>
      <c r="Z742" s="1" t="s">
        <v>53</v>
      </c>
      <c r="AA742" s="1">
        <v>12.0</v>
      </c>
      <c r="AB742" s="1">
        <v>11.0</v>
      </c>
      <c r="AC742" s="1">
        <v>6.0</v>
      </c>
      <c r="AD742" s="1">
        <v>1.0</v>
      </c>
      <c r="AE742" s="1">
        <v>1.0</v>
      </c>
      <c r="AF742" s="1" t="s">
        <v>54</v>
      </c>
      <c r="AG742" s="1">
        <v>33.0</v>
      </c>
      <c r="AH742" s="1">
        <v>19.0</v>
      </c>
      <c r="AI742" s="1">
        <v>11.0</v>
      </c>
      <c r="AJ742" s="1">
        <v>14.0</v>
      </c>
      <c r="AK742" s="1">
        <v>9.0</v>
      </c>
      <c r="AL742" s="1">
        <v>56.0</v>
      </c>
      <c r="AM742" s="1" t="s">
        <v>55</v>
      </c>
      <c r="AN742" s="1" t="s">
        <v>55</v>
      </c>
      <c r="AO742" s="1" t="s">
        <v>55</v>
      </c>
      <c r="AP742" s="1" t="s">
        <v>3718</v>
      </c>
      <c r="AQ742" s="3" t="str">
        <f>HYPERLINK("https://icf.clappia.com/app/GMB253374/submission/JSR07650837/ICF247370-GMB253374-5ikhlkniemog00000000/SIG-20250701_1049e3pp6.jpeg", "SIG-20250701_1049e3pp6.jpeg")</f>
        <v>SIG-20250701_1049e3pp6.jpeg</v>
      </c>
      <c r="AR742" s="1" t="s">
        <v>55</v>
      </c>
      <c r="AS742" s="3" t="str">
        <f>HYPERLINK("https://icf.clappia.com/app/GMB253374/submission/JSR07650837/ICF247370-GMB253374-d18k113hbe9m0000000/SIG-20250701_1050d4bhh.jpeg", "SIG-20250701_1050d4bhh.jpeg")</f>
        <v>SIG-20250701_1050d4bhh.jpeg</v>
      </c>
      <c r="AT742" s="1" t="s">
        <v>55</v>
      </c>
      <c r="AU742" s="3" t="str">
        <f>HYPERLINK("https://icf.clappia.com/app/GMB253374/submission/JSR07650837/ICF247370-GMB253374-9hg47l1bgp440000000/SIG-20250701_1050l1a3p.jpeg", "SIG-20250701_1050l1a3p.jpeg")</f>
        <v>SIG-20250701_1050l1a3p.jpeg</v>
      </c>
      <c r="AV742" s="3" t="str">
        <f>HYPERLINK("https://www.google.com/maps/place/8.04468%2C-11.777465", "8.04468,-11.777465")</f>
        <v>8.04468,-11.777465</v>
      </c>
    </row>
    <row r="743" ht="15.75" customHeight="1">
      <c r="A743" s="1" t="s">
        <v>3719</v>
      </c>
      <c r="B743" s="1" t="s">
        <v>81</v>
      </c>
      <c r="C743" s="1" t="s">
        <v>3720</v>
      </c>
      <c r="D743" s="1" t="s">
        <v>3720</v>
      </c>
      <c r="E743" s="1" t="s">
        <v>3721</v>
      </c>
      <c r="F743" s="1" t="s">
        <v>64</v>
      </c>
      <c r="G743" s="1">
        <v>150.0</v>
      </c>
      <c r="H743" s="1" t="s">
        <v>50</v>
      </c>
      <c r="I743" s="1">
        <v>37.0</v>
      </c>
      <c r="J743" s="1">
        <v>17.0</v>
      </c>
      <c r="K743" s="1">
        <v>13.0</v>
      </c>
      <c r="L743" s="1">
        <v>20.0</v>
      </c>
      <c r="M743" s="1">
        <v>14.0</v>
      </c>
      <c r="N743" s="1" t="s">
        <v>51</v>
      </c>
      <c r="O743" s="1">
        <v>38.0</v>
      </c>
      <c r="P743" s="1">
        <v>18.0</v>
      </c>
      <c r="Q743" s="1">
        <v>12.0</v>
      </c>
      <c r="R743" s="1">
        <v>20.0</v>
      </c>
      <c r="S743" s="1">
        <v>9.0</v>
      </c>
      <c r="T743" s="1" t="s">
        <v>52</v>
      </c>
      <c r="U743" s="1">
        <v>31.0</v>
      </c>
      <c r="V743" s="1">
        <v>10.0</v>
      </c>
      <c r="W743" s="1">
        <v>7.0</v>
      </c>
      <c r="X743" s="1">
        <v>21.0</v>
      </c>
      <c r="Y743" s="1">
        <v>18.0</v>
      </c>
      <c r="Z743" s="1" t="s">
        <v>53</v>
      </c>
      <c r="AA743" s="1">
        <v>34.0</v>
      </c>
      <c r="AB743" s="1">
        <v>15.0</v>
      </c>
      <c r="AC743" s="1">
        <v>14.0</v>
      </c>
      <c r="AD743" s="1">
        <v>19.0</v>
      </c>
      <c r="AE743" s="1">
        <v>19.0</v>
      </c>
      <c r="AF743" s="1" t="s">
        <v>54</v>
      </c>
      <c r="AG743" s="1">
        <v>26.0</v>
      </c>
      <c r="AH743" s="1">
        <v>11.0</v>
      </c>
      <c r="AI743" s="1">
        <v>9.0</v>
      </c>
      <c r="AJ743" s="1">
        <v>15.0</v>
      </c>
      <c r="AK743" s="1">
        <v>15.0</v>
      </c>
      <c r="AL743" s="1">
        <v>130.0</v>
      </c>
      <c r="AM743" s="1">
        <v>10.0</v>
      </c>
      <c r="AN743" s="1">
        <v>10.0</v>
      </c>
      <c r="AO743" s="1">
        <v>10.0</v>
      </c>
      <c r="AP743" s="1" t="s">
        <v>3722</v>
      </c>
      <c r="AQ743" s="3" t="str">
        <f>HYPERLINK("https://icf.clappia.com/app/GMB253374/submission/ETA77302378/ICF247370-GMB253374-4lg423k2393800000000/SIG-20250701_1043a7jg6.jpeg", "SIG-20250701_1043a7jg6.jpeg")</f>
        <v>SIG-20250701_1043a7jg6.jpeg</v>
      </c>
      <c r="AR743" s="1" t="s">
        <v>3723</v>
      </c>
      <c r="AS743" s="3" t="str">
        <f>HYPERLINK("https://icf.clappia.com/app/GMB253374/submission/ETA77302378/ICF247370-GMB253374-5p5kdhfeimgc00000000/SIG-20250701_104416bmjf.jpeg", "SIG-20250701_104416bmjf.jpeg")</f>
        <v>SIG-20250701_104416bmjf.jpeg</v>
      </c>
      <c r="AT743" s="1" t="s">
        <v>1641</v>
      </c>
      <c r="AU743" s="3" t="str">
        <f>HYPERLINK("https://icf.clappia.com/app/GMB253374/submission/ETA77302378/ICF247370-GMB253374-5domll765an200000000/SIG-20250701_10481mgcp.jpeg", "SIG-20250701_10481mgcp.jpeg")</f>
        <v>SIG-20250701_10481mgcp.jpeg</v>
      </c>
      <c r="AV743" s="3" t="str">
        <f>HYPERLINK("https://www.google.com/maps/place/7.9571865%2C-11.7332165", "7.9571865,-11.7332165")</f>
        <v>7.9571865,-11.7332165</v>
      </c>
    </row>
    <row r="744" ht="15.75" customHeight="1">
      <c r="A744" s="1" t="s">
        <v>3724</v>
      </c>
      <c r="B744" s="1" t="s">
        <v>580</v>
      </c>
      <c r="C744" s="1" t="s">
        <v>3720</v>
      </c>
      <c r="D744" s="1" t="s">
        <v>3720</v>
      </c>
      <c r="E744" s="1" t="s">
        <v>3725</v>
      </c>
      <c r="F744" s="1" t="s">
        <v>64</v>
      </c>
      <c r="G744" s="1">
        <v>278.0</v>
      </c>
      <c r="H744" s="1" t="s">
        <v>50</v>
      </c>
      <c r="I744" s="1">
        <v>117.0</v>
      </c>
      <c r="J744" s="1">
        <v>52.0</v>
      </c>
      <c r="K744" s="1">
        <v>50.0</v>
      </c>
      <c r="L744" s="1">
        <v>65.0</v>
      </c>
      <c r="M744" s="1">
        <v>62.0</v>
      </c>
      <c r="N744" s="1" t="s">
        <v>51</v>
      </c>
      <c r="O744" s="1">
        <v>41.0</v>
      </c>
      <c r="P744" s="1">
        <v>20.0</v>
      </c>
      <c r="Q744" s="1">
        <v>19.0</v>
      </c>
      <c r="R744" s="1">
        <v>21.0</v>
      </c>
      <c r="S744" s="1">
        <v>19.0</v>
      </c>
      <c r="T744" s="1" t="s">
        <v>52</v>
      </c>
      <c r="U744" s="1">
        <v>32.0</v>
      </c>
      <c r="V744" s="1">
        <v>17.0</v>
      </c>
      <c r="W744" s="1">
        <v>16.0</v>
      </c>
      <c r="X744" s="1">
        <v>15.0</v>
      </c>
      <c r="Y744" s="1">
        <v>15.0</v>
      </c>
      <c r="Z744" s="1" t="s">
        <v>53</v>
      </c>
      <c r="AA744" s="1">
        <v>45.0</v>
      </c>
      <c r="AB744" s="1">
        <v>24.0</v>
      </c>
      <c r="AC744" s="1">
        <v>22.0</v>
      </c>
      <c r="AD744" s="1">
        <v>21.0</v>
      </c>
      <c r="AE744" s="1">
        <v>20.0</v>
      </c>
      <c r="AF744" s="1" t="s">
        <v>54</v>
      </c>
      <c r="AG744" s="1">
        <v>38.0</v>
      </c>
      <c r="AH744" s="1">
        <v>18.0</v>
      </c>
      <c r="AI744" s="1">
        <v>15.0</v>
      </c>
      <c r="AJ744" s="1">
        <v>18.0</v>
      </c>
      <c r="AK744" s="1">
        <v>17.0</v>
      </c>
      <c r="AL744" s="1">
        <v>255.0</v>
      </c>
      <c r="AM744" s="1">
        <v>10.0</v>
      </c>
      <c r="AN744" s="1">
        <v>13.0</v>
      </c>
      <c r="AO744" s="1">
        <v>13.0</v>
      </c>
      <c r="AP744" s="1" t="s">
        <v>583</v>
      </c>
      <c r="AQ744" s="3" t="str">
        <f>HYPERLINK("https://icf.clappia.com/app/GMB253374/submission/EII94130708/ICF247370-GMB253374-4jmghgbjkk7i00000000/SIG-20250701_1040onmjh.jpeg", "SIG-20250701_1040onmjh.jpeg")</f>
        <v>SIG-20250701_1040onmjh.jpeg</v>
      </c>
      <c r="AR744" s="1" t="s">
        <v>3726</v>
      </c>
      <c r="AS744" s="3" t="str">
        <f>HYPERLINK("https://icf.clappia.com/app/GMB253374/submission/EII94130708/ICF247370-GMB253374-65ofongp542c00000000/SIG-20250701_1040hao0c.jpeg", "SIG-20250701_1040hao0c.jpeg")</f>
        <v>SIG-20250701_1040hao0c.jpeg</v>
      </c>
      <c r="AT744" s="1" t="s">
        <v>3727</v>
      </c>
      <c r="AU744" s="3" t="str">
        <f>HYPERLINK("https://icf.clappia.com/app/GMB253374/submission/EII94130708/ICF247370-GMB253374-5m58lgpag44800000000/SIG-20250701_1040142j50.jpeg", "SIG-20250701_1040142j50.jpeg")</f>
        <v>SIG-20250701_1040142j50.jpeg</v>
      </c>
      <c r="AV744" s="3" t="str">
        <f>HYPERLINK("https://www.google.com/maps/place/8.0366033%2C-11.5798167", "8.0366033,-11.5798167")</f>
        <v>8.0366033,-11.5798167</v>
      </c>
    </row>
    <row r="745" ht="15.75" customHeight="1">
      <c r="A745" s="1" t="s">
        <v>3728</v>
      </c>
      <c r="B745" s="1" t="s">
        <v>81</v>
      </c>
      <c r="C745" s="1" t="s">
        <v>3729</v>
      </c>
      <c r="D745" s="1" t="s">
        <v>3729</v>
      </c>
      <c r="E745" s="1" t="s">
        <v>3730</v>
      </c>
      <c r="F745" s="1" t="s">
        <v>64</v>
      </c>
      <c r="G745" s="1">
        <v>100.0</v>
      </c>
      <c r="H745" s="1" t="s">
        <v>50</v>
      </c>
      <c r="I745" s="1">
        <v>20.0</v>
      </c>
      <c r="J745" s="1">
        <v>8.0</v>
      </c>
      <c r="K745" s="1">
        <v>8.0</v>
      </c>
      <c r="L745" s="1">
        <v>12.0</v>
      </c>
      <c r="M745" s="1">
        <v>12.0</v>
      </c>
      <c r="N745" s="1" t="s">
        <v>51</v>
      </c>
      <c r="O745" s="1">
        <v>15.0</v>
      </c>
      <c r="P745" s="1">
        <v>8.0</v>
      </c>
      <c r="Q745" s="1">
        <v>8.0</v>
      </c>
      <c r="R745" s="1">
        <v>7.0</v>
      </c>
      <c r="S745" s="1">
        <v>7.0</v>
      </c>
      <c r="T745" s="1" t="s">
        <v>52</v>
      </c>
      <c r="U745" s="1">
        <v>30.0</v>
      </c>
      <c r="V745" s="1">
        <v>20.0</v>
      </c>
      <c r="W745" s="1">
        <v>20.0</v>
      </c>
      <c r="X745" s="1">
        <v>10.0</v>
      </c>
      <c r="Y745" s="1">
        <v>5.0</v>
      </c>
      <c r="Z745" s="1" t="s">
        <v>53</v>
      </c>
      <c r="AA745" s="1">
        <v>15.0</v>
      </c>
      <c r="AB745" s="1">
        <v>6.0</v>
      </c>
      <c r="AC745" s="1">
        <v>6.0</v>
      </c>
      <c r="AD745" s="1">
        <v>9.0</v>
      </c>
      <c r="AE745" s="1">
        <v>9.0</v>
      </c>
      <c r="AF745" s="1" t="s">
        <v>54</v>
      </c>
      <c r="AG745" s="1">
        <v>20.0</v>
      </c>
      <c r="AH745" s="1">
        <v>9.0</v>
      </c>
      <c r="AI745" s="1">
        <v>9.0</v>
      </c>
      <c r="AJ745" s="1">
        <v>11.0</v>
      </c>
      <c r="AK745" s="1">
        <v>6.0</v>
      </c>
      <c r="AL745" s="1">
        <v>90.0</v>
      </c>
      <c r="AM745" s="1">
        <v>10.0</v>
      </c>
      <c r="AN745" s="1" t="s">
        <v>55</v>
      </c>
      <c r="AO745" s="1" t="s">
        <v>55</v>
      </c>
      <c r="AP745" s="1" t="s">
        <v>2227</v>
      </c>
      <c r="AQ745" s="3" t="str">
        <f>HYPERLINK("https://icf.clappia.com/app/GMB253374/submission/MUA44752009/ICF247370-GMB253374-44f9n5pd9o0c0000000/SIG-20250701_10431969go.jpeg", "SIG-20250701_10431969go.jpeg")</f>
        <v>SIG-20250701_10431969go.jpeg</v>
      </c>
      <c r="AR745" s="1" t="s">
        <v>3731</v>
      </c>
      <c r="AS745" s="3" t="str">
        <f>HYPERLINK("https://icf.clappia.com/app/GMB253374/submission/MUA44752009/ICF247370-GMB253374-50ahhh5jig6k00000000/SIG-20250701_1044ldfln.jpeg", "SIG-20250701_1044ldfln.jpeg")</f>
        <v>SIG-20250701_1044ldfln.jpeg</v>
      </c>
      <c r="AT745" s="1" t="s">
        <v>3732</v>
      </c>
      <c r="AU745" s="3" t="str">
        <f>HYPERLINK("https://icf.clappia.com/app/GMB253374/submission/MUA44752009/ICF247370-GMB253374-4a1nffi967ek00000000/SIG-20250701_1045nik71.jpeg", "SIG-20250701_1045nik71.jpeg")</f>
        <v>SIG-20250701_1045nik71.jpeg</v>
      </c>
      <c r="AV745" s="3" t="str">
        <f>HYPERLINK("https://www.google.com/maps/place/7.9770133%2C-11.7152433", "7.9770133,-11.7152433")</f>
        <v>7.9770133,-11.7152433</v>
      </c>
    </row>
    <row r="746" ht="15.75" customHeight="1">
      <c r="A746" s="1" t="s">
        <v>3733</v>
      </c>
      <c r="B746" s="1" t="s">
        <v>690</v>
      </c>
      <c r="C746" s="1" t="s">
        <v>3734</v>
      </c>
      <c r="D746" s="1" t="s">
        <v>3734</v>
      </c>
      <c r="E746" s="1" t="s">
        <v>3735</v>
      </c>
      <c r="F746" s="1" t="s">
        <v>64</v>
      </c>
      <c r="G746" s="1">
        <v>200.0</v>
      </c>
      <c r="H746" s="1" t="s">
        <v>50</v>
      </c>
      <c r="I746" s="1">
        <v>68.0</v>
      </c>
      <c r="J746" s="1">
        <v>34.0</v>
      </c>
      <c r="K746" s="1">
        <v>32.0</v>
      </c>
      <c r="L746" s="1">
        <v>34.0</v>
      </c>
      <c r="M746" s="1">
        <v>31.0</v>
      </c>
      <c r="N746" s="1" t="s">
        <v>51</v>
      </c>
      <c r="O746" s="1">
        <v>35.0</v>
      </c>
      <c r="P746" s="1">
        <v>15.0</v>
      </c>
      <c r="Q746" s="1">
        <v>13.0</v>
      </c>
      <c r="R746" s="1">
        <v>20.0</v>
      </c>
      <c r="S746" s="1">
        <v>19.0</v>
      </c>
      <c r="T746" s="1" t="s">
        <v>52</v>
      </c>
      <c r="U746" s="1">
        <v>23.0</v>
      </c>
      <c r="V746" s="1">
        <v>14.0</v>
      </c>
      <c r="W746" s="1">
        <v>14.0</v>
      </c>
      <c r="X746" s="1">
        <v>9.0</v>
      </c>
      <c r="Y746" s="1">
        <v>7.0</v>
      </c>
      <c r="Z746" s="1" t="s">
        <v>53</v>
      </c>
      <c r="AA746" s="1">
        <v>38.0</v>
      </c>
      <c r="AB746" s="1">
        <v>19.0</v>
      </c>
      <c r="AC746" s="1">
        <v>19.0</v>
      </c>
      <c r="AD746" s="1">
        <v>19.0</v>
      </c>
      <c r="AE746" s="1">
        <v>19.0</v>
      </c>
      <c r="AF746" s="1" t="s">
        <v>54</v>
      </c>
      <c r="AG746" s="1">
        <v>20.0</v>
      </c>
      <c r="AH746" s="1">
        <v>11.0</v>
      </c>
      <c r="AI746" s="1">
        <v>11.0</v>
      </c>
      <c r="AJ746" s="1">
        <v>9.0</v>
      </c>
      <c r="AK746" s="1">
        <v>9.0</v>
      </c>
      <c r="AL746" s="1">
        <v>174.0</v>
      </c>
      <c r="AM746" s="1">
        <v>10.0</v>
      </c>
      <c r="AN746" s="1">
        <v>16.0</v>
      </c>
      <c r="AO746" s="1">
        <v>16.0</v>
      </c>
      <c r="AP746" s="1" t="s">
        <v>3736</v>
      </c>
      <c r="AQ746" s="3" t="str">
        <f>HYPERLINK("https://icf.clappia.com/app/GMB253374/submission/ZOB12453186/ICF247370-GMB253374-16267o5i7e5280000000/SIG-20250701_1039h43h.jpeg", "SIG-20250701_1039h43h.jpeg")</f>
        <v>SIG-20250701_1039h43h.jpeg</v>
      </c>
      <c r="AR746" s="1" t="s">
        <v>3737</v>
      </c>
      <c r="AS746" s="3" t="str">
        <f>HYPERLINK("https://icf.clappia.com/app/GMB253374/submission/ZOB12453186/ICF247370-GMB253374-5ijlmgdgpdha00000000/SIG-20250701_1040191h1n.jpeg", "SIG-20250701_1040191h1n.jpeg")</f>
        <v>SIG-20250701_1040191h1n.jpeg</v>
      </c>
      <c r="AT746" s="1" t="s">
        <v>3389</v>
      </c>
      <c r="AU746" s="3" t="str">
        <f>HYPERLINK("https://icf.clappia.com/app/GMB253374/submission/ZOB12453186/ICF247370-GMB253374-99npdj0h6fda0000000/SIG-20250701_10411481j2.jpeg", "SIG-20250701_10411481j2.jpeg")</f>
        <v>SIG-20250701_10411481j2.jpeg</v>
      </c>
      <c r="AV746" s="3" t="str">
        <f>HYPERLINK("https://www.google.com/maps/place/8.8618468%2C-12.0316671", "8.8618468,-12.0316671")</f>
        <v>8.8618468,-12.0316671</v>
      </c>
    </row>
    <row r="747" ht="15.75" customHeight="1">
      <c r="A747" s="1" t="s">
        <v>3738</v>
      </c>
      <c r="B747" s="1" t="s">
        <v>46</v>
      </c>
      <c r="C747" s="1" t="s">
        <v>3734</v>
      </c>
      <c r="D747" s="1" t="s">
        <v>3734</v>
      </c>
      <c r="E747" s="1" t="s">
        <v>3739</v>
      </c>
      <c r="F747" s="1" t="s">
        <v>49</v>
      </c>
      <c r="G747" s="1">
        <v>104.0</v>
      </c>
      <c r="H747" s="1" t="s">
        <v>50</v>
      </c>
      <c r="I747" s="1">
        <v>22.0</v>
      </c>
      <c r="J747" s="1">
        <v>11.0</v>
      </c>
      <c r="K747" s="1">
        <v>11.0</v>
      </c>
      <c r="L747" s="1">
        <v>11.0</v>
      </c>
      <c r="M747" s="1">
        <v>11.0</v>
      </c>
      <c r="N747" s="1" t="s">
        <v>51</v>
      </c>
      <c r="O747" s="1">
        <v>25.0</v>
      </c>
      <c r="P747" s="1">
        <v>14.0</v>
      </c>
      <c r="Q747" s="1">
        <v>13.0</v>
      </c>
      <c r="R747" s="1">
        <v>11.0</v>
      </c>
      <c r="S747" s="1">
        <v>11.0</v>
      </c>
      <c r="T747" s="1" t="s">
        <v>52</v>
      </c>
      <c r="U747" s="1">
        <v>18.0</v>
      </c>
      <c r="V747" s="1">
        <v>7.0</v>
      </c>
      <c r="W747" s="1">
        <v>6.0</v>
      </c>
      <c r="X747" s="1">
        <v>11.0</v>
      </c>
      <c r="Y747" s="1">
        <v>10.0</v>
      </c>
      <c r="Z747" s="1" t="s">
        <v>53</v>
      </c>
      <c r="AA747" s="1">
        <v>17.0</v>
      </c>
      <c r="AB747" s="1">
        <v>10.0</v>
      </c>
      <c r="AC747" s="1">
        <v>9.0</v>
      </c>
      <c r="AD747" s="1">
        <v>7.0</v>
      </c>
      <c r="AE747" s="1">
        <v>7.0</v>
      </c>
      <c r="AF747" s="1" t="s">
        <v>54</v>
      </c>
      <c r="AG747" s="1">
        <v>22.0</v>
      </c>
      <c r="AH747" s="1">
        <v>7.0</v>
      </c>
      <c r="AI747" s="1">
        <v>7.0</v>
      </c>
      <c r="AJ747" s="1">
        <v>15.0</v>
      </c>
      <c r="AK747" s="1">
        <v>15.0</v>
      </c>
      <c r="AL747" s="1">
        <v>100.0</v>
      </c>
      <c r="AM747" s="1">
        <v>4.0</v>
      </c>
      <c r="AN747" s="1" t="s">
        <v>55</v>
      </c>
      <c r="AO747" s="1" t="s">
        <v>55</v>
      </c>
      <c r="AP747" s="1" t="s">
        <v>3740</v>
      </c>
      <c r="AQ747" s="3" t="str">
        <f>HYPERLINK("https://icf.clappia.com/app/GMB253374/submission/TXP17581121/ICF247370-GMB253374-3a97a51h75n400000000/SIG-20250630_120083fjo.jpeg", "SIG-20250630_120083fjo.jpeg")</f>
        <v>SIG-20250630_120083fjo.jpeg</v>
      </c>
      <c r="AR747" s="1" t="s">
        <v>3741</v>
      </c>
      <c r="AS747" s="3" t="str">
        <f>HYPERLINK("https://icf.clappia.com/app/GMB253374/submission/TXP17581121/ICF247370-GMB253374-34eoajao0e4i0000000/SIG-20250630_120011p08h.jpeg", "SIG-20250630_120011p08h.jpeg")</f>
        <v>SIG-20250630_120011p08h.jpeg</v>
      </c>
      <c r="AT747" s="1" t="s">
        <v>1231</v>
      </c>
      <c r="AU747" s="3" t="str">
        <f>HYPERLINK("https://icf.clappia.com/app/GMB253374/submission/TXP17581121/ICF247370-GMB253374-115h1jmgnf5fe0000000/SIG-20250630_1200lpa1b.jpeg", "SIG-20250630_1200lpa1b.jpeg")</f>
        <v>SIG-20250630_1200lpa1b.jpeg</v>
      </c>
      <c r="AV747" s="3" t="str">
        <f>HYPERLINK("https://www.google.com/maps/place/8.9116017%2C-12.030115", "8.9116017,-12.030115")</f>
        <v>8.9116017,-12.030115</v>
      </c>
    </row>
    <row r="748" ht="15.75" customHeight="1">
      <c r="A748" s="1" t="s">
        <v>3742</v>
      </c>
      <c r="B748" s="1" t="s">
        <v>75</v>
      </c>
      <c r="C748" s="1" t="s">
        <v>3743</v>
      </c>
      <c r="D748" s="1" t="s">
        <v>3743</v>
      </c>
      <c r="E748" s="1" t="s">
        <v>3744</v>
      </c>
      <c r="F748" s="1" t="s">
        <v>64</v>
      </c>
      <c r="G748" s="1">
        <v>200.0</v>
      </c>
      <c r="H748" s="1" t="s">
        <v>50</v>
      </c>
      <c r="I748" s="1">
        <v>40.0</v>
      </c>
      <c r="J748" s="1">
        <v>23.0</v>
      </c>
      <c r="K748" s="1">
        <v>23.0</v>
      </c>
      <c r="L748" s="1">
        <v>17.0</v>
      </c>
      <c r="M748" s="1">
        <v>17.0</v>
      </c>
      <c r="N748" s="1" t="s">
        <v>51</v>
      </c>
      <c r="O748" s="1">
        <v>35.0</v>
      </c>
      <c r="P748" s="1">
        <v>15.0</v>
      </c>
      <c r="Q748" s="1">
        <v>15.0</v>
      </c>
      <c r="R748" s="1">
        <v>20.0</v>
      </c>
      <c r="S748" s="1">
        <v>15.0</v>
      </c>
      <c r="T748" s="1" t="s">
        <v>52</v>
      </c>
      <c r="U748" s="1">
        <v>40.0</v>
      </c>
      <c r="V748" s="1">
        <v>21.0</v>
      </c>
      <c r="W748" s="1">
        <v>16.0</v>
      </c>
      <c r="X748" s="1">
        <v>19.0</v>
      </c>
      <c r="Y748" s="1">
        <v>19.0</v>
      </c>
      <c r="Z748" s="1" t="s">
        <v>53</v>
      </c>
      <c r="AA748" s="1">
        <v>38.0</v>
      </c>
      <c r="AB748" s="1">
        <v>18.0</v>
      </c>
      <c r="AC748" s="1">
        <v>16.0</v>
      </c>
      <c r="AD748" s="1">
        <v>20.0</v>
      </c>
      <c r="AE748" s="1">
        <v>20.0</v>
      </c>
      <c r="AF748" s="1" t="s">
        <v>54</v>
      </c>
      <c r="AG748" s="1">
        <v>31.0</v>
      </c>
      <c r="AH748" s="1">
        <v>16.0</v>
      </c>
      <c r="AI748" s="1">
        <v>15.0</v>
      </c>
      <c r="AJ748" s="1">
        <v>15.0</v>
      </c>
      <c r="AK748" s="1">
        <v>15.0</v>
      </c>
      <c r="AL748" s="1">
        <v>171.0</v>
      </c>
      <c r="AM748" s="1">
        <v>10.0</v>
      </c>
      <c r="AN748" s="1">
        <v>19.0</v>
      </c>
      <c r="AO748" s="1">
        <v>16.0</v>
      </c>
      <c r="AP748" s="1" t="s">
        <v>1349</v>
      </c>
      <c r="AQ748" s="3" t="str">
        <f>HYPERLINK("https://icf.clappia.com/app/GMB253374/submission/SRK40758155/ICF247370-GMB253374-mldbl02hmf680000000/SIG-20250701_100458dh9.jpeg", "SIG-20250701_100458dh9.jpeg")</f>
        <v>SIG-20250701_100458dh9.jpeg</v>
      </c>
      <c r="AR748" s="1" t="s">
        <v>1350</v>
      </c>
      <c r="AS748" s="3" t="str">
        <f>HYPERLINK("https://icf.clappia.com/app/GMB253374/submission/SRK40758155/ICF247370-GMB253374-1c44o2khjl1eo0000000/SIG-20250701_10055l35a.jpeg", "SIG-20250701_10055l35a.jpeg")</f>
        <v>SIG-20250701_10055l35a.jpeg</v>
      </c>
      <c r="AT748" s="1" t="s">
        <v>3745</v>
      </c>
      <c r="AU748" s="3" t="str">
        <f>HYPERLINK("https://icf.clappia.com/app/GMB253374/submission/SRK40758155/ICF247370-GMB253374-5o21i0o3m60a00000000/SIG-20250701_100616fjp2.jpeg", "SIG-20250701_100616fjp2.jpeg")</f>
        <v>SIG-20250701_100616fjp2.jpeg</v>
      </c>
      <c r="AV748" s="3" t="str">
        <f>HYPERLINK("https://www.google.com/maps/place/9.0298969%2C-12.1576841", "9.0298969,-12.1576841")</f>
        <v>9.0298969,-12.1576841</v>
      </c>
    </row>
    <row r="749" ht="15.75" customHeight="1">
      <c r="A749" s="1" t="s">
        <v>3746</v>
      </c>
      <c r="B749" s="1" t="s">
        <v>189</v>
      </c>
      <c r="C749" s="1" t="s">
        <v>3747</v>
      </c>
      <c r="D749" s="1" t="s">
        <v>3747</v>
      </c>
      <c r="E749" s="1" t="s">
        <v>3748</v>
      </c>
      <c r="F749" s="1" t="s">
        <v>64</v>
      </c>
      <c r="G749" s="1">
        <v>350.0</v>
      </c>
      <c r="H749" s="1" t="s">
        <v>50</v>
      </c>
      <c r="I749" s="1">
        <v>85.0</v>
      </c>
      <c r="J749" s="1">
        <v>40.0</v>
      </c>
      <c r="K749" s="1">
        <v>35.0</v>
      </c>
      <c r="L749" s="1">
        <v>45.0</v>
      </c>
      <c r="M749" s="1">
        <v>28.0</v>
      </c>
      <c r="N749" s="1" t="s">
        <v>51</v>
      </c>
      <c r="O749" s="1">
        <v>74.0</v>
      </c>
      <c r="P749" s="1">
        <v>30.0</v>
      </c>
      <c r="Q749" s="1">
        <v>26.0</v>
      </c>
      <c r="R749" s="1">
        <v>44.0</v>
      </c>
      <c r="S749" s="1">
        <v>33.0</v>
      </c>
      <c r="T749" s="1" t="s">
        <v>52</v>
      </c>
      <c r="U749" s="1">
        <v>67.0</v>
      </c>
      <c r="V749" s="1">
        <v>35.0</v>
      </c>
      <c r="W749" s="1">
        <v>20.0</v>
      </c>
      <c r="X749" s="1">
        <v>32.0</v>
      </c>
      <c r="Y749" s="1">
        <v>22.0</v>
      </c>
      <c r="Z749" s="1" t="s">
        <v>53</v>
      </c>
      <c r="AA749" s="1">
        <v>68.0</v>
      </c>
      <c r="AB749" s="1">
        <v>30.0</v>
      </c>
      <c r="AC749" s="1">
        <v>26.0</v>
      </c>
      <c r="AD749" s="1">
        <v>38.0</v>
      </c>
      <c r="AE749" s="1">
        <v>30.0</v>
      </c>
      <c r="AF749" s="1" t="s">
        <v>54</v>
      </c>
      <c r="AG749" s="1">
        <v>67.0</v>
      </c>
      <c r="AH749" s="1">
        <v>30.0</v>
      </c>
      <c r="AI749" s="1">
        <v>28.0</v>
      </c>
      <c r="AJ749" s="1">
        <v>37.0</v>
      </c>
      <c r="AK749" s="1">
        <v>30.0</v>
      </c>
      <c r="AL749" s="1">
        <v>278.0</v>
      </c>
      <c r="AM749" s="1" t="s">
        <v>523</v>
      </c>
      <c r="AN749" s="1">
        <v>72.0</v>
      </c>
      <c r="AO749" s="1">
        <v>72.0</v>
      </c>
      <c r="AP749" s="1" t="s">
        <v>3749</v>
      </c>
      <c r="AQ749" s="3" t="str">
        <f>HYPERLINK("https://icf.clappia.com/app/GMB253374/submission/HGA20285151/ICF247370-GMB253374-1h0i3p9c5e0ii0000000/SIG-20250701_1034oa7p6.jpeg", "SIG-20250701_1034oa7p6.jpeg")</f>
        <v>SIG-20250701_1034oa7p6.jpeg</v>
      </c>
      <c r="AR749" s="1" t="s">
        <v>3750</v>
      </c>
      <c r="AS749" s="3" t="str">
        <f>HYPERLINK("https://icf.clappia.com/app/GMB253374/submission/HGA20285151/ICF247370-GMB253374-569ll0bofgc000000000/SIG-20250701_1034b73h7.jpeg", "SIG-20250701_1034b73h7.jpeg")</f>
        <v>SIG-20250701_1034b73h7.jpeg</v>
      </c>
      <c r="AT749" s="1" t="s">
        <v>1255</v>
      </c>
      <c r="AU749" s="3" t="str">
        <f>HYPERLINK("https://icf.clappia.com/app/GMB253374/submission/HGA20285151/ICF247370-GMB253374-4hp2jj556nk600000000/SIG-20250701_103714k7c9.jpeg", "SIG-20250701_103714k7c9.jpeg")</f>
        <v>SIG-20250701_103714k7c9.jpeg</v>
      </c>
      <c r="AV749" s="3" t="str">
        <f>HYPERLINK("https://www.google.com/maps/place/8.8743483%2C-12.0403967", "8.8743483,-12.0403967")</f>
        <v>8.8743483,-12.0403967</v>
      </c>
    </row>
    <row r="750" ht="15.75" customHeight="1">
      <c r="A750" s="1" t="s">
        <v>3751</v>
      </c>
      <c r="B750" s="1" t="s">
        <v>215</v>
      </c>
      <c r="C750" s="1" t="s">
        <v>3752</v>
      </c>
      <c r="D750" s="1" t="s">
        <v>3753</v>
      </c>
      <c r="E750" s="1" t="s">
        <v>3754</v>
      </c>
      <c r="F750" s="1" t="s">
        <v>64</v>
      </c>
      <c r="G750" s="1">
        <v>251.0</v>
      </c>
      <c r="H750" s="1" t="s">
        <v>50</v>
      </c>
      <c r="I750" s="1">
        <v>49.0</v>
      </c>
      <c r="J750" s="1">
        <v>20.0</v>
      </c>
      <c r="K750" s="1">
        <v>18.0</v>
      </c>
      <c r="L750" s="1">
        <v>29.0</v>
      </c>
      <c r="M750" s="1">
        <v>28.0</v>
      </c>
      <c r="N750" s="1" t="s">
        <v>51</v>
      </c>
      <c r="O750" s="1">
        <v>62.0</v>
      </c>
      <c r="P750" s="1">
        <v>23.0</v>
      </c>
      <c r="Q750" s="1">
        <v>21.0</v>
      </c>
      <c r="R750" s="1">
        <v>39.0</v>
      </c>
      <c r="S750" s="1">
        <v>37.0</v>
      </c>
      <c r="T750" s="1" t="s">
        <v>52</v>
      </c>
      <c r="U750" s="1">
        <v>38.0</v>
      </c>
      <c r="V750" s="1">
        <v>23.0</v>
      </c>
      <c r="W750" s="1">
        <v>20.0</v>
      </c>
      <c r="X750" s="1">
        <v>15.0</v>
      </c>
      <c r="Y750" s="1">
        <v>15.0</v>
      </c>
      <c r="Z750" s="1" t="s">
        <v>53</v>
      </c>
      <c r="AA750" s="1">
        <v>39.0</v>
      </c>
      <c r="AB750" s="1">
        <v>21.0</v>
      </c>
      <c r="AC750" s="1">
        <v>19.0</v>
      </c>
      <c r="AD750" s="1">
        <v>18.0</v>
      </c>
      <c r="AE750" s="1">
        <v>18.0</v>
      </c>
      <c r="AF750" s="1" t="s">
        <v>54</v>
      </c>
      <c r="AG750" s="1">
        <v>33.0</v>
      </c>
      <c r="AH750" s="1">
        <v>19.0</v>
      </c>
      <c r="AI750" s="1">
        <v>18.0</v>
      </c>
      <c r="AJ750" s="1">
        <v>14.0</v>
      </c>
      <c r="AK750" s="1">
        <v>14.0</v>
      </c>
      <c r="AL750" s="1">
        <v>208.0</v>
      </c>
      <c r="AM750" s="1" t="s">
        <v>55</v>
      </c>
      <c r="AN750" s="1">
        <v>43.0</v>
      </c>
      <c r="AO750" s="1">
        <v>43.0</v>
      </c>
      <c r="AP750" s="1" t="s">
        <v>319</v>
      </c>
      <c r="AQ750" s="3" t="str">
        <f>HYPERLINK("https://icf.clappia.com/app/GMB253374/submission/QEA63295360/ICF247370-GMB253374-3kj1e64c462800000000/SIG-20250701_1017123ed5.jpeg", "SIG-20250701_1017123ed5.jpeg")</f>
        <v>SIG-20250701_1017123ed5.jpeg</v>
      </c>
      <c r="AR750" s="1" t="s">
        <v>318</v>
      </c>
      <c r="AS750" s="3" t="str">
        <f>HYPERLINK("https://icf.clappia.com/app/GMB253374/submission/QEA63295360/ICF247370-GMB253374-2dgka8j5m5f200000000/SIG-20250701_103189fm9.jpeg", "SIG-20250701_103189fm9.jpeg")</f>
        <v>SIG-20250701_103189fm9.jpeg</v>
      </c>
      <c r="AT750" s="1" t="s">
        <v>3755</v>
      </c>
      <c r="AU750" s="3" t="str">
        <f>HYPERLINK("https://icf.clappia.com/app/GMB253374/submission/QEA63295360/ICF247370-GMB253374-353n1eomif8m00000000/SIG-20250701_103119h09f.jpeg", "SIG-20250701_103119h09f.jpeg")</f>
        <v>SIG-20250701_103119h09f.jpeg</v>
      </c>
      <c r="AV750" s="3" t="str">
        <f t="shared" ref="AV750:AV751" si="5">HYPERLINK("https://www.google.com/maps/place/8.6965133%2C-12.1473317", "8.6965133,-12.1473317")</f>
        <v>8.6965133,-12.1473317</v>
      </c>
    </row>
    <row r="751" ht="15.75" customHeight="1">
      <c r="A751" s="1" t="s">
        <v>3756</v>
      </c>
      <c r="B751" s="1" t="s">
        <v>215</v>
      </c>
      <c r="C751" s="1" t="s">
        <v>3752</v>
      </c>
      <c r="D751" s="1" t="s">
        <v>3753</v>
      </c>
      <c r="E751" s="1" t="s">
        <v>3754</v>
      </c>
      <c r="F751" s="1" t="s">
        <v>64</v>
      </c>
      <c r="G751" s="1">
        <v>251.0</v>
      </c>
      <c r="H751" s="1" t="s">
        <v>50</v>
      </c>
      <c r="I751" s="1">
        <v>49.0</v>
      </c>
      <c r="J751" s="1">
        <v>20.0</v>
      </c>
      <c r="K751" s="1">
        <v>18.0</v>
      </c>
      <c r="L751" s="1">
        <v>29.0</v>
      </c>
      <c r="M751" s="1">
        <v>28.0</v>
      </c>
      <c r="N751" s="1" t="s">
        <v>51</v>
      </c>
      <c r="O751" s="1">
        <v>62.0</v>
      </c>
      <c r="P751" s="1">
        <v>23.0</v>
      </c>
      <c r="Q751" s="1">
        <v>21.0</v>
      </c>
      <c r="R751" s="1">
        <v>39.0</v>
      </c>
      <c r="S751" s="1">
        <v>37.0</v>
      </c>
      <c r="T751" s="1" t="s">
        <v>52</v>
      </c>
      <c r="U751" s="1">
        <v>38.0</v>
      </c>
      <c r="V751" s="1">
        <v>23.0</v>
      </c>
      <c r="W751" s="1">
        <v>20.0</v>
      </c>
      <c r="X751" s="1">
        <v>15.0</v>
      </c>
      <c r="Y751" s="1">
        <v>15.0</v>
      </c>
      <c r="Z751" s="1" t="s">
        <v>53</v>
      </c>
      <c r="AA751" s="1">
        <v>39.0</v>
      </c>
      <c r="AB751" s="1">
        <v>21.0</v>
      </c>
      <c r="AC751" s="1">
        <v>19.0</v>
      </c>
      <c r="AD751" s="1">
        <v>18.0</v>
      </c>
      <c r="AE751" s="1">
        <v>18.0</v>
      </c>
      <c r="AF751" s="1" t="s">
        <v>54</v>
      </c>
      <c r="AG751" s="1">
        <v>33.0</v>
      </c>
      <c r="AH751" s="1">
        <v>19.0</v>
      </c>
      <c r="AI751" s="1">
        <v>18.0</v>
      </c>
      <c r="AJ751" s="1">
        <v>14.0</v>
      </c>
      <c r="AK751" s="1">
        <v>14.0</v>
      </c>
      <c r="AL751" s="1">
        <v>208.0</v>
      </c>
      <c r="AM751" s="1" t="s">
        <v>55</v>
      </c>
      <c r="AN751" s="1">
        <v>43.0</v>
      </c>
      <c r="AO751" s="1">
        <v>43.0</v>
      </c>
      <c r="AP751" s="1" t="s">
        <v>319</v>
      </c>
      <c r="AQ751" s="3" t="str">
        <f>HYPERLINK("https://icf.clappia.com/app/GMB253374/submission/LYY85073400/ICF247370-GMB253374-3kj1e64c462800000000/SIG-20250701_1017123ed5.jpeg", "SIG-20250701_1017123ed5.jpeg")</f>
        <v>SIG-20250701_1017123ed5.jpeg</v>
      </c>
      <c r="AR751" s="1" t="s">
        <v>318</v>
      </c>
      <c r="AS751" s="3" t="str">
        <f>HYPERLINK("https://icf.clappia.com/app/GMB253374/submission/LYY85073400/ICF247370-GMB253374-2dgka8j5m5f200000000/SIG-20250701_103189fm9.jpeg", "SIG-20250701_103189fm9.jpeg")</f>
        <v>SIG-20250701_103189fm9.jpeg</v>
      </c>
      <c r="AT751" s="1" t="s">
        <v>3755</v>
      </c>
      <c r="AU751" s="3" t="str">
        <f>HYPERLINK("https://icf.clappia.com/app/GMB253374/submission/LYY85073400/ICF247370-GMB253374-353n1eomif8m00000000/SIG-20250701_103119h09f.jpeg", "SIG-20250701_103119h09f.jpeg")</f>
        <v>SIG-20250701_103119h09f.jpeg</v>
      </c>
      <c r="AV751" s="3" t="str">
        <f t="shared" si="5"/>
        <v>8.6965133,-12.1473317</v>
      </c>
    </row>
    <row r="752" ht="15.75" customHeight="1">
      <c r="A752" s="1" t="s">
        <v>3757</v>
      </c>
      <c r="B752" s="1" t="s">
        <v>189</v>
      </c>
      <c r="C752" s="1" t="s">
        <v>3753</v>
      </c>
      <c r="D752" s="1" t="s">
        <v>3753</v>
      </c>
      <c r="E752" s="1" t="s">
        <v>3758</v>
      </c>
      <c r="F752" s="1" t="s">
        <v>49</v>
      </c>
      <c r="G752" s="1">
        <v>150.0</v>
      </c>
      <c r="H752" s="1" t="s">
        <v>50</v>
      </c>
      <c r="I752" s="1">
        <v>21.0</v>
      </c>
      <c r="J752" s="1">
        <v>10.0</v>
      </c>
      <c r="K752" s="1">
        <v>10.0</v>
      </c>
      <c r="L752" s="1">
        <v>11.0</v>
      </c>
      <c r="M752" s="1">
        <v>11.0</v>
      </c>
      <c r="N752" s="1" t="s">
        <v>51</v>
      </c>
      <c r="O752" s="1">
        <v>29.0</v>
      </c>
      <c r="P752" s="1">
        <v>19.0</v>
      </c>
      <c r="Q752" s="1">
        <v>19.0</v>
      </c>
      <c r="R752" s="1">
        <v>10.0</v>
      </c>
      <c r="S752" s="1">
        <v>10.0</v>
      </c>
      <c r="T752" s="1" t="s">
        <v>52</v>
      </c>
      <c r="U752" s="1">
        <v>32.0</v>
      </c>
      <c r="V752" s="1">
        <v>15.0</v>
      </c>
      <c r="W752" s="1">
        <v>15.0</v>
      </c>
      <c r="X752" s="1">
        <v>17.0</v>
      </c>
      <c r="Y752" s="1">
        <v>17.0</v>
      </c>
      <c r="Z752" s="1" t="s">
        <v>53</v>
      </c>
      <c r="AA752" s="1">
        <v>39.0</v>
      </c>
      <c r="AB752" s="1">
        <v>19.0</v>
      </c>
      <c r="AC752" s="1">
        <v>19.0</v>
      </c>
      <c r="AD752" s="1">
        <v>20.0</v>
      </c>
      <c r="AE752" s="1">
        <v>20.0</v>
      </c>
      <c r="AF752" s="1" t="s">
        <v>54</v>
      </c>
      <c r="AG752" s="1">
        <v>29.0</v>
      </c>
      <c r="AH752" s="1">
        <v>15.0</v>
      </c>
      <c r="AI752" s="1">
        <v>15.0</v>
      </c>
      <c r="AJ752" s="1">
        <v>14.0</v>
      </c>
      <c r="AK752" s="1">
        <v>14.0</v>
      </c>
      <c r="AL752" s="1">
        <v>150.0</v>
      </c>
      <c r="AM752" s="1" t="s">
        <v>55</v>
      </c>
      <c r="AN752" s="1" t="s">
        <v>55</v>
      </c>
      <c r="AO752" s="1" t="s">
        <v>55</v>
      </c>
      <c r="AP752" s="1" t="s">
        <v>1901</v>
      </c>
      <c r="AQ752" s="3" t="str">
        <f>HYPERLINK("https://icf.clappia.com/app/GMB253374/submission/JVS06542318/ICF247370-GMB253374-3ifik24g6fck00000000/SIG-20250701_09296efbl.jpeg", "SIG-20250701_09296efbl.jpeg")</f>
        <v>SIG-20250701_09296efbl.jpeg</v>
      </c>
      <c r="AR752" s="1" t="s">
        <v>3759</v>
      </c>
      <c r="AS752" s="3" t="str">
        <f>HYPERLINK("https://icf.clappia.com/app/GMB253374/submission/JVS06542318/ICF247370-GMB253374-11b2i02aceedm0000000/SIG-20250701_092915p5h2.jpeg", "SIG-20250701_092915p5h2.jpeg")</f>
        <v>SIG-20250701_092915p5h2.jpeg</v>
      </c>
      <c r="AT752" s="1" t="s">
        <v>3760</v>
      </c>
      <c r="AU752" s="3" t="str">
        <f>HYPERLINK("https://icf.clappia.com/app/GMB253374/submission/JVS06542318/ICF247370-GMB253374-1e8542o22l8d60000000/SIG-20250701_0930e10e3.jpeg", "SIG-20250701_0930e10e3.jpeg")</f>
        <v>SIG-20250701_0930e10e3.jpeg</v>
      </c>
      <c r="AV752" s="3" t="str">
        <f>HYPERLINK("https://www.google.com/maps/place/8.8956633%2C-12.0478983", "8.8956633,-12.0478983")</f>
        <v>8.8956633,-12.0478983</v>
      </c>
    </row>
    <row r="753" ht="15.75" customHeight="1">
      <c r="A753" s="1" t="s">
        <v>3761</v>
      </c>
      <c r="B753" s="1" t="s">
        <v>75</v>
      </c>
      <c r="C753" s="1" t="s">
        <v>3762</v>
      </c>
      <c r="D753" s="1" t="s">
        <v>3753</v>
      </c>
      <c r="E753" s="1" t="s">
        <v>3763</v>
      </c>
      <c r="F753" s="1" t="s">
        <v>64</v>
      </c>
      <c r="G753" s="1">
        <v>100.0</v>
      </c>
      <c r="H753" s="1" t="s">
        <v>50</v>
      </c>
      <c r="I753" s="1">
        <v>40.0</v>
      </c>
      <c r="J753" s="1">
        <v>22.0</v>
      </c>
      <c r="K753" s="1">
        <v>22.0</v>
      </c>
      <c r="L753" s="1">
        <v>18.0</v>
      </c>
      <c r="M753" s="1">
        <v>18.0</v>
      </c>
      <c r="N753" s="1" t="s">
        <v>51</v>
      </c>
      <c r="O753" s="1">
        <v>30.0</v>
      </c>
      <c r="P753" s="1">
        <v>18.0</v>
      </c>
      <c r="Q753" s="1">
        <v>18.0</v>
      </c>
      <c r="R753" s="1">
        <v>12.0</v>
      </c>
      <c r="S753" s="1">
        <v>12.0</v>
      </c>
      <c r="T753" s="1" t="s">
        <v>52</v>
      </c>
      <c r="U753" s="1">
        <v>6.0</v>
      </c>
      <c r="V753" s="1">
        <v>3.0</v>
      </c>
      <c r="W753" s="1">
        <v>3.0</v>
      </c>
      <c r="X753" s="1">
        <v>3.0</v>
      </c>
      <c r="Y753" s="1">
        <v>3.0</v>
      </c>
      <c r="Z753" s="1" t="s">
        <v>53</v>
      </c>
      <c r="AA753" s="1" t="s">
        <v>55</v>
      </c>
      <c r="AB753" s="1" t="s">
        <v>55</v>
      </c>
      <c r="AC753" s="1" t="s">
        <v>55</v>
      </c>
      <c r="AD753" s="1" t="s">
        <v>55</v>
      </c>
      <c r="AE753" s="1" t="s">
        <v>55</v>
      </c>
      <c r="AF753" s="1" t="s">
        <v>54</v>
      </c>
      <c r="AG753" s="1" t="s">
        <v>55</v>
      </c>
      <c r="AH753" s="1" t="s">
        <v>55</v>
      </c>
      <c r="AI753" s="1" t="s">
        <v>55</v>
      </c>
      <c r="AJ753" s="1" t="s">
        <v>55</v>
      </c>
      <c r="AK753" s="1" t="s">
        <v>55</v>
      </c>
      <c r="AL753" s="1">
        <v>76.0</v>
      </c>
      <c r="AM753" s="1" t="s">
        <v>55</v>
      </c>
      <c r="AN753" s="1">
        <v>24.0</v>
      </c>
      <c r="AO753" s="1">
        <v>24.0</v>
      </c>
      <c r="AP753" s="1" t="s">
        <v>2507</v>
      </c>
      <c r="AQ753" s="3" t="str">
        <f>HYPERLINK("https://icf.clappia.com/app/GMB253374/submission/MLW44363936/ICF247370-GMB253374-4keee05iabjk00000000/SIG-20250701_1010eodkc.jpeg", "SIG-20250701_1010eodkc.jpeg")</f>
        <v>SIG-20250701_1010eodkc.jpeg</v>
      </c>
      <c r="AR753" s="1" t="s">
        <v>3764</v>
      </c>
      <c r="AS753" s="3" t="str">
        <f>HYPERLINK("https://icf.clappia.com/app/GMB253374/submission/MLW44363936/ICF247370-GMB253374-1d9dpelbof5840000000/SIG-20250701_1012179mc3.jpeg", "SIG-20250701_1012179mc3.jpeg")</f>
        <v>SIG-20250701_1012179mc3.jpeg</v>
      </c>
      <c r="AT753" s="1" t="s">
        <v>3765</v>
      </c>
      <c r="AU753" s="3" t="str">
        <f>HYPERLINK("https://icf.clappia.com/app/GMB253374/submission/MLW44363936/ICF247370-GMB253374-4flm0jpj4ide00000000/SIG-20250701_1013j6p44.jpeg", "SIG-20250701_1013j6p44.jpeg")</f>
        <v>SIG-20250701_1013j6p44.jpeg</v>
      </c>
      <c r="AV753" s="3" t="str">
        <f>HYPERLINK("https://www.google.com/maps/place/9.0188433%2C-12.2838083", "9.0188433,-12.2838083")</f>
        <v>9.0188433,-12.2838083</v>
      </c>
    </row>
    <row r="754" ht="15.75" customHeight="1">
      <c r="A754" s="1" t="s">
        <v>3766</v>
      </c>
      <c r="B754" s="1" t="s">
        <v>248</v>
      </c>
      <c r="C754" s="1" t="s">
        <v>3752</v>
      </c>
      <c r="D754" s="1" t="s">
        <v>3767</v>
      </c>
      <c r="E754" s="1" t="s">
        <v>3768</v>
      </c>
      <c r="F754" s="1" t="s">
        <v>64</v>
      </c>
      <c r="G754" s="1">
        <v>200.0</v>
      </c>
      <c r="H754" s="1" t="s">
        <v>50</v>
      </c>
      <c r="I754" s="1">
        <v>70.0</v>
      </c>
      <c r="J754" s="1">
        <v>30.0</v>
      </c>
      <c r="K754" s="1">
        <v>30.0</v>
      </c>
      <c r="L754" s="1">
        <v>40.0</v>
      </c>
      <c r="M754" s="1">
        <v>40.0</v>
      </c>
      <c r="N754" s="1" t="s">
        <v>51</v>
      </c>
      <c r="O754" s="1">
        <v>65.0</v>
      </c>
      <c r="P754" s="1">
        <v>31.0</v>
      </c>
      <c r="Q754" s="1">
        <v>31.0</v>
      </c>
      <c r="R754" s="1">
        <v>34.0</v>
      </c>
      <c r="S754" s="1">
        <v>34.0</v>
      </c>
      <c r="T754" s="1" t="s">
        <v>52</v>
      </c>
      <c r="U754" s="1">
        <v>31.0</v>
      </c>
      <c r="V754" s="1">
        <v>16.0</v>
      </c>
      <c r="W754" s="1">
        <v>16.0</v>
      </c>
      <c r="X754" s="1">
        <v>15.0</v>
      </c>
      <c r="Y754" s="1">
        <v>15.0</v>
      </c>
      <c r="Z754" s="1" t="s">
        <v>53</v>
      </c>
      <c r="AA754" s="1">
        <v>25.0</v>
      </c>
      <c r="AB754" s="1">
        <v>15.0</v>
      </c>
      <c r="AC754" s="1">
        <v>15.0</v>
      </c>
      <c r="AD754" s="1">
        <v>10.0</v>
      </c>
      <c r="AE754" s="1">
        <v>10.0</v>
      </c>
      <c r="AF754" s="1" t="s">
        <v>54</v>
      </c>
      <c r="AG754" s="1">
        <v>8.0</v>
      </c>
      <c r="AH754" s="1">
        <v>5.0</v>
      </c>
      <c r="AI754" s="1">
        <v>5.0</v>
      </c>
      <c r="AJ754" s="1">
        <v>3.0</v>
      </c>
      <c r="AK754" s="1">
        <v>3.0</v>
      </c>
      <c r="AL754" s="1">
        <v>199.0</v>
      </c>
      <c r="AM754" s="1" t="s">
        <v>55</v>
      </c>
      <c r="AN754" s="1">
        <v>1.0</v>
      </c>
      <c r="AO754" s="1">
        <v>1.0</v>
      </c>
      <c r="AP754" s="1" t="s">
        <v>3769</v>
      </c>
      <c r="AQ754" s="3" t="str">
        <f>HYPERLINK("https://icf.clappia.com/app/GMB253374/submission/QUW33878009/ICF247370-GMB253374-5hlem90h05og00000000/SIG-20250701_10294pi43.jpeg", "SIG-20250701_10294pi43.jpeg")</f>
        <v>SIG-20250701_10294pi43.jpeg</v>
      </c>
      <c r="AR754" s="1" t="s">
        <v>3770</v>
      </c>
      <c r="AS754" s="3" t="str">
        <f>HYPERLINK("https://icf.clappia.com/app/GMB253374/submission/QUW33878009/ICF247370-GMB253374-5enn82d6n46800000000/SIG-20250701_1030hbhj3.jpeg", "SIG-20250701_1030hbhj3.jpeg")</f>
        <v>SIG-20250701_1030hbhj3.jpeg</v>
      </c>
      <c r="AT754" s="1" t="s">
        <v>3771</v>
      </c>
      <c r="AU754" s="3" t="str">
        <f>HYPERLINK("https://icf.clappia.com/app/GMB253374/submission/QUW33878009/ICF247370-GMB253374-34ehk38adjli00000000/SIG-20250701_10307dea3.jpeg", "SIG-20250701_10307dea3.jpeg")</f>
        <v>SIG-20250701_10307dea3.jpeg</v>
      </c>
      <c r="AV754" s="3" t="str">
        <f>HYPERLINK("https://www.google.com/maps/place/7.9809833%2C-11.4490067", "7.9809833,-11.4490067")</f>
        <v>7.9809833,-11.4490067</v>
      </c>
    </row>
    <row r="755" ht="15.75" customHeight="1">
      <c r="A755" s="1" t="s">
        <v>3772</v>
      </c>
      <c r="B755" s="1" t="s">
        <v>349</v>
      </c>
      <c r="C755" s="1" t="s">
        <v>3773</v>
      </c>
      <c r="D755" s="1" t="s">
        <v>3773</v>
      </c>
      <c r="E755" s="1" t="s">
        <v>3774</v>
      </c>
      <c r="F755" s="1" t="s">
        <v>64</v>
      </c>
      <c r="G755" s="1">
        <v>151.0</v>
      </c>
      <c r="H755" s="1" t="s">
        <v>50</v>
      </c>
      <c r="I755" s="1">
        <v>40.0</v>
      </c>
      <c r="J755" s="1">
        <v>18.0</v>
      </c>
      <c r="K755" s="1">
        <v>18.0</v>
      </c>
      <c r="L755" s="1">
        <v>22.0</v>
      </c>
      <c r="M755" s="1">
        <v>22.0</v>
      </c>
      <c r="N755" s="1" t="s">
        <v>51</v>
      </c>
      <c r="O755" s="1">
        <v>35.0</v>
      </c>
      <c r="P755" s="1">
        <v>16.0</v>
      </c>
      <c r="Q755" s="1">
        <v>16.0</v>
      </c>
      <c r="R755" s="1">
        <v>19.0</v>
      </c>
      <c r="S755" s="1">
        <v>19.0</v>
      </c>
      <c r="T755" s="1" t="s">
        <v>52</v>
      </c>
      <c r="U755" s="1">
        <v>29.0</v>
      </c>
      <c r="V755" s="1">
        <v>11.0</v>
      </c>
      <c r="W755" s="1">
        <v>11.0</v>
      </c>
      <c r="X755" s="1">
        <v>18.0</v>
      </c>
      <c r="Y755" s="1">
        <v>18.0</v>
      </c>
      <c r="Z755" s="1" t="s">
        <v>53</v>
      </c>
      <c r="AA755" s="1">
        <v>25.0</v>
      </c>
      <c r="AB755" s="1">
        <v>10.0</v>
      </c>
      <c r="AC755" s="1">
        <v>10.0</v>
      </c>
      <c r="AD755" s="1">
        <v>15.0</v>
      </c>
      <c r="AE755" s="1">
        <v>15.0</v>
      </c>
      <c r="AF755" s="1" t="s">
        <v>54</v>
      </c>
      <c r="AG755" s="1">
        <v>21.0</v>
      </c>
      <c r="AH755" s="1">
        <v>7.0</v>
      </c>
      <c r="AI755" s="1">
        <v>7.0</v>
      </c>
      <c r="AJ755" s="1">
        <v>14.0</v>
      </c>
      <c r="AK755" s="1">
        <v>14.0</v>
      </c>
      <c r="AL755" s="1">
        <v>150.0</v>
      </c>
      <c r="AM755" s="1">
        <v>1.0</v>
      </c>
      <c r="AN755" s="1" t="s">
        <v>55</v>
      </c>
      <c r="AO755" s="1" t="s">
        <v>55</v>
      </c>
      <c r="AP755" s="1" t="s">
        <v>3775</v>
      </c>
      <c r="AQ755" s="3" t="str">
        <f>HYPERLINK("https://icf.clappia.com/app/GMB253374/submission/HTK38737529/ICF247370-GMB253374-21bc460cb7e4o0000000/SIG-20250630_1258h4aga.jpeg", "SIG-20250630_1258h4aga.jpeg")</f>
        <v>SIG-20250630_1258h4aga.jpeg</v>
      </c>
      <c r="AR755" s="1" t="s">
        <v>3776</v>
      </c>
      <c r="AS755" s="3" t="str">
        <f>HYPERLINK("https://icf.clappia.com/app/GMB253374/submission/HTK38737529/ICF247370-GMB253374-bh2k46mlpacg0000000/SIG-20250630_1259ci70e.jpeg", "SIG-20250630_1259ci70e.jpeg")</f>
        <v>SIG-20250630_1259ci70e.jpeg</v>
      </c>
      <c r="AT755" s="1" t="s">
        <v>3777</v>
      </c>
      <c r="AU755" s="3" t="str">
        <f>HYPERLINK("https://icf.clappia.com/app/GMB253374/submission/HTK38737529/ICF247370-GMB253374-pkgko4bbg9oc0000000/SIG-20250630_1300fj2ka.jpeg", "SIG-20250630_1300fj2ka.jpeg")</f>
        <v>SIG-20250630_1300fj2ka.jpeg</v>
      </c>
      <c r="AV755" s="3" t="str">
        <f>HYPERLINK("https://www.google.com/maps/place/8.9590725%2C-11.9777856", "8.9590725,-11.9777856")</f>
        <v>8.9590725,-11.9777856</v>
      </c>
    </row>
    <row r="756" ht="15.75" customHeight="1">
      <c r="A756" s="1" t="s">
        <v>3778</v>
      </c>
      <c r="B756" s="1" t="s">
        <v>690</v>
      </c>
      <c r="C756" s="1" t="s">
        <v>3779</v>
      </c>
      <c r="D756" s="1" t="s">
        <v>3780</v>
      </c>
      <c r="E756" s="1" t="s">
        <v>3781</v>
      </c>
      <c r="F756" s="1" t="s">
        <v>64</v>
      </c>
      <c r="G756" s="1">
        <v>433.0</v>
      </c>
      <c r="H756" s="1" t="s">
        <v>50</v>
      </c>
      <c r="I756" s="1">
        <v>97.0</v>
      </c>
      <c r="J756" s="1">
        <v>48.0</v>
      </c>
      <c r="K756" s="1">
        <v>48.0</v>
      </c>
      <c r="L756" s="1">
        <v>49.0</v>
      </c>
      <c r="M756" s="1">
        <v>49.0</v>
      </c>
      <c r="N756" s="1" t="s">
        <v>51</v>
      </c>
      <c r="O756" s="1">
        <v>74.0</v>
      </c>
      <c r="P756" s="1">
        <v>36.0</v>
      </c>
      <c r="Q756" s="1">
        <v>36.0</v>
      </c>
      <c r="R756" s="1">
        <v>38.0</v>
      </c>
      <c r="S756" s="1">
        <v>38.0</v>
      </c>
      <c r="T756" s="1" t="s">
        <v>52</v>
      </c>
      <c r="U756" s="1">
        <v>74.0</v>
      </c>
      <c r="V756" s="1">
        <v>35.0</v>
      </c>
      <c r="W756" s="1">
        <v>35.0</v>
      </c>
      <c r="X756" s="1">
        <v>39.0</v>
      </c>
      <c r="Y756" s="1">
        <v>39.0</v>
      </c>
      <c r="Z756" s="1" t="s">
        <v>53</v>
      </c>
      <c r="AA756" s="1">
        <v>83.0</v>
      </c>
      <c r="AB756" s="1">
        <v>38.0</v>
      </c>
      <c r="AC756" s="1">
        <v>38.0</v>
      </c>
      <c r="AD756" s="1">
        <v>45.0</v>
      </c>
      <c r="AE756" s="1">
        <v>45.0</v>
      </c>
      <c r="AF756" s="1" t="s">
        <v>54</v>
      </c>
      <c r="AG756" s="1">
        <v>73.0</v>
      </c>
      <c r="AH756" s="1">
        <v>38.0</v>
      </c>
      <c r="AI756" s="1">
        <v>38.0</v>
      </c>
      <c r="AJ756" s="1">
        <v>35.0</v>
      </c>
      <c r="AK756" s="1">
        <v>35.0</v>
      </c>
      <c r="AL756" s="1">
        <v>401.0</v>
      </c>
      <c r="AM756" s="1" t="s">
        <v>55</v>
      </c>
      <c r="AN756" s="1">
        <v>32.0</v>
      </c>
      <c r="AO756" s="1">
        <v>32.0</v>
      </c>
      <c r="AP756" s="1" t="s">
        <v>3782</v>
      </c>
      <c r="AQ756" s="3" t="str">
        <f>HYPERLINK("https://icf.clappia.com/app/GMB253374/submission/SYQ73975854/ICF247370-GMB253374-1n8amle8b7b2o0000000/SIG-20250701_10158kel5.jpeg", "SIG-20250701_10158kel5.jpeg")</f>
        <v>SIG-20250701_10158kel5.jpeg</v>
      </c>
      <c r="AR756" s="1" t="s">
        <v>3783</v>
      </c>
      <c r="AS756" s="3" t="str">
        <f>HYPERLINK("https://icf.clappia.com/app/GMB253374/submission/SYQ73975854/ICF247370-GMB253374-4d603fg5kkkg00000000/SIG-20250701_10161a3g4a.jpeg", "SIG-20250701_10161a3g4a.jpeg")</f>
        <v>SIG-20250701_10161a3g4a.jpeg</v>
      </c>
      <c r="AT756" s="1" t="s">
        <v>3784</v>
      </c>
      <c r="AU756" s="3" t="str">
        <f>HYPERLINK("https://icf.clappia.com/app/GMB253374/submission/SYQ73975854/ICF247370-GMB253374-4joa4cegl4o400000000/SIG-20250701_101712ph1m.jpeg", "SIG-20250701_101712ph1m.jpeg")</f>
        <v>SIG-20250701_101712ph1m.jpeg</v>
      </c>
      <c r="AV756" s="3" t="str">
        <f>HYPERLINK("https://www.google.com/maps/place/8.7908018%2C-12.0592918", "8.7908018,-12.0592918")</f>
        <v>8.7908018,-12.0592918</v>
      </c>
    </row>
    <row r="757" ht="15.75" customHeight="1">
      <c r="A757" s="1" t="s">
        <v>3785</v>
      </c>
      <c r="B757" s="1" t="s">
        <v>690</v>
      </c>
      <c r="C757" s="1" t="s">
        <v>3786</v>
      </c>
      <c r="D757" s="1" t="s">
        <v>3786</v>
      </c>
      <c r="E757" s="1" t="s">
        <v>3787</v>
      </c>
      <c r="F757" s="1" t="s">
        <v>64</v>
      </c>
      <c r="G757" s="1">
        <v>100.0</v>
      </c>
      <c r="H757" s="1" t="s">
        <v>50</v>
      </c>
      <c r="I757" s="1">
        <v>26.0</v>
      </c>
      <c r="J757" s="1">
        <v>15.0</v>
      </c>
      <c r="K757" s="1">
        <v>14.0</v>
      </c>
      <c r="L757" s="1">
        <v>11.0</v>
      </c>
      <c r="M757" s="1">
        <v>7.0</v>
      </c>
      <c r="N757" s="1" t="s">
        <v>51</v>
      </c>
      <c r="O757" s="1">
        <v>19.0</v>
      </c>
      <c r="P757" s="1">
        <v>14.0</v>
      </c>
      <c r="Q757" s="1">
        <v>10.0</v>
      </c>
      <c r="R757" s="1">
        <v>5.0</v>
      </c>
      <c r="S757" s="1">
        <v>4.0</v>
      </c>
      <c r="T757" s="1" t="s">
        <v>52</v>
      </c>
      <c r="U757" s="1">
        <v>20.0</v>
      </c>
      <c r="V757" s="1">
        <v>12.0</v>
      </c>
      <c r="W757" s="1">
        <v>7.0</v>
      </c>
      <c r="X757" s="1">
        <v>8.0</v>
      </c>
      <c r="Y757" s="1">
        <v>5.0</v>
      </c>
      <c r="Z757" s="1" t="s">
        <v>53</v>
      </c>
      <c r="AA757" s="1">
        <v>17.0</v>
      </c>
      <c r="AB757" s="1">
        <v>3.0</v>
      </c>
      <c r="AC757" s="1">
        <v>3.0</v>
      </c>
      <c r="AD757" s="1">
        <v>14.0</v>
      </c>
      <c r="AE757" s="1">
        <v>12.0</v>
      </c>
      <c r="AF757" s="1" t="s">
        <v>54</v>
      </c>
      <c r="AG757" s="1">
        <v>11.0</v>
      </c>
      <c r="AH757" s="1">
        <v>4.0</v>
      </c>
      <c r="AI757" s="1">
        <v>4.0</v>
      </c>
      <c r="AJ757" s="1">
        <v>7.0</v>
      </c>
      <c r="AK757" s="1">
        <v>4.0</v>
      </c>
      <c r="AL757" s="1">
        <v>70.0</v>
      </c>
      <c r="AM757" s="1" t="s">
        <v>55</v>
      </c>
      <c r="AN757" s="1">
        <v>30.0</v>
      </c>
      <c r="AO757" s="1">
        <v>30.0</v>
      </c>
      <c r="AP757" s="1" t="s">
        <v>3788</v>
      </c>
      <c r="AQ757" s="3" t="str">
        <f>HYPERLINK("https://icf.clappia.com/app/GMB253374/submission/VTW44374928/ICF247370-GMB253374-2nhldfo7cl2a00000000/SIG-20250701_1010emd98.jpeg", "SIG-20250701_1010emd98.jpeg")</f>
        <v>SIG-20250701_1010emd98.jpeg</v>
      </c>
      <c r="AR757" s="1" t="s">
        <v>2313</v>
      </c>
      <c r="AS757" s="3" t="str">
        <f>HYPERLINK("https://icf.clappia.com/app/GMB253374/submission/VTW44374928/ICF247370-GMB253374-4cd8h0njcm7200000000/SIG-20250701_10138le28.jpeg", "SIG-20250701_10138le28.jpeg")</f>
        <v>SIG-20250701_10138le28.jpeg</v>
      </c>
      <c r="AT757" s="1" t="s">
        <v>2314</v>
      </c>
      <c r="AU757" s="3" t="str">
        <f>HYPERLINK("https://icf.clappia.com/app/GMB253374/submission/VTW44374928/ICF247370-GMB253374-1jb1eoaogkfoe0000000/SIG-20250701_1020dhp6b.jpeg", "SIG-20250701_1020dhp6b.jpeg")</f>
        <v>SIG-20250701_1020dhp6b.jpeg</v>
      </c>
      <c r="AV757" s="3" t="str">
        <f>HYPERLINK("https://www.google.com/maps/place/8.8528632%2C-12.0270272", "8.8528632,-12.0270272")</f>
        <v>8.8528632,-12.0270272</v>
      </c>
    </row>
    <row r="758" ht="15.75" customHeight="1">
      <c r="A758" s="1" t="s">
        <v>3789</v>
      </c>
      <c r="B758" s="1" t="s">
        <v>142</v>
      </c>
      <c r="C758" s="1" t="s">
        <v>3779</v>
      </c>
      <c r="D758" s="1" t="s">
        <v>3779</v>
      </c>
      <c r="E758" s="1" t="s">
        <v>3790</v>
      </c>
      <c r="F758" s="1" t="s">
        <v>64</v>
      </c>
      <c r="G758" s="1">
        <v>172.0</v>
      </c>
      <c r="H758" s="1" t="s">
        <v>50</v>
      </c>
      <c r="I758" s="1">
        <v>69.0</v>
      </c>
      <c r="J758" s="1">
        <v>32.0</v>
      </c>
      <c r="K758" s="1">
        <v>21.0</v>
      </c>
      <c r="L758" s="1">
        <v>36.0</v>
      </c>
      <c r="M758" s="1">
        <v>25.0</v>
      </c>
      <c r="N758" s="1" t="s">
        <v>51</v>
      </c>
      <c r="O758" s="1">
        <v>26.0</v>
      </c>
      <c r="P758" s="1">
        <v>14.0</v>
      </c>
      <c r="Q758" s="1">
        <v>11.0</v>
      </c>
      <c r="R758" s="1">
        <v>12.0</v>
      </c>
      <c r="S758" s="1">
        <v>9.0</v>
      </c>
      <c r="T758" s="1" t="s">
        <v>52</v>
      </c>
      <c r="U758" s="1">
        <v>35.0</v>
      </c>
      <c r="V758" s="1">
        <v>24.0</v>
      </c>
      <c r="W758" s="1">
        <v>19.0</v>
      </c>
      <c r="X758" s="1">
        <v>11.0</v>
      </c>
      <c r="Y758" s="1">
        <v>8.0</v>
      </c>
      <c r="Z758" s="1" t="s">
        <v>53</v>
      </c>
      <c r="AA758" s="1">
        <v>29.0</v>
      </c>
      <c r="AB758" s="1">
        <v>15.0</v>
      </c>
      <c r="AC758" s="1">
        <v>11.0</v>
      </c>
      <c r="AD758" s="1">
        <v>14.0</v>
      </c>
      <c r="AE758" s="1">
        <v>11.0</v>
      </c>
      <c r="AF758" s="1" t="s">
        <v>54</v>
      </c>
      <c r="AG758" s="1">
        <v>21.0</v>
      </c>
      <c r="AH758" s="1">
        <v>10.0</v>
      </c>
      <c r="AI758" s="1">
        <v>10.0</v>
      </c>
      <c r="AJ758" s="1">
        <v>11.0</v>
      </c>
      <c r="AK758" s="1">
        <v>10.0</v>
      </c>
      <c r="AL758" s="1">
        <v>135.0</v>
      </c>
      <c r="AM758" s="1" t="s">
        <v>55</v>
      </c>
      <c r="AN758" s="1">
        <v>37.0</v>
      </c>
      <c r="AO758" s="1">
        <v>37.0</v>
      </c>
      <c r="AP758" s="1" t="s">
        <v>3791</v>
      </c>
      <c r="AQ758" s="3" t="str">
        <f>HYPERLINK("https://icf.clappia.com/app/GMB253374/submission/AVA35866469/ICF247370-GMB253374-2elj3bi828ag00000000/SIG-20250701_1015g701o.jpeg", "SIG-20250701_1015g701o.jpeg")</f>
        <v>SIG-20250701_1015g701o.jpeg</v>
      </c>
      <c r="AR758" s="1" t="s">
        <v>3792</v>
      </c>
      <c r="AS758" s="3" t="str">
        <f>HYPERLINK("https://icf.clappia.com/app/GMB253374/submission/AVA35866469/ICF247370-GMB253374-15mhm64edpna80000000/SIG-20250701_101511a104.jpeg", "SIG-20250701_101511a104.jpeg")</f>
        <v>SIG-20250701_101511a104.jpeg</v>
      </c>
      <c r="AT758" s="1" t="s">
        <v>3793</v>
      </c>
      <c r="AU758" s="3" t="str">
        <f>HYPERLINK("https://icf.clappia.com/app/GMB253374/submission/AVA35866469/ICF247370-GMB253374-37f1la18o9jg00000000/SIG-20250701_10169hcfj.jpeg", "SIG-20250701_10169hcfj.jpeg")</f>
        <v>SIG-20250701_10169hcfj.jpeg</v>
      </c>
      <c r="AV758" s="3" t="str">
        <f>HYPERLINK("https://www.google.com/maps/place/7.8791625%2C-12.0780766", "7.8791625,-12.0780766")</f>
        <v>7.8791625,-12.0780766</v>
      </c>
    </row>
    <row r="759" ht="15.75" customHeight="1">
      <c r="A759" s="1" t="s">
        <v>3794</v>
      </c>
      <c r="B759" s="1" t="s">
        <v>248</v>
      </c>
      <c r="C759" s="1" t="s">
        <v>3795</v>
      </c>
      <c r="D759" s="1" t="s">
        <v>3795</v>
      </c>
      <c r="E759" s="1" t="s">
        <v>3796</v>
      </c>
      <c r="F759" s="1" t="s">
        <v>64</v>
      </c>
      <c r="G759" s="1">
        <v>148.0</v>
      </c>
      <c r="H759" s="1" t="s">
        <v>50</v>
      </c>
      <c r="I759" s="1">
        <v>42.0</v>
      </c>
      <c r="J759" s="1">
        <v>22.0</v>
      </c>
      <c r="K759" s="1">
        <v>22.0</v>
      </c>
      <c r="L759" s="1">
        <v>20.0</v>
      </c>
      <c r="M759" s="1">
        <v>20.0</v>
      </c>
      <c r="N759" s="1" t="s">
        <v>51</v>
      </c>
      <c r="O759" s="1">
        <v>26.0</v>
      </c>
      <c r="P759" s="1">
        <v>14.0</v>
      </c>
      <c r="Q759" s="1">
        <v>14.0</v>
      </c>
      <c r="R759" s="1">
        <v>12.0</v>
      </c>
      <c r="S759" s="1">
        <v>12.0</v>
      </c>
      <c r="T759" s="1" t="s">
        <v>52</v>
      </c>
      <c r="U759" s="1">
        <v>28.0</v>
      </c>
      <c r="V759" s="1">
        <v>15.0</v>
      </c>
      <c r="W759" s="1">
        <v>15.0</v>
      </c>
      <c r="X759" s="1">
        <v>13.0</v>
      </c>
      <c r="Y759" s="1">
        <v>13.0</v>
      </c>
      <c r="Z759" s="1" t="s">
        <v>53</v>
      </c>
      <c r="AA759" s="1">
        <v>25.0</v>
      </c>
      <c r="AB759" s="1">
        <v>13.0</v>
      </c>
      <c r="AC759" s="1">
        <v>13.0</v>
      </c>
      <c r="AD759" s="1">
        <v>12.0</v>
      </c>
      <c r="AE759" s="1">
        <v>12.0</v>
      </c>
      <c r="AF759" s="1" t="s">
        <v>54</v>
      </c>
      <c r="AG759" s="1">
        <v>27.0</v>
      </c>
      <c r="AH759" s="1">
        <v>13.0</v>
      </c>
      <c r="AI759" s="1">
        <v>13.0</v>
      </c>
      <c r="AJ759" s="1">
        <v>14.0</v>
      </c>
      <c r="AK759" s="1">
        <v>14.0</v>
      </c>
      <c r="AL759" s="1">
        <v>148.0</v>
      </c>
      <c r="AM759" s="1" t="s">
        <v>55</v>
      </c>
      <c r="AN759" s="1" t="s">
        <v>55</v>
      </c>
      <c r="AO759" s="1" t="s">
        <v>55</v>
      </c>
      <c r="AP759" s="1" t="s">
        <v>3797</v>
      </c>
      <c r="AQ759" s="3" t="str">
        <f>HYPERLINK("https://icf.clappia.com/app/GMB253374/submission/KWW29200947/ICF247370-GMB253374-5g212m9k9i7e00000000/SIG-20250701_1011mmo55.jpeg", "SIG-20250701_1011mmo55.jpeg")</f>
        <v>SIG-20250701_1011mmo55.jpeg</v>
      </c>
      <c r="AR759" s="1" t="s">
        <v>3798</v>
      </c>
      <c r="AS759" s="3" t="str">
        <f>HYPERLINK("https://icf.clappia.com/app/GMB253374/submission/KWW29200947/ICF247370-GMB253374-2on5gpe4bklk00000000/SIG-20250701_101215a3nh.jpeg", "SIG-20250701_101215a3nh.jpeg")</f>
        <v>SIG-20250701_101215a3nh.jpeg</v>
      </c>
      <c r="AT759" s="1" t="s">
        <v>3799</v>
      </c>
      <c r="AU759" s="3" t="str">
        <f>HYPERLINK("https://icf.clappia.com/app/GMB253374/submission/KWW29200947/ICF247370-GMB253374-63cb1pihdjhm00000000/SIG-20250701_1013pno1n.jpeg", "SIG-20250701_1013pno1n.jpeg")</f>
        <v>SIG-20250701_1013pno1n.jpeg</v>
      </c>
      <c r="AV759" s="3" t="str">
        <f>HYPERLINK("https://www.google.com/maps/place/7.9251717%2C-11.407825", "7.9251717,-11.407825")</f>
        <v>7.9251717,-11.407825</v>
      </c>
    </row>
    <row r="760" ht="15.75" customHeight="1">
      <c r="A760" s="1" t="s">
        <v>3800</v>
      </c>
      <c r="B760" s="1" t="s">
        <v>349</v>
      </c>
      <c r="C760" s="1" t="s">
        <v>3801</v>
      </c>
      <c r="D760" s="1" t="s">
        <v>3801</v>
      </c>
      <c r="E760" s="1" t="s">
        <v>3802</v>
      </c>
      <c r="F760" s="1" t="s">
        <v>64</v>
      </c>
      <c r="G760" s="1">
        <v>188.0</v>
      </c>
      <c r="H760" s="1" t="s">
        <v>50</v>
      </c>
      <c r="I760" s="1">
        <v>65.0</v>
      </c>
      <c r="J760" s="1">
        <v>25.0</v>
      </c>
      <c r="K760" s="1">
        <v>25.0</v>
      </c>
      <c r="L760" s="1">
        <v>40.0</v>
      </c>
      <c r="M760" s="1">
        <v>40.0</v>
      </c>
      <c r="N760" s="1" t="s">
        <v>51</v>
      </c>
      <c r="O760" s="1">
        <v>35.0</v>
      </c>
      <c r="P760" s="1">
        <v>16.0</v>
      </c>
      <c r="Q760" s="1">
        <v>16.0</v>
      </c>
      <c r="R760" s="1">
        <v>19.0</v>
      </c>
      <c r="S760" s="1">
        <v>19.0</v>
      </c>
      <c r="T760" s="1" t="s">
        <v>52</v>
      </c>
      <c r="U760" s="1">
        <v>28.0</v>
      </c>
      <c r="V760" s="1">
        <v>13.0</v>
      </c>
      <c r="W760" s="1">
        <v>13.0</v>
      </c>
      <c r="X760" s="1">
        <v>15.0</v>
      </c>
      <c r="Y760" s="1">
        <v>15.0</v>
      </c>
      <c r="Z760" s="1" t="s">
        <v>53</v>
      </c>
      <c r="AA760" s="1">
        <v>30.0</v>
      </c>
      <c r="AB760" s="1">
        <v>12.0</v>
      </c>
      <c r="AC760" s="1">
        <v>12.0</v>
      </c>
      <c r="AD760" s="1">
        <v>18.0</v>
      </c>
      <c r="AE760" s="1">
        <v>18.0</v>
      </c>
      <c r="AF760" s="1" t="s">
        <v>54</v>
      </c>
      <c r="AG760" s="1">
        <v>30.0</v>
      </c>
      <c r="AH760" s="1">
        <v>10.0</v>
      </c>
      <c r="AI760" s="1">
        <v>10.0</v>
      </c>
      <c r="AJ760" s="1">
        <v>20.0</v>
      </c>
      <c r="AK760" s="1">
        <v>20.0</v>
      </c>
      <c r="AL760" s="1">
        <v>188.0</v>
      </c>
      <c r="AM760" s="1" t="s">
        <v>55</v>
      </c>
      <c r="AN760" s="1" t="s">
        <v>55</v>
      </c>
      <c r="AO760" s="1" t="s">
        <v>55</v>
      </c>
      <c r="AP760" s="1" t="s">
        <v>2302</v>
      </c>
      <c r="AQ760" s="3" t="str">
        <f>HYPERLINK("https://icf.clappia.com/app/GMB253374/submission/WUA66582019/ICF247370-GMB253374-42b2cn3cn32400000000/SIG-20250630_13586eimk.jpeg", "SIG-20250630_13586eimk.jpeg")</f>
        <v>SIG-20250630_13586eimk.jpeg</v>
      </c>
      <c r="AR760" s="1" t="s">
        <v>2303</v>
      </c>
      <c r="AS760" s="3" t="str">
        <f>HYPERLINK("https://icf.clappia.com/app/GMB253374/submission/WUA66582019/ICF247370-GMB253374-34ime6aecgf600000000/SIG-20250630_1359kn19c.jpeg", "SIG-20250630_1359kn19c.jpeg")</f>
        <v>SIG-20250630_1359kn19c.jpeg</v>
      </c>
      <c r="AT760" s="1" t="s">
        <v>3803</v>
      </c>
      <c r="AU760" s="3" t="str">
        <f>HYPERLINK("https://icf.clappia.com/app/GMB253374/submission/WUA66582019/ICF247370-GMB253374-1mi17npin9ab20000000/SIG-20250630_1401c0fkb.jpeg", "SIG-20250630_1401c0fkb.jpeg")</f>
        <v>SIG-20250630_1401c0fkb.jpeg</v>
      </c>
      <c r="AV760" s="3" t="str">
        <f>HYPERLINK("https://www.google.com/maps/place/8.9860367%2C-11.979905", "8.9860367,-11.979905")</f>
        <v>8.9860367,-11.979905</v>
      </c>
    </row>
    <row r="761" ht="15.75" customHeight="1">
      <c r="A761" s="1" t="s">
        <v>3804</v>
      </c>
      <c r="B761" s="1" t="s">
        <v>356</v>
      </c>
      <c r="C761" s="1" t="s">
        <v>3805</v>
      </c>
      <c r="D761" s="1" t="s">
        <v>3805</v>
      </c>
      <c r="E761" s="1" t="s">
        <v>3806</v>
      </c>
      <c r="F761" s="1" t="s">
        <v>64</v>
      </c>
      <c r="G761" s="1">
        <v>215.0</v>
      </c>
      <c r="H761" s="1" t="s">
        <v>50</v>
      </c>
      <c r="I761" s="1">
        <v>90.0</v>
      </c>
      <c r="J761" s="1">
        <v>40.0</v>
      </c>
      <c r="K761" s="1">
        <v>40.0</v>
      </c>
      <c r="L761" s="1">
        <v>50.0</v>
      </c>
      <c r="M761" s="1">
        <v>50.0</v>
      </c>
      <c r="N761" s="1" t="s">
        <v>51</v>
      </c>
      <c r="O761" s="1">
        <v>46.0</v>
      </c>
      <c r="P761" s="1">
        <v>21.0</v>
      </c>
      <c r="Q761" s="1">
        <v>21.0</v>
      </c>
      <c r="R761" s="1">
        <v>25.0</v>
      </c>
      <c r="S761" s="1">
        <v>25.0</v>
      </c>
      <c r="T761" s="1" t="s">
        <v>52</v>
      </c>
      <c r="U761" s="1">
        <v>34.0</v>
      </c>
      <c r="V761" s="1">
        <v>14.0</v>
      </c>
      <c r="W761" s="1">
        <v>14.0</v>
      </c>
      <c r="X761" s="1">
        <v>20.0</v>
      </c>
      <c r="Y761" s="1">
        <v>20.0</v>
      </c>
      <c r="Z761" s="1" t="s">
        <v>53</v>
      </c>
      <c r="AA761" s="1">
        <v>24.0</v>
      </c>
      <c r="AB761" s="1">
        <v>14.0</v>
      </c>
      <c r="AC761" s="1">
        <v>14.0</v>
      </c>
      <c r="AD761" s="1">
        <v>10.0</v>
      </c>
      <c r="AE761" s="1">
        <v>10.0</v>
      </c>
      <c r="AF761" s="1" t="s">
        <v>54</v>
      </c>
      <c r="AG761" s="1">
        <v>21.0</v>
      </c>
      <c r="AH761" s="1">
        <v>11.0</v>
      </c>
      <c r="AI761" s="1">
        <v>11.0</v>
      </c>
      <c r="AJ761" s="1">
        <v>10.0</v>
      </c>
      <c r="AK761" s="1">
        <v>10.0</v>
      </c>
      <c r="AL761" s="1">
        <v>215.0</v>
      </c>
      <c r="AM761" s="1" t="s">
        <v>55</v>
      </c>
      <c r="AN761" s="1" t="s">
        <v>55</v>
      </c>
      <c r="AO761" s="1" t="s">
        <v>55</v>
      </c>
      <c r="AP761" s="1" t="s">
        <v>3807</v>
      </c>
      <c r="AQ761" s="3" t="str">
        <f>HYPERLINK("https://icf.clappia.com/app/GMB253374/submission/VXH83724778/ICF247370-GMB253374-43blckb3inm000000000/SIG-20250701_0945g4nh9.jpeg", "SIG-20250701_0945g4nh9.jpeg")</f>
        <v>SIG-20250701_0945g4nh9.jpeg</v>
      </c>
      <c r="AR761" s="1" t="s">
        <v>3808</v>
      </c>
      <c r="AS761" s="3" t="str">
        <f>HYPERLINK("https://icf.clappia.com/app/GMB253374/submission/VXH83724778/ICF247370-GMB253374-530gf90n8fae00000000/SIG-20250701_0946114273.jpeg", "SIG-20250701_0946114273.jpeg")</f>
        <v>SIG-20250701_0946114273.jpeg</v>
      </c>
      <c r="AT761" s="1" t="s">
        <v>3809</v>
      </c>
      <c r="AU761" s="3" t="str">
        <f>HYPERLINK("https://icf.clappia.com/app/GMB253374/submission/VXH83724778/ICF247370-GMB253374-3lep4cd544ao00000000/SIG-20250701_0949n2d2.jpeg", "SIG-20250701_0949n2d2.jpeg")</f>
        <v>SIG-20250701_0949n2d2.jpeg</v>
      </c>
      <c r="AV761" s="3" t="str">
        <f>HYPERLINK("https://www.google.com/maps/place/8.221205%2C-11.6552067", "8.221205,-11.6552067")</f>
        <v>8.221205,-11.6552067</v>
      </c>
    </row>
    <row r="762" ht="15.75" customHeight="1">
      <c r="A762" s="1" t="s">
        <v>3810</v>
      </c>
      <c r="B762" s="1" t="s">
        <v>81</v>
      </c>
      <c r="C762" s="1" t="s">
        <v>3811</v>
      </c>
      <c r="D762" s="1" t="s">
        <v>3811</v>
      </c>
      <c r="E762" s="1" t="s">
        <v>3812</v>
      </c>
      <c r="F762" s="1" t="s">
        <v>64</v>
      </c>
      <c r="G762" s="1">
        <v>119.0</v>
      </c>
      <c r="H762" s="1" t="s">
        <v>50</v>
      </c>
      <c r="I762" s="1">
        <v>99.0</v>
      </c>
      <c r="J762" s="1">
        <v>43.0</v>
      </c>
      <c r="K762" s="1">
        <v>21.0</v>
      </c>
      <c r="L762" s="1">
        <v>56.0</v>
      </c>
      <c r="M762" s="1">
        <v>25.0</v>
      </c>
      <c r="N762" s="1" t="s">
        <v>51</v>
      </c>
      <c r="O762" s="1">
        <v>48.0</v>
      </c>
      <c r="P762" s="1">
        <v>25.0</v>
      </c>
      <c r="Q762" s="1">
        <v>14.0</v>
      </c>
      <c r="R762" s="1">
        <v>23.0</v>
      </c>
      <c r="S762" s="1">
        <v>15.0</v>
      </c>
      <c r="T762" s="1" t="s">
        <v>52</v>
      </c>
      <c r="U762" s="1">
        <v>72.0</v>
      </c>
      <c r="V762" s="1">
        <v>30.0</v>
      </c>
      <c r="W762" s="1">
        <v>13.0</v>
      </c>
      <c r="X762" s="1">
        <v>42.0</v>
      </c>
      <c r="Y762" s="1">
        <v>13.0</v>
      </c>
      <c r="Z762" s="1" t="s">
        <v>53</v>
      </c>
      <c r="AA762" s="1">
        <v>60.0</v>
      </c>
      <c r="AB762" s="1">
        <v>24.0</v>
      </c>
      <c r="AC762" s="1">
        <v>9.0</v>
      </c>
      <c r="AD762" s="1">
        <v>36.0</v>
      </c>
      <c r="AE762" s="1">
        <v>9.0</v>
      </c>
      <c r="AF762" s="1" t="s">
        <v>54</v>
      </c>
      <c r="AG762" s="1" t="s">
        <v>55</v>
      </c>
      <c r="AH762" s="1" t="s">
        <v>55</v>
      </c>
      <c r="AI762" s="1" t="s">
        <v>55</v>
      </c>
      <c r="AJ762" s="1" t="s">
        <v>55</v>
      </c>
      <c r="AK762" s="1" t="s">
        <v>55</v>
      </c>
      <c r="AL762" s="1">
        <v>119.0</v>
      </c>
      <c r="AM762" s="1" t="s">
        <v>55</v>
      </c>
      <c r="AN762" s="1" t="s">
        <v>55</v>
      </c>
      <c r="AO762" s="1" t="s">
        <v>55</v>
      </c>
      <c r="AP762" s="1" t="s">
        <v>1496</v>
      </c>
      <c r="AQ762" s="3" t="str">
        <f>HYPERLINK("https://icf.clappia.com/app/GMB253374/submission/URD92346918/ICF247370-GMB253374-4a4o5am4l83c00000000/SIG-20250701_0927o4i3j.jpeg", "SIG-20250701_0927o4i3j.jpeg")</f>
        <v>SIG-20250701_0927o4i3j.jpeg</v>
      </c>
      <c r="AR762" s="1" t="s">
        <v>1497</v>
      </c>
      <c r="AS762" s="3" t="str">
        <f>HYPERLINK("https://icf.clappia.com/app/GMB253374/submission/URD92346918/ICF247370-GMB253374-koigejipaf6o0000000/SIG-20250701_0928g4oij.jpeg", "SIG-20250701_0928g4oij.jpeg")</f>
        <v>SIG-20250701_0928g4oij.jpeg</v>
      </c>
      <c r="AT762" s="1" t="s">
        <v>1498</v>
      </c>
      <c r="AU762" s="3" t="str">
        <f>HYPERLINK("https://icf.clappia.com/app/GMB253374/submission/URD92346918/ICF247370-GMB253374-3kdl6ioga83600000000/SIG-20250701_0930179426.jpeg", "SIG-20250701_0930179426.jpeg")</f>
        <v>SIG-20250701_0930179426.jpeg</v>
      </c>
      <c r="AV762" s="3" t="str">
        <f>HYPERLINK("https://www.google.com/maps/place/7.9736582%2C-11.7205297", "7.9736582,-11.7205297")</f>
        <v>7.9736582,-11.7205297</v>
      </c>
    </row>
    <row r="763" ht="15.75" customHeight="1">
      <c r="A763" s="1" t="s">
        <v>3813</v>
      </c>
      <c r="B763" s="1" t="s">
        <v>189</v>
      </c>
      <c r="C763" s="1" t="s">
        <v>3814</v>
      </c>
      <c r="D763" s="1" t="s">
        <v>3814</v>
      </c>
      <c r="E763" s="1" t="s">
        <v>3815</v>
      </c>
      <c r="F763" s="1" t="s">
        <v>49</v>
      </c>
      <c r="G763" s="1">
        <v>200.0</v>
      </c>
      <c r="H763" s="1" t="s">
        <v>50</v>
      </c>
      <c r="I763" s="1">
        <v>50.0</v>
      </c>
      <c r="J763" s="1">
        <v>27.0</v>
      </c>
      <c r="K763" s="1">
        <v>27.0</v>
      </c>
      <c r="L763" s="1">
        <v>23.0</v>
      </c>
      <c r="M763" s="1">
        <v>23.0</v>
      </c>
      <c r="N763" s="1" t="s">
        <v>51</v>
      </c>
      <c r="O763" s="1">
        <v>56.0</v>
      </c>
      <c r="P763" s="1">
        <v>23.0</v>
      </c>
      <c r="Q763" s="1">
        <v>23.0</v>
      </c>
      <c r="R763" s="1">
        <v>32.0</v>
      </c>
      <c r="S763" s="1">
        <v>32.0</v>
      </c>
      <c r="T763" s="1" t="s">
        <v>52</v>
      </c>
      <c r="U763" s="1">
        <v>27.0</v>
      </c>
      <c r="V763" s="1">
        <v>12.0</v>
      </c>
      <c r="W763" s="1">
        <v>12.0</v>
      </c>
      <c r="X763" s="1">
        <v>15.0</v>
      </c>
      <c r="Y763" s="1">
        <v>15.0</v>
      </c>
      <c r="Z763" s="1" t="s">
        <v>53</v>
      </c>
      <c r="AA763" s="1">
        <v>20.0</v>
      </c>
      <c r="AB763" s="1">
        <v>11.0</v>
      </c>
      <c r="AC763" s="1">
        <v>11.0</v>
      </c>
      <c r="AD763" s="1">
        <v>9.0</v>
      </c>
      <c r="AE763" s="1">
        <v>9.0</v>
      </c>
      <c r="AF763" s="1" t="s">
        <v>54</v>
      </c>
      <c r="AG763" s="1">
        <v>17.0</v>
      </c>
      <c r="AH763" s="1">
        <v>6.0</v>
      </c>
      <c r="AI763" s="1">
        <v>6.0</v>
      </c>
      <c r="AJ763" s="1">
        <v>11.0</v>
      </c>
      <c r="AK763" s="1">
        <v>11.0</v>
      </c>
      <c r="AL763" s="1">
        <v>169.0</v>
      </c>
      <c r="AM763" s="1" t="s">
        <v>55</v>
      </c>
      <c r="AN763" s="1">
        <v>31.0</v>
      </c>
      <c r="AO763" s="1">
        <v>31.0</v>
      </c>
      <c r="AP763" s="1" t="s">
        <v>3816</v>
      </c>
      <c r="AQ763" s="3" t="str">
        <f>HYPERLINK("https://icf.clappia.com/app/GMB253374/submission/BZJ18681722/ICF247370-GMB253374-48gp6p0ifi8g00000000/SIG-20250701_0926ladb8.jpeg", "SIG-20250701_0926ladb8.jpeg")</f>
        <v>SIG-20250701_0926ladb8.jpeg</v>
      </c>
      <c r="AR763" s="1" t="s">
        <v>3817</v>
      </c>
      <c r="AS763" s="3" t="str">
        <f>HYPERLINK("https://icf.clappia.com/app/GMB253374/submission/BZJ18681722/ICF247370-GMB253374-112k23o71dgk00000000/SIG-20250701_092712aggl.jpeg", "SIG-20250701_092712aggl.jpeg")</f>
        <v>SIG-20250701_092712aggl.jpeg</v>
      </c>
      <c r="AT763" s="1" t="s">
        <v>3818</v>
      </c>
      <c r="AU763" s="3" t="str">
        <f>HYPERLINK("https://icf.clappia.com/app/GMB253374/submission/BZJ18681722/ICF247370-GMB253374-4pi3oc4pe5kg00000000/SIG-20250701_092717km62.jpeg", "SIG-20250701_092717km62.jpeg")</f>
        <v>SIG-20250701_092717km62.jpeg</v>
      </c>
      <c r="AV763" s="3" t="str">
        <f>HYPERLINK("https://www.google.com/maps/place/8.8887767%2C-12.03708", "8.8887767,-12.03708")</f>
        <v>8.8887767,-12.03708</v>
      </c>
    </row>
    <row r="764" ht="15.75" customHeight="1">
      <c r="A764" s="1" t="s">
        <v>3819</v>
      </c>
      <c r="B764" s="1" t="s">
        <v>81</v>
      </c>
      <c r="C764" s="1" t="s">
        <v>3820</v>
      </c>
      <c r="D764" s="1" t="s">
        <v>3820</v>
      </c>
      <c r="E764" s="1" t="s">
        <v>3821</v>
      </c>
      <c r="F764" s="1" t="s">
        <v>64</v>
      </c>
      <c r="G764" s="1">
        <v>100.0</v>
      </c>
      <c r="H764" s="1" t="s">
        <v>50</v>
      </c>
      <c r="I764" s="1">
        <v>49.0</v>
      </c>
      <c r="J764" s="1">
        <v>18.0</v>
      </c>
      <c r="K764" s="1">
        <v>8.0</v>
      </c>
      <c r="L764" s="1">
        <v>31.0</v>
      </c>
      <c r="M764" s="1">
        <v>21.0</v>
      </c>
      <c r="N764" s="1" t="s">
        <v>51</v>
      </c>
      <c r="O764" s="1">
        <v>48.0</v>
      </c>
      <c r="P764" s="1">
        <v>26.0</v>
      </c>
      <c r="Q764" s="1">
        <v>14.0</v>
      </c>
      <c r="R764" s="1">
        <v>22.0</v>
      </c>
      <c r="S764" s="1">
        <v>18.0</v>
      </c>
      <c r="T764" s="1" t="s">
        <v>52</v>
      </c>
      <c r="U764" s="1">
        <v>57.0</v>
      </c>
      <c r="V764" s="1">
        <v>24.0</v>
      </c>
      <c r="W764" s="1">
        <v>18.0</v>
      </c>
      <c r="X764" s="1">
        <v>33.0</v>
      </c>
      <c r="Y764" s="1">
        <v>21.0</v>
      </c>
      <c r="Z764" s="1" t="s">
        <v>53</v>
      </c>
      <c r="AA764" s="1">
        <v>45.0</v>
      </c>
      <c r="AB764" s="1">
        <v>15.0</v>
      </c>
      <c r="AC764" s="1" t="s">
        <v>55</v>
      </c>
      <c r="AD764" s="1">
        <v>30.0</v>
      </c>
      <c r="AE764" s="1" t="s">
        <v>55</v>
      </c>
      <c r="AF764" s="1" t="s">
        <v>54</v>
      </c>
      <c r="AG764" s="1">
        <v>52.0</v>
      </c>
      <c r="AH764" s="1">
        <v>18.0</v>
      </c>
      <c r="AI764" s="1" t="s">
        <v>55</v>
      </c>
      <c r="AJ764" s="1">
        <v>34.0</v>
      </c>
      <c r="AK764" s="1" t="s">
        <v>55</v>
      </c>
      <c r="AL764" s="1">
        <v>100.0</v>
      </c>
      <c r="AM764" s="1" t="s">
        <v>55</v>
      </c>
      <c r="AN764" s="1" t="s">
        <v>55</v>
      </c>
      <c r="AO764" s="1" t="s">
        <v>55</v>
      </c>
      <c r="AP764" s="1" t="s">
        <v>3822</v>
      </c>
      <c r="AQ764" s="3" t="str">
        <f>HYPERLINK("https://icf.clappia.com/app/GMB253374/submission/YHR18484705/ICF247370-GMB253374-1bc55mmf98ohm0000000/SIG-20250630_1149iccnb.jpeg", "SIG-20250630_1149iccnb.jpeg")</f>
        <v>SIG-20250630_1149iccnb.jpeg</v>
      </c>
      <c r="AR764" s="1" t="s">
        <v>1194</v>
      </c>
      <c r="AS764" s="3" t="str">
        <f>HYPERLINK("https://icf.clappia.com/app/GMB253374/submission/YHR18484705/ICF247370-GMB253374-6689nbbpm3oc00000000/SIG-20250630_115119ibnj.jpeg", "SIG-20250630_115119ibnj.jpeg")</f>
        <v>SIG-20250630_115119ibnj.jpeg</v>
      </c>
      <c r="AT764" s="1" t="s">
        <v>3823</v>
      </c>
      <c r="AU764" s="3" t="str">
        <f>HYPERLINK("https://icf.clappia.com/app/GMB253374/submission/YHR18484705/ICF247370-GMB253374-5ojfj2hdggck00000000/SIG-20250630_120084a2b.jpeg", "SIG-20250630_120084a2b.jpeg")</f>
        <v>SIG-20250630_120084a2b.jpeg</v>
      </c>
      <c r="AV764" s="3" t="str">
        <f>HYPERLINK("https://www.google.com/maps/place/7.9471267%2C-11.720645", "7.9471267,-11.720645")</f>
        <v>7.9471267,-11.720645</v>
      </c>
    </row>
    <row r="765" ht="15.75" customHeight="1">
      <c r="A765" s="1" t="s">
        <v>3824</v>
      </c>
      <c r="B765" s="1" t="s">
        <v>167</v>
      </c>
      <c r="C765" s="1" t="s">
        <v>3825</v>
      </c>
      <c r="D765" s="1" t="s">
        <v>3825</v>
      </c>
      <c r="E765" s="1" t="s">
        <v>3826</v>
      </c>
      <c r="F765" s="1" t="s">
        <v>49</v>
      </c>
      <c r="G765" s="1">
        <v>234.0</v>
      </c>
      <c r="H765" s="1" t="s">
        <v>50</v>
      </c>
      <c r="I765" s="1">
        <v>50.0</v>
      </c>
      <c r="J765" s="1">
        <v>20.0</v>
      </c>
      <c r="K765" s="1">
        <v>20.0</v>
      </c>
      <c r="L765" s="1">
        <v>30.0</v>
      </c>
      <c r="M765" s="1">
        <v>30.0</v>
      </c>
      <c r="N765" s="1" t="s">
        <v>51</v>
      </c>
      <c r="O765" s="1">
        <v>50.0</v>
      </c>
      <c r="P765" s="1">
        <v>30.0</v>
      </c>
      <c r="Q765" s="1">
        <v>30.0</v>
      </c>
      <c r="R765" s="1">
        <v>20.0</v>
      </c>
      <c r="S765" s="1">
        <v>20.0</v>
      </c>
      <c r="T765" s="1" t="s">
        <v>52</v>
      </c>
      <c r="U765" s="1">
        <v>50.0</v>
      </c>
      <c r="V765" s="1">
        <v>15.0</v>
      </c>
      <c r="W765" s="1">
        <v>15.0</v>
      </c>
      <c r="X765" s="1">
        <v>35.0</v>
      </c>
      <c r="Y765" s="1">
        <v>35.0</v>
      </c>
      <c r="Z765" s="1" t="s">
        <v>53</v>
      </c>
      <c r="AA765" s="1">
        <v>42.0</v>
      </c>
      <c r="AB765" s="1">
        <v>17.0</v>
      </c>
      <c r="AC765" s="1">
        <v>17.0</v>
      </c>
      <c r="AD765" s="1">
        <v>25.0</v>
      </c>
      <c r="AE765" s="1">
        <v>25.0</v>
      </c>
      <c r="AF765" s="1" t="s">
        <v>54</v>
      </c>
      <c r="AG765" s="1">
        <v>42.0</v>
      </c>
      <c r="AH765" s="1">
        <v>12.0</v>
      </c>
      <c r="AI765" s="1">
        <v>12.0</v>
      </c>
      <c r="AJ765" s="1">
        <v>30.0</v>
      </c>
      <c r="AK765" s="1">
        <v>30.0</v>
      </c>
      <c r="AL765" s="1">
        <v>234.0</v>
      </c>
      <c r="AM765" s="1" t="s">
        <v>55</v>
      </c>
      <c r="AN765" s="1" t="s">
        <v>55</v>
      </c>
      <c r="AO765" s="1" t="s">
        <v>55</v>
      </c>
      <c r="AP765" s="1" t="s">
        <v>1288</v>
      </c>
      <c r="AQ765" s="3" t="str">
        <f>HYPERLINK("https://icf.clappia.com/app/GMB253374/submission/USE08551012/ICF247370-GMB253374-51h45g86mlg000000000/SIG-20250701_0849ofo84.jpeg", "SIG-20250701_0849ofo84.jpeg")</f>
        <v>SIG-20250701_0849ofo84.jpeg</v>
      </c>
      <c r="AR765" s="1" t="s">
        <v>2513</v>
      </c>
      <c r="AS765" s="3" t="str">
        <f>HYPERLINK("https://icf.clappia.com/app/GMB253374/submission/USE08551012/ICF247370-GMB253374-3op62c7ma84i00000000/SIG-20250701_08501af4go.jpeg", "SIG-20250701_08501af4go.jpeg")</f>
        <v>SIG-20250701_08501af4go.jpeg</v>
      </c>
      <c r="AT765" s="1" t="s">
        <v>1290</v>
      </c>
      <c r="AU765" s="3" t="str">
        <f>HYPERLINK("https://icf.clappia.com/app/GMB253374/submission/USE08551012/ICF247370-GMB253374-39ca046k9jpg00000000/SIG-20250701_0850o500n.jpeg", "SIG-20250701_0850o500n.jpeg")</f>
        <v>SIG-20250701_0850o500n.jpeg</v>
      </c>
      <c r="AV765" s="3" t="str">
        <f>HYPERLINK("https://www.google.com/maps/place/7.9600733%2C-11.7725033", "7.9600733,-11.7725033")</f>
        <v>7.9600733,-11.7725033</v>
      </c>
    </row>
    <row r="766" ht="15.75" customHeight="1">
      <c r="A766" s="1" t="s">
        <v>3827</v>
      </c>
      <c r="B766" s="1" t="s">
        <v>155</v>
      </c>
      <c r="C766" s="1" t="s">
        <v>644</v>
      </c>
      <c r="D766" s="1" t="s">
        <v>3828</v>
      </c>
      <c r="E766" s="1" t="s">
        <v>3829</v>
      </c>
      <c r="F766" s="1" t="s">
        <v>64</v>
      </c>
      <c r="G766" s="1">
        <v>250.0</v>
      </c>
      <c r="H766" s="1" t="s">
        <v>50</v>
      </c>
      <c r="I766" s="1">
        <v>57.0</v>
      </c>
      <c r="J766" s="1">
        <v>29.0</v>
      </c>
      <c r="K766" s="1">
        <v>29.0</v>
      </c>
      <c r="L766" s="1">
        <v>27.0</v>
      </c>
      <c r="M766" s="1">
        <v>27.0</v>
      </c>
      <c r="N766" s="1" t="s">
        <v>51</v>
      </c>
      <c r="O766" s="1">
        <v>32.0</v>
      </c>
      <c r="P766" s="1">
        <v>15.0</v>
      </c>
      <c r="Q766" s="1">
        <v>15.0</v>
      </c>
      <c r="R766" s="1">
        <v>17.0</v>
      </c>
      <c r="S766" s="1">
        <v>17.0</v>
      </c>
      <c r="T766" s="1" t="s">
        <v>52</v>
      </c>
      <c r="U766" s="1">
        <v>34.0</v>
      </c>
      <c r="V766" s="1">
        <v>15.0</v>
      </c>
      <c r="W766" s="1">
        <v>15.0</v>
      </c>
      <c r="X766" s="1">
        <v>19.0</v>
      </c>
      <c r="Y766" s="1">
        <v>19.0</v>
      </c>
      <c r="Z766" s="1" t="s">
        <v>53</v>
      </c>
      <c r="AA766" s="1">
        <v>29.0</v>
      </c>
      <c r="AB766" s="1">
        <v>1.0</v>
      </c>
      <c r="AC766" s="1">
        <v>1.0</v>
      </c>
      <c r="AD766" s="1">
        <v>28.0</v>
      </c>
      <c r="AE766" s="1">
        <v>28.0</v>
      </c>
      <c r="AF766" s="1" t="s">
        <v>54</v>
      </c>
      <c r="AG766" s="1">
        <v>32.0</v>
      </c>
      <c r="AH766" s="1">
        <v>3.0</v>
      </c>
      <c r="AI766" s="1">
        <v>3.0</v>
      </c>
      <c r="AJ766" s="1">
        <v>29.0</v>
      </c>
      <c r="AK766" s="1">
        <v>29.0</v>
      </c>
      <c r="AL766" s="1">
        <v>183.0</v>
      </c>
      <c r="AM766" s="1" t="s">
        <v>55</v>
      </c>
      <c r="AN766" s="1">
        <v>67.0</v>
      </c>
      <c r="AO766" s="1">
        <v>67.0</v>
      </c>
      <c r="AP766" s="1" t="s">
        <v>3003</v>
      </c>
      <c r="AQ766" s="3" t="str">
        <f>HYPERLINK("https://icf.clappia.com/app/GMB253374/submission/KKG78096800/ICF247370-GMB253374-4lh59j08gnk000000000/SIG-20250630_1419gene7.jpeg", "SIG-20250630_1419gene7.jpeg")</f>
        <v>SIG-20250630_1419gene7.jpeg</v>
      </c>
      <c r="AR766" s="1" t="s">
        <v>3005</v>
      </c>
      <c r="AS766" s="3" t="str">
        <f>HYPERLINK("https://icf.clappia.com/app/GMB253374/submission/KKG78096800/ICF247370-GMB253374-1a3cnc434i9be0000000/SIG-20250630_1412f42m2.jpeg", "SIG-20250630_1412f42m2.jpeg")</f>
        <v>SIG-20250630_1412f42m2.jpeg</v>
      </c>
      <c r="AT766" s="1" t="s">
        <v>3003</v>
      </c>
      <c r="AU766" s="3" t="str">
        <f>HYPERLINK("https://icf.clappia.com/app/GMB253374/submission/KKG78096800/ICF247370-GMB253374-3gp31d05elkg00000000/SIG-20250630_14189hmbh.jpeg", "SIG-20250630_14189hmbh.jpeg")</f>
        <v>SIG-20250630_14189hmbh.jpeg</v>
      </c>
      <c r="AV766" s="3" t="str">
        <f>HYPERLINK("https://www.google.com/maps/place/8.7802017%2C-11.953635", "8.7802017,-11.953635")</f>
        <v>8.7802017,-11.953635</v>
      </c>
    </row>
    <row r="767" ht="15.75" customHeight="1">
      <c r="A767" s="1" t="s">
        <v>3830</v>
      </c>
      <c r="B767" s="1" t="s">
        <v>802</v>
      </c>
      <c r="C767" s="1" t="s">
        <v>3831</v>
      </c>
      <c r="D767" s="1" t="s">
        <v>3832</v>
      </c>
      <c r="E767" s="1" t="s">
        <v>3833</v>
      </c>
      <c r="F767" s="1" t="s">
        <v>64</v>
      </c>
      <c r="G767" s="1">
        <v>171.0</v>
      </c>
      <c r="H767" s="1" t="s">
        <v>50</v>
      </c>
      <c r="I767" s="1">
        <v>36.0</v>
      </c>
      <c r="J767" s="1">
        <v>15.0</v>
      </c>
      <c r="K767" s="1">
        <v>15.0</v>
      </c>
      <c r="L767" s="1">
        <v>21.0</v>
      </c>
      <c r="M767" s="1">
        <v>21.0</v>
      </c>
      <c r="N767" s="1" t="s">
        <v>51</v>
      </c>
      <c r="O767" s="1">
        <v>20.0</v>
      </c>
      <c r="P767" s="1">
        <v>11.0</v>
      </c>
      <c r="Q767" s="1">
        <v>11.0</v>
      </c>
      <c r="R767" s="1">
        <v>9.0</v>
      </c>
      <c r="S767" s="1">
        <v>9.0</v>
      </c>
      <c r="T767" s="1" t="s">
        <v>52</v>
      </c>
      <c r="U767" s="1">
        <v>27.0</v>
      </c>
      <c r="V767" s="1">
        <v>14.0</v>
      </c>
      <c r="W767" s="1">
        <v>14.0</v>
      </c>
      <c r="X767" s="1">
        <v>13.0</v>
      </c>
      <c r="Y767" s="1">
        <v>13.0</v>
      </c>
      <c r="Z767" s="1" t="s">
        <v>53</v>
      </c>
      <c r="AA767" s="1">
        <v>56.0</v>
      </c>
      <c r="AB767" s="1">
        <v>26.0</v>
      </c>
      <c r="AC767" s="1">
        <v>26.0</v>
      </c>
      <c r="AD767" s="1">
        <v>30.0</v>
      </c>
      <c r="AE767" s="1">
        <v>30.0</v>
      </c>
      <c r="AF767" s="1" t="s">
        <v>54</v>
      </c>
      <c r="AG767" s="1">
        <v>32.0</v>
      </c>
      <c r="AH767" s="1">
        <v>12.0</v>
      </c>
      <c r="AI767" s="1">
        <v>12.0</v>
      </c>
      <c r="AJ767" s="1">
        <v>20.0</v>
      </c>
      <c r="AK767" s="1">
        <v>20.0</v>
      </c>
      <c r="AL767" s="1">
        <v>171.0</v>
      </c>
      <c r="AM767" s="1" t="s">
        <v>55</v>
      </c>
      <c r="AN767" s="1" t="s">
        <v>55</v>
      </c>
      <c r="AO767" s="1" t="s">
        <v>55</v>
      </c>
      <c r="AP767" s="1">
        <v>1.0</v>
      </c>
      <c r="AQ767" s="3" t="str">
        <f>HYPERLINK("https://icf.clappia.com/app/GMB253374/submission/WMK85435294/ICF247370-GMB253374-5gdh11b84i8g00000000/SIG-20250630_12281a9a4b.jpeg", "SIG-20250630_12281a9a4b.jpeg")</f>
        <v>SIG-20250630_12281a9a4b.jpeg</v>
      </c>
      <c r="AR767" s="1" t="s">
        <v>55</v>
      </c>
      <c r="AS767" s="3" t="str">
        <f>HYPERLINK("https://icf.clappia.com/app/GMB253374/submission/WMK85435294/ICF247370-GMB253374-5oacfe3hi7oo00000000/SIG-20250630_1228eak76.jpeg", "SIG-20250630_1228eak76.jpeg")</f>
        <v>SIG-20250630_1228eak76.jpeg</v>
      </c>
      <c r="AT767" s="1" t="s">
        <v>55</v>
      </c>
      <c r="AU767" s="3" t="str">
        <f>HYPERLINK("https://icf.clappia.com/app/GMB253374/submission/WMK85435294/ICF247370-GMB253374-17i4da6lnf45m0000000/SIG-20250630_1229loo5c.jpeg", "SIG-20250630_1229loo5c.jpeg")</f>
        <v>SIG-20250630_1229loo5c.jpeg</v>
      </c>
      <c r="AV767" s="3" t="str">
        <f>HYPERLINK("https://www.google.com/maps/place/7.744875%2C-11.44933", "7.744875,-11.44933")</f>
        <v>7.744875,-11.44933</v>
      </c>
    </row>
    <row r="768" ht="15.75" customHeight="1">
      <c r="A768" s="1" t="s">
        <v>3834</v>
      </c>
      <c r="B768" s="1" t="s">
        <v>142</v>
      </c>
      <c r="C768" s="1" t="s">
        <v>3835</v>
      </c>
      <c r="D768" s="1" t="s">
        <v>3836</v>
      </c>
      <c r="E768" s="1" t="s">
        <v>3837</v>
      </c>
      <c r="F768" s="1" t="s">
        <v>64</v>
      </c>
      <c r="G768" s="1">
        <v>155.0</v>
      </c>
      <c r="H768" s="1" t="s">
        <v>50</v>
      </c>
      <c r="I768" s="1">
        <v>52.0</v>
      </c>
      <c r="J768" s="1">
        <v>21.0</v>
      </c>
      <c r="K768" s="1">
        <v>15.0</v>
      </c>
      <c r="L768" s="1">
        <v>31.0</v>
      </c>
      <c r="M768" s="1">
        <v>16.0</v>
      </c>
      <c r="N768" s="1" t="s">
        <v>51</v>
      </c>
      <c r="O768" s="1">
        <v>39.0</v>
      </c>
      <c r="P768" s="1">
        <v>15.0</v>
      </c>
      <c r="Q768" s="1">
        <v>8.0</v>
      </c>
      <c r="R768" s="1">
        <v>24.0</v>
      </c>
      <c r="S768" s="1">
        <v>19.0</v>
      </c>
      <c r="T768" s="1" t="s">
        <v>52</v>
      </c>
      <c r="U768" s="1">
        <v>34.0</v>
      </c>
      <c r="V768" s="1">
        <v>22.0</v>
      </c>
      <c r="W768" s="1">
        <v>21.0</v>
      </c>
      <c r="X768" s="1">
        <v>12.0</v>
      </c>
      <c r="Y768" s="1">
        <v>11.0</v>
      </c>
      <c r="Z768" s="1" t="s">
        <v>53</v>
      </c>
      <c r="AA768" s="1">
        <v>29.0</v>
      </c>
      <c r="AB768" s="1">
        <v>16.0</v>
      </c>
      <c r="AC768" s="1">
        <v>16.0</v>
      </c>
      <c r="AD768" s="1">
        <v>13.0</v>
      </c>
      <c r="AE768" s="1">
        <v>13.0</v>
      </c>
      <c r="AF768" s="1" t="s">
        <v>54</v>
      </c>
      <c r="AG768" s="1">
        <v>31.0</v>
      </c>
      <c r="AH768" s="1">
        <v>16.0</v>
      </c>
      <c r="AI768" s="1">
        <v>15.0</v>
      </c>
      <c r="AJ768" s="1">
        <v>15.0</v>
      </c>
      <c r="AK768" s="1">
        <v>15.0</v>
      </c>
      <c r="AL768" s="1">
        <v>149.0</v>
      </c>
      <c r="AM768" s="1" t="s">
        <v>55</v>
      </c>
      <c r="AN768" s="1">
        <v>6.0</v>
      </c>
      <c r="AO768" s="1">
        <v>6.0</v>
      </c>
      <c r="AP768" s="1" t="s">
        <v>3838</v>
      </c>
      <c r="AQ768" s="3" t="str">
        <f>HYPERLINK("https://icf.clappia.com/app/GMB253374/submission/ICQ11049008/ICF247370-GMB253374-5pomj8fd18go00000000/SIG-20250630_13194klfi.jpeg", "SIG-20250630_13194klfi.jpeg")</f>
        <v>SIG-20250630_13194klfi.jpeg</v>
      </c>
      <c r="AR768" s="1" t="s">
        <v>3839</v>
      </c>
      <c r="AS768" s="3" t="str">
        <f>HYPERLINK("https://icf.clappia.com/app/GMB253374/submission/ICQ11049008/ICF247370-GMB253374-1j54jibjm49ke0000000/SIG-20250630_1320116lff.jpeg", "SIG-20250630_1320116lff.jpeg")</f>
        <v>SIG-20250630_1320116lff.jpeg</v>
      </c>
      <c r="AT768" s="1" t="s">
        <v>3840</v>
      </c>
      <c r="AU768" s="3" t="str">
        <f>HYPERLINK("https://icf.clappia.com/app/GMB253374/submission/ICQ11049008/ICF247370-GMB253374-5l9ciefp6jck00000000/SIG-20250630_1321168faf.jpeg", "SIG-20250630_1321168faf.jpeg")</f>
        <v>SIG-20250630_1321168faf.jpeg</v>
      </c>
      <c r="AV768" s="3" t="str">
        <f>HYPERLINK("https://www.google.com/maps/place/7.72353%2C-12.0376167", "7.72353,-12.0376167")</f>
        <v>7.72353,-12.0376167</v>
      </c>
    </row>
    <row r="769" ht="15.75" customHeight="1">
      <c r="A769" s="1" t="s">
        <v>3841</v>
      </c>
      <c r="B769" s="1" t="s">
        <v>167</v>
      </c>
      <c r="C769" s="1" t="s">
        <v>3842</v>
      </c>
      <c r="D769" s="1" t="s">
        <v>3843</v>
      </c>
      <c r="E769" s="1" t="s">
        <v>3844</v>
      </c>
      <c r="F769" s="1" t="s">
        <v>64</v>
      </c>
      <c r="G769" s="1">
        <v>208.0</v>
      </c>
      <c r="H769" s="1" t="s">
        <v>50</v>
      </c>
      <c r="I769" s="1">
        <v>35.0</v>
      </c>
      <c r="J769" s="1">
        <v>17.0</v>
      </c>
      <c r="K769" s="1">
        <v>17.0</v>
      </c>
      <c r="L769" s="1">
        <v>18.0</v>
      </c>
      <c r="M769" s="1">
        <v>18.0</v>
      </c>
      <c r="N769" s="1" t="s">
        <v>51</v>
      </c>
      <c r="O769" s="1">
        <v>27.0</v>
      </c>
      <c r="P769" s="1">
        <v>15.0</v>
      </c>
      <c r="Q769" s="1">
        <v>15.0</v>
      </c>
      <c r="R769" s="1">
        <v>12.0</v>
      </c>
      <c r="S769" s="1">
        <v>12.0</v>
      </c>
      <c r="T769" s="1" t="s">
        <v>52</v>
      </c>
      <c r="U769" s="1">
        <v>25.0</v>
      </c>
      <c r="V769" s="1">
        <v>11.0</v>
      </c>
      <c r="W769" s="1">
        <v>11.0</v>
      </c>
      <c r="X769" s="1">
        <v>14.0</v>
      </c>
      <c r="Y769" s="1">
        <v>14.0</v>
      </c>
      <c r="Z769" s="1" t="s">
        <v>53</v>
      </c>
      <c r="AA769" s="1">
        <v>26.0</v>
      </c>
      <c r="AB769" s="1">
        <v>10.0</v>
      </c>
      <c r="AC769" s="1">
        <v>10.0</v>
      </c>
      <c r="AD769" s="1">
        <v>16.0</v>
      </c>
      <c r="AE769" s="1">
        <v>16.0</v>
      </c>
      <c r="AF769" s="1" t="s">
        <v>54</v>
      </c>
      <c r="AG769" s="1">
        <v>22.0</v>
      </c>
      <c r="AH769" s="1">
        <v>12.0</v>
      </c>
      <c r="AI769" s="1">
        <v>12.0</v>
      </c>
      <c r="AJ769" s="1">
        <v>10.0</v>
      </c>
      <c r="AK769" s="1">
        <v>10.0</v>
      </c>
      <c r="AL769" s="1">
        <v>135.0</v>
      </c>
      <c r="AM769" s="1">
        <v>10.0</v>
      </c>
      <c r="AN769" s="1">
        <v>63.0</v>
      </c>
      <c r="AO769" s="1">
        <v>63.0</v>
      </c>
      <c r="AP769" s="1" t="s">
        <v>1579</v>
      </c>
      <c r="AQ769" s="3" t="str">
        <f>HYPERLINK("https://icf.clappia.com/app/GMB253374/submission/NOQ91683801/ICF247370-GMB253374-5hhlhdofa50o00000000/SIG-20250630_14341029cp.jpeg", "SIG-20250630_14341029cp.jpeg")</f>
        <v>SIG-20250630_14341029cp.jpeg</v>
      </c>
      <c r="AR769" s="1" t="s">
        <v>1581</v>
      </c>
      <c r="AS769" s="3" t="str">
        <f>HYPERLINK("https://icf.clappia.com/app/GMB253374/submission/NOQ91683801/ICF247370-GMB253374-2ei70jf9ed5o00000000/SIG-20250630_14359i087.jpeg", "SIG-20250630_14359i087.jpeg")</f>
        <v>SIG-20250630_14359i087.jpeg</v>
      </c>
      <c r="AT769" s="1" t="s">
        <v>1568</v>
      </c>
      <c r="AU769" s="3" t="str">
        <f>HYPERLINK("https://icf.clappia.com/app/GMB253374/submission/NOQ91683801/ICF247370-GMB253374-56a9g4l3fceo00000000/SIG-20250630_143816omh0.jpeg", "SIG-20250630_143816omh0.jpeg")</f>
        <v>SIG-20250630_143816omh0.jpeg</v>
      </c>
      <c r="AV769" s="3" t="str">
        <f>HYPERLINK("https://www.google.com/maps/place/7.8665322%2C-11.7494192", "7.8665322,-11.7494192")</f>
        <v>7.8665322,-11.7494192</v>
      </c>
    </row>
    <row r="770" ht="15.75" customHeight="1">
      <c r="A770" s="1" t="s">
        <v>3845</v>
      </c>
      <c r="B770" s="1" t="s">
        <v>2054</v>
      </c>
      <c r="C770" s="1" t="s">
        <v>3846</v>
      </c>
      <c r="D770" s="1" t="s">
        <v>3846</v>
      </c>
      <c r="E770" s="1" t="s">
        <v>3847</v>
      </c>
      <c r="F770" s="1" t="s">
        <v>64</v>
      </c>
      <c r="G770" s="1">
        <v>56.0</v>
      </c>
      <c r="H770" s="1" t="s">
        <v>50</v>
      </c>
      <c r="I770" s="1">
        <v>30.0</v>
      </c>
      <c r="J770" s="1">
        <v>10.0</v>
      </c>
      <c r="K770" s="1">
        <v>10.0</v>
      </c>
      <c r="L770" s="1">
        <v>20.0</v>
      </c>
      <c r="M770" s="1">
        <v>8.0</v>
      </c>
      <c r="N770" s="1" t="s">
        <v>51</v>
      </c>
      <c r="O770" s="1">
        <v>26.0</v>
      </c>
      <c r="P770" s="1">
        <v>15.0</v>
      </c>
      <c r="Q770" s="1">
        <v>1.0</v>
      </c>
      <c r="R770" s="1">
        <v>11.0</v>
      </c>
      <c r="S770" s="1">
        <v>2.0</v>
      </c>
      <c r="T770" s="1" t="s">
        <v>52</v>
      </c>
      <c r="U770" s="1" t="s">
        <v>55</v>
      </c>
      <c r="V770" s="1" t="s">
        <v>55</v>
      </c>
      <c r="W770" s="1" t="s">
        <v>55</v>
      </c>
      <c r="X770" s="1" t="s">
        <v>55</v>
      </c>
      <c r="Y770" s="1" t="s">
        <v>55</v>
      </c>
      <c r="Z770" s="1" t="s">
        <v>53</v>
      </c>
      <c r="AA770" s="1" t="s">
        <v>55</v>
      </c>
      <c r="AB770" s="1" t="s">
        <v>55</v>
      </c>
      <c r="AC770" s="1" t="s">
        <v>55</v>
      </c>
      <c r="AD770" s="1" t="s">
        <v>55</v>
      </c>
      <c r="AE770" s="1" t="s">
        <v>55</v>
      </c>
      <c r="AF770" s="1" t="s">
        <v>54</v>
      </c>
      <c r="AG770" s="1" t="s">
        <v>55</v>
      </c>
      <c r="AH770" s="1" t="s">
        <v>55</v>
      </c>
      <c r="AI770" s="1" t="s">
        <v>55</v>
      </c>
      <c r="AJ770" s="1" t="s">
        <v>55</v>
      </c>
      <c r="AK770" s="1" t="s">
        <v>55</v>
      </c>
      <c r="AL770" s="1">
        <v>21.0</v>
      </c>
      <c r="AM770" s="1">
        <v>10.0</v>
      </c>
      <c r="AN770" s="1">
        <v>25.0</v>
      </c>
      <c r="AO770" s="1">
        <v>-31.0</v>
      </c>
      <c r="AP770" s="1" t="s">
        <v>3848</v>
      </c>
      <c r="AQ770" s="3" t="str">
        <f>HYPERLINK("https://icf.clappia.com/app/GMB253374/submission/BUF26935488/ICF247370-GMB253374-iog7ffanbclm0000000/SIG-20250630_1756nfh48.jpeg", "SIG-20250630_1756nfh48.jpeg")</f>
        <v>SIG-20250630_1756nfh48.jpeg</v>
      </c>
      <c r="AR770" s="1" t="s">
        <v>3849</v>
      </c>
      <c r="AS770" s="3" t="str">
        <f>HYPERLINK("https://icf.clappia.com/app/GMB253374/submission/BUF26935488/ICF247370-GMB253374-3ob739f3leo000000000/SIG-20250630_175710mpl9.jpeg", "SIG-20250630_175710mpl9.jpeg")</f>
        <v>SIG-20250630_175710mpl9.jpeg</v>
      </c>
      <c r="AT770" s="1" t="s">
        <v>3850</v>
      </c>
      <c r="AU770" s="3" t="str">
        <f>HYPERLINK("https://icf.clappia.com/app/GMB253374/submission/BUF26935488/ICF247370-GMB253374-3jec6m9i9gck00000000/SIG-20250630_1758190k47.jpeg", "SIG-20250630_1758190k47.jpeg")</f>
        <v>SIG-20250630_1758190k47.jpeg</v>
      </c>
      <c r="AV770" s="3" t="str">
        <f>HYPERLINK("https://www.google.com/maps/place/8.266365%2C-11.5612517", "8.266365,-11.5612517")</f>
        <v>8.266365,-11.5612517</v>
      </c>
    </row>
    <row r="771" ht="15.75" customHeight="1">
      <c r="A771" s="1" t="s">
        <v>3851</v>
      </c>
      <c r="B771" s="1" t="s">
        <v>438</v>
      </c>
      <c r="C771" s="1" t="s">
        <v>3852</v>
      </c>
      <c r="D771" s="1" t="s">
        <v>3853</v>
      </c>
      <c r="E771" s="1" t="s">
        <v>3854</v>
      </c>
      <c r="F771" s="1" t="s">
        <v>64</v>
      </c>
      <c r="G771" s="1">
        <v>150.0</v>
      </c>
      <c r="H771" s="1" t="s">
        <v>50</v>
      </c>
      <c r="I771" s="1">
        <v>67.0</v>
      </c>
      <c r="J771" s="1">
        <v>32.0</v>
      </c>
      <c r="K771" s="1">
        <v>13.0</v>
      </c>
      <c r="L771" s="1">
        <v>35.0</v>
      </c>
      <c r="M771" s="1">
        <v>26.0</v>
      </c>
      <c r="N771" s="1" t="s">
        <v>51</v>
      </c>
      <c r="O771" s="1">
        <v>63.0</v>
      </c>
      <c r="P771" s="1">
        <v>28.0</v>
      </c>
      <c r="Q771" s="1">
        <v>9.0</v>
      </c>
      <c r="R771" s="1">
        <v>35.0</v>
      </c>
      <c r="S771" s="1">
        <v>13.0</v>
      </c>
      <c r="T771" s="1" t="s">
        <v>52</v>
      </c>
      <c r="U771" s="1">
        <v>60.0</v>
      </c>
      <c r="V771" s="1">
        <v>29.0</v>
      </c>
      <c r="W771" s="1">
        <v>8.0</v>
      </c>
      <c r="X771" s="1">
        <v>31.0</v>
      </c>
      <c r="Y771" s="1">
        <v>6.0</v>
      </c>
      <c r="Z771" s="1" t="s">
        <v>53</v>
      </c>
      <c r="AA771" s="1" t="s">
        <v>55</v>
      </c>
      <c r="AB771" s="1" t="s">
        <v>55</v>
      </c>
      <c r="AC771" s="1" t="s">
        <v>55</v>
      </c>
      <c r="AD771" s="1" t="s">
        <v>55</v>
      </c>
      <c r="AE771" s="1" t="s">
        <v>55</v>
      </c>
      <c r="AF771" s="1" t="s">
        <v>54</v>
      </c>
      <c r="AG771" s="1" t="s">
        <v>55</v>
      </c>
      <c r="AH771" s="1" t="s">
        <v>55</v>
      </c>
      <c r="AI771" s="1" t="s">
        <v>55</v>
      </c>
      <c r="AJ771" s="1" t="s">
        <v>55</v>
      </c>
      <c r="AK771" s="1" t="s">
        <v>55</v>
      </c>
      <c r="AL771" s="1">
        <v>75.0</v>
      </c>
      <c r="AM771" s="1" t="s">
        <v>55</v>
      </c>
      <c r="AN771" s="1">
        <v>75.0</v>
      </c>
      <c r="AO771" s="1">
        <v>75.0</v>
      </c>
      <c r="AP771" s="1" t="s">
        <v>3855</v>
      </c>
      <c r="AQ771" s="3" t="str">
        <f>HYPERLINK("https://icf.clappia.com/app/GMB253374/submission/VWD64796897/ICF247370-GMB253374-396n46d0jo600000000/SIG-20250630_1636enbbm.jpeg", "SIG-20250630_1636enbbm.jpeg")</f>
        <v>SIG-20250630_1636enbbm.jpeg</v>
      </c>
      <c r="AR771" s="1" t="s">
        <v>3856</v>
      </c>
      <c r="AS771" s="3" t="str">
        <f>HYPERLINK("https://icf.clappia.com/app/GMB253374/submission/VWD64796897/ICF247370-GMB253374-61n1fgk5k9620000000/SIG-20250630_163810hh3a.jpeg", "SIG-20250630_163810hh3a.jpeg")</f>
        <v>SIG-20250630_163810hh3a.jpeg</v>
      </c>
      <c r="AT771" s="1" t="s">
        <v>3857</v>
      </c>
      <c r="AU771" s="3" t="str">
        <f>HYPERLINK("https://icf.clappia.com/app/GMB253374/submission/VWD64796897/ICF247370-GMB253374-68ibhajgln4g00000000/SIG-20250630_16391dj9p.jpeg", "SIG-20250630_16391dj9p.jpeg")</f>
        <v>SIG-20250630_16391dj9p.jpeg</v>
      </c>
      <c r="AV771" s="3" t="str">
        <f>HYPERLINK("https://www.google.com/maps/place/7.5045167%2C-11.8771767", "7.5045167,-11.8771767")</f>
        <v>7.5045167,-11.8771767</v>
      </c>
    </row>
    <row r="772" ht="15.75" customHeight="1">
      <c r="A772" s="1" t="s">
        <v>3858</v>
      </c>
      <c r="B772" s="1" t="s">
        <v>142</v>
      </c>
      <c r="C772" s="1" t="s">
        <v>3859</v>
      </c>
      <c r="D772" s="1" t="s">
        <v>3859</v>
      </c>
      <c r="E772" s="1" t="s">
        <v>3860</v>
      </c>
      <c r="F772" s="1" t="s">
        <v>64</v>
      </c>
      <c r="G772" s="1">
        <v>250.0</v>
      </c>
      <c r="H772" s="1" t="s">
        <v>50</v>
      </c>
      <c r="I772" s="1">
        <v>159.0</v>
      </c>
      <c r="J772" s="1">
        <v>64.0</v>
      </c>
      <c r="K772" s="1">
        <v>30.0</v>
      </c>
      <c r="L772" s="1">
        <v>95.0</v>
      </c>
      <c r="M772" s="1">
        <v>51.0</v>
      </c>
      <c r="N772" s="1" t="s">
        <v>51</v>
      </c>
      <c r="O772" s="1">
        <v>50.0</v>
      </c>
      <c r="P772" s="1">
        <v>11.0</v>
      </c>
      <c r="Q772" s="1">
        <v>11.0</v>
      </c>
      <c r="R772" s="1">
        <v>39.0</v>
      </c>
      <c r="S772" s="1">
        <v>12.0</v>
      </c>
      <c r="T772" s="1" t="s">
        <v>52</v>
      </c>
      <c r="U772" s="1">
        <v>47.0</v>
      </c>
      <c r="V772" s="1">
        <v>19.0</v>
      </c>
      <c r="W772" s="1">
        <v>19.0</v>
      </c>
      <c r="X772" s="1">
        <v>28.0</v>
      </c>
      <c r="Y772" s="1" t="s">
        <v>919</v>
      </c>
      <c r="Z772" s="1" t="s">
        <v>53</v>
      </c>
      <c r="AA772" s="1">
        <v>36.0</v>
      </c>
      <c r="AB772" s="1">
        <v>17.0</v>
      </c>
      <c r="AC772" s="1">
        <v>15.0</v>
      </c>
      <c r="AD772" s="1">
        <v>19.0</v>
      </c>
      <c r="AE772" s="1">
        <v>11.0</v>
      </c>
      <c r="AF772" s="1" t="s">
        <v>54</v>
      </c>
      <c r="AG772" s="1">
        <v>51.0</v>
      </c>
      <c r="AH772" s="1">
        <v>25.0</v>
      </c>
      <c r="AI772" s="1">
        <v>16.0</v>
      </c>
      <c r="AJ772" s="1">
        <v>26.0</v>
      </c>
      <c r="AK772" s="1">
        <v>15.0</v>
      </c>
      <c r="AL772" s="1">
        <v>189.0</v>
      </c>
      <c r="AM772" s="1" t="s">
        <v>55</v>
      </c>
      <c r="AN772" s="1">
        <v>61.0</v>
      </c>
      <c r="AO772" s="1">
        <v>61.0</v>
      </c>
      <c r="AP772" s="1" t="s">
        <v>3861</v>
      </c>
      <c r="AQ772" s="3" t="str">
        <f>HYPERLINK("https://icf.clappia.com/app/GMB253374/submission/DAZ36915321/ICF247370-GMB253374-4357pe0572jc00000000/SIG-20250630_1850pmio2.jpeg", "SIG-20250630_1850pmio2.jpeg")</f>
        <v>SIG-20250630_1850pmio2.jpeg</v>
      </c>
      <c r="AR772" s="1" t="s">
        <v>2645</v>
      </c>
      <c r="AS772" s="3" t="str">
        <f>HYPERLINK("https://icf.clappia.com/app/GMB253374/submission/DAZ36915321/ICF247370-GMB253374-52fml5go60ba00000000/SIG-20250630_18513f4d4.jpeg", "SIG-20250630_18513f4d4.jpeg")</f>
        <v>SIG-20250630_18513f4d4.jpeg</v>
      </c>
      <c r="AT772" s="1" t="s">
        <v>3862</v>
      </c>
      <c r="AU772" s="3" t="str">
        <f>HYPERLINK("https://icf.clappia.com/app/GMB253374/submission/DAZ36915321/ICF247370-GMB253374-1pkcc7gdd72800000000/SIG-20250630_185227fc3.jpeg", "SIG-20250630_185227fc3.jpeg")</f>
        <v>SIG-20250630_185227fc3.jpeg</v>
      </c>
      <c r="AV772" s="3" t="str">
        <f>HYPERLINK("https://www.google.com/maps/place/7.777075%2C-12.0095403", "7.777075,-12.0095403")</f>
        <v>7.777075,-12.0095403</v>
      </c>
    </row>
    <row r="773" ht="15.75" customHeight="1">
      <c r="A773" s="1" t="s">
        <v>3863</v>
      </c>
      <c r="B773" s="1" t="s">
        <v>2054</v>
      </c>
      <c r="C773" s="1" t="s">
        <v>3864</v>
      </c>
      <c r="D773" s="1" t="s">
        <v>3865</v>
      </c>
      <c r="E773" s="1" t="s">
        <v>3866</v>
      </c>
      <c r="F773" s="1" t="s">
        <v>64</v>
      </c>
      <c r="G773" s="1">
        <v>204.0</v>
      </c>
      <c r="H773" s="1" t="s">
        <v>50</v>
      </c>
      <c r="I773" s="1">
        <v>80.0</v>
      </c>
      <c r="J773" s="1">
        <v>35.0</v>
      </c>
      <c r="K773" s="1">
        <v>32.0</v>
      </c>
      <c r="L773" s="1">
        <v>45.0</v>
      </c>
      <c r="M773" s="1">
        <v>40.0</v>
      </c>
      <c r="N773" s="1" t="s">
        <v>51</v>
      </c>
      <c r="O773" s="1">
        <v>50.0</v>
      </c>
      <c r="P773" s="1">
        <v>15.0</v>
      </c>
      <c r="Q773" s="1">
        <v>11.0</v>
      </c>
      <c r="R773" s="1">
        <v>35.0</v>
      </c>
      <c r="S773" s="1">
        <v>9.0</v>
      </c>
      <c r="T773" s="1" t="s">
        <v>52</v>
      </c>
      <c r="U773" s="1">
        <v>13.0</v>
      </c>
      <c r="V773" s="1">
        <v>8.0</v>
      </c>
      <c r="W773" s="1">
        <v>6.0</v>
      </c>
      <c r="X773" s="1">
        <v>5.0</v>
      </c>
      <c r="Y773" s="1">
        <v>4.0</v>
      </c>
      <c r="Z773" s="1" t="s">
        <v>53</v>
      </c>
      <c r="AA773" s="1">
        <v>30.0</v>
      </c>
      <c r="AB773" s="1">
        <v>13.0</v>
      </c>
      <c r="AC773" s="1">
        <v>11.0</v>
      </c>
      <c r="AD773" s="1">
        <v>17.0</v>
      </c>
      <c r="AE773" s="1">
        <v>13.0</v>
      </c>
      <c r="AF773" s="1" t="s">
        <v>54</v>
      </c>
      <c r="AG773" s="1">
        <v>31.0</v>
      </c>
      <c r="AH773" s="1">
        <v>17.0</v>
      </c>
      <c r="AI773" s="1">
        <v>14.0</v>
      </c>
      <c r="AJ773" s="1">
        <v>14.0</v>
      </c>
      <c r="AK773" s="1">
        <v>12.0</v>
      </c>
      <c r="AL773" s="1">
        <v>152.0</v>
      </c>
      <c r="AM773" s="1">
        <v>10.0</v>
      </c>
      <c r="AN773" s="1">
        <v>42.0</v>
      </c>
      <c r="AO773" s="1">
        <v>42.0</v>
      </c>
      <c r="AP773" s="1" t="s">
        <v>3674</v>
      </c>
      <c r="AQ773" s="3" t="str">
        <f>HYPERLINK("https://icf.clappia.com/app/GMB253374/submission/YZZ16535539/ICF247370-GMB253374-274oi3n69bmna0000000/SIG-20250630_145240l8m.jpeg", "SIG-20250630_145240l8m.jpeg")</f>
        <v>SIG-20250630_145240l8m.jpeg</v>
      </c>
      <c r="AR773" s="1" t="s">
        <v>3867</v>
      </c>
      <c r="AS773" s="3" t="str">
        <f>HYPERLINK("https://icf.clappia.com/app/GMB253374/submission/YZZ16535539/ICF247370-GMB253374-1io0g55be151a0000000/SIG-20250630_14588cgn8.jpeg", "SIG-20250630_14588cgn8.jpeg")</f>
        <v>SIG-20250630_14588cgn8.jpeg</v>
      </c>
      <c r="AT773" s="1" t="s">
        <v>3676</v>
      </c>
      <c r="AU773" s="3" t="str">
        <f>HYPERLINK("https://icf.clappia.com/app/GMB253374/submission/YZZ16535539/ICF247370-GMB253374-5ol7dc78b7k000000000/SIG-20250630_15141c07f.jpeg", "SIG-20250630_15141c07f.jpeg")</f>
        <v>SIG-20250630_15141c07f.jpeg</v>
      </c>
      <c r="AV773" s="3" t="str">
        <f>HYPERLINK("https://www.google.com/maps/place/8.20032%2C-11.46053", "8.20032,-11.46053")</f>
        <v>8.20032,-11.46053</v>
      </c>
    </row>
    <row r="774" ht="15.75" customHeight="1">
      <c r="A774" s="1" t="s">
        <v>3868</v>
      </c>
      <c r="B774" s="1" t="s">
        <v>2328</v>
      </c>
      <c r="C774" s="1" t="s">
        <v>3869</v>
      </c>
      <c r="D774" s="1" t="s">
        <v>3869</v>
      </c>
      <c r="E774" s="1" t="s">
        <v>3870</v>
      </c>
      <c r="F774" s="1" t="s">
        <v>64</v>
      </c>
      <c r="G774" s="1">
        <v>200.0</v>
      </c>
      <c r="H774" s="1" t="s">
        <v>50</v>
      </c>
      <c r="I774" s="1" t="s">
        <v>55</v>
      </c>
      <c r="J774" s="1" t="s">
        <v>55</v>
      </c>
      <c r="K774" s="1" t="s">
        <v>55</v>
      </c>
      <c r="L774" s="1" t="s">
        <v>55</v>
      </c>
      <c r="M774" s="1" t="s">
        <v>55</v>
      </c>
      <c r="N774" s="1" t="s">
        <v>51</v>
      </c>
      <c r="O774" s="1" t="s">
        <v>55</v>
      </c>
      <c r="P774" s="1" t="s">
        <v>55</v>
      </c>
      <c r="Q774" s="1" t="s">
        <v>55</v>
      </c>
      <c r="R774" s="1" t="s">
        <v>55</v>
      </c>
      <c r="S774" s="1" t="s">
        <v>55</v>
      </c>
      <c r="T774" s="1" t="s">
        <v>52</v>
      </c>
      <c r="U774" s="1">
        <v>35.0</v>
      </c>
      <c r="V774" s="1">
        <v>17.0</v>
      </c>
      <c r="W774" s="1">
        <v>17.0</v>
      </c>
      <c r="X774" s="1">
        <v>14.0</v>
      </c>
      <c r="Y774" s="1">
        <v>14.0</v>
      </c>
      <c r="Z774" s="1" t="s">
        <v>53</v>
      </c>
      <c r="AA774" s="1">
        <v>34.0</v>
      </c>
      <c r="AB774" s="1">
        <v>16.0</v>
      </c>
      <c r="AC774" s="1">
        <v>16.0</v>
      </c>
      <c r="AD774" s="1">
        <v>17.0</v>
      </c>
      <c r="AE774" s="1">
        <v>17.0</v>
      </c>
      <c r="AF774" s="1" t="s">
        <v>54</v>
      </c>
      <c r="AG774" s="1">
        <v>38.0</v>
      </c>
      <c r="AH774" s="1">
        <v>20.0</v>
      </c>
      <c r="AI774" s="1">
        <v>15.0</v>
      </c>
      <c r="AJ774" s="1">
        <v>18.0</v>
      </c>
      <c r="AK774" s="1">
        <v>14.0</v>
      </c>
      <c r="AL774" s="1">
        <v>93.0</v>
      </c>
      <c r="AM774" s="1">
        <v>9.0</v>
      </c>
      <c r="AN774" s="1">
        <v>98.0</v>
      </c>
      <c r="AO774" s="1">
        <v>98.0</v>
      </c>
      <c r="AP774" s="1" t="s">
        <v>3871</v>
      </c>
      <c r="AQ774" s="3" t="str">
        <f>HYPERLINK("https://icf.clappia.com/app/GMB253374/submission/HNK42926931/ICF247370-GMB253374-29om2d3ho07b60000000/SIG-20250630_185719h7oo.jpeg", "SIG-20250630_185719h7oo.jpeg")</f>
        <v>SIG-20250630_185719h7oo.jpeg</v>
      </c>
      <c r="AR774" s="1" t="s">
        <v>3872</v>
      </c>
      <c r="AS774" s="3" t="str">
        <f>HYPERLINK("https://icf.clappia.com/app/GMB253374/submission/HNK42926931/ICF247370-GMB253374-15p2ippbdhfnm0000000/SIG-20250630_182511kjhd.jpeg", "SIG-20250630_182511kjhd.jpeg")</f>
        <v>SIG-20250630_182511kjhd.jpeg</v>
      </c>
      <c r="AT774" s="1" t="s">
        <v>3873</v>
      </c>
      <c r="AU774" s="3" t="str">
        <f>HYPERLINK("https://icf.clappia.com/app/GMB253374/submission/HNK42926931/ICF247370-GMB253374-i9m28pgoofe00000000/SIG-20250630_18265efb7.jpeg", "SIG-20250630_18265efb7.jpeg")</f>
        <v>SIG-20250630_18265efb7.jpeg</v>
      </c>
      <c r="AV774" s="3" t="str">
        <f>HYPERLINK("https://www.google.com/maps/place/8.1008736%2C-11.4163496", "8.1008736,-11.4163496")</f>
        <v>8.1008736,-11.4163496</v>
      </c>
    </row>
    <row r="775" ht="15.75" customHeight="1">
      <c r="A775" s="1" t="s">
        <v>3874</v>
      </c>
      <c r="B775" s="1" t="s">
        <v>528</v>
      </c>
      <c r="C775" s="1" t="s">
        <v>3875</v>
      </c>
      <c r="D775" s="1" t="s">
        <v>3875</v>
      </c>
      <c r="E775" s="1" t="s">
        <v>3876</v>
      </c>
      <c r="F775" s="1" t="s">
        <v>64</v>
      </c>
      <c r="G775" s="1">
        <v>278.0</v>
      </c>
      <c r="H775" s="1" t="s">
        <v>50</v>
      </c>
      <c r="I775" s="1">
        <v>80.0</v>
      </c>
      <c r="J775" s="1">
        <v>40.0</v>
      </c>
      <c r="K775" s="1">
        <v>40.0</v>
      </c>
      <c r="L775" s="1">
        <v>40.0</v>
      </c>
      <c r="M775" s="1">
        <v>40.0</v>
      </c>
      <c r="N775" s="1" t="s">
        <v>51</v>
      </c>
      <c r="O775" s="1">
        <v>61.0</v>
      </c>
      <c r="P775" s="1">
        <v>31.0</v>
      </c>
      <c r="Q775" s="1">
        <v>31.0</v>
      </c>
      <c r="R775" s="1">
        <v>30.0</v>
      </c>
      <c r="S775" s="1">
        <v>30.0</v>
      </c>
      <c r="T775" s="1" t="s">
        <v>52</v>
      </c>
      <c r="U775" s="1">
        <v>44.0</v>
      </c>
      <c r="V775" s="1">
        <v>22.0</v>
      </c>
      <c r="W775" s="1">
        <v>22.0</v>
      </c>
      <c r="X775" s="1">
        <v>22.0</v>
      </c>
      <c r="Y775" s="1">
        <v>22.0</v>
      </c>
      <c r="Z775" s="1" t="s">
        <v>53</v>
      </c>
      <c r="AA775" s="1">
        <v>40.0</v>
      </c>
      <c r="AB775" s="1">
        <v>20.0</v>
      </c>
      <c r="AC775" s="1">
        <v>20.0</v>
      </c>
      <c r="AD775" s="1">
        <v>20.0</v>
      </c>
      <c r="AE775" s="1">
        <v>20.0</v>
      </c>
      <c r="AF775" s="1" t="s">
        <v>54</v>
      </c>
      <c r="AG775" s="1">
        <v>42.0</v>
      </c>
      <c r="AH775" s="1">
        <v>20.0</v>
      </c>
      <c r="AI775" s="1">
        <v>20.0</v>
      </c>
      <c r="AJ775" s="1">
        <v>22.0</v>
      </c>
      <c r="AK775" s="1">
        <v>22.0</v>
      </c>
      <c r="AL775" s="1">
        <v>267.0</v>
      </c>
      <c r="AM775" s="1" t="s">
        <v>55</v>
      </c>
      <c r="AN775" s="1">
        <v>11.0</v>
      </c>
      <c r="AO775" s="1">
        <v>11.0</v>
      </c>
      <c r="AP775" s="1" t="s">
        <v>1640</v>
      </c>
      <c r="AQ775" s="3" t="str">
        <f>HYPERLINK("https://icf.clappia.com/app/GMB253374/submission/MKN84198463/ICF247370-GMB253374-3fa9pkebd97o00000000/SIG-20250630_1747jk8jp.jpeg", "SIG-20250630_1747jk8jp.jpeg")</f>
        <v>SIG-20250630_1747jk8jp.jpeg</v>
      </c>
      <c r="AR775" s="1" t="s">
        <v>1641</v>
      </c>
      <c r="AS775" s="3" t="str">
        <f>HYPERLINK("https://icf.clappia.com/app/GMB253374/submission/MKN84198463/ICF247370-GMB253374-5507o34abkoo00000000/SIG-20250630_1751e100n.jpeg", "SIG-20250630_1751e100n.jpeg")</f>
        <v>SIG-20250630_1751e100n.jpeg</v>
      </c>
      <c r="AT775" s="1" t="s">
        <v>1642</v>
      </c>
      <c r="AU775" s="3" t="str">
        <f>HYPERLINK("https://icf.clappia.com/app/GMB253374/submission/MKN84198463/ICF247370-GMB253374-4fcm0ccmhjcg00000000/SIG-20250630_1748dfpob.jpeg", "SIG-20250630_1748dfpob.jpeg")</f>
        <v>SIG-20250630_1748dfpob.jpeg</v>
      </c>
      <c r="AV775" s="3" t="str">
        <f>HYPERLINK("https://www.google.com/maps/place/7.711335%2C-11.6936117", "7.711335,-11.6936117")</f>
        <v>7.711335,-11.6936117</v>
      </c>
    </row>
    <row r="776" ht="15.75" customHeight="1">
      <c r="A776" s="1" t="s">
        <v>3877</v>
      </c>
      <c r="B776" s="1" t="s">
        <v>356</v>
      </c>
      <c r="C776" s="1" t="s">
        <v>3878</v>
      </c>
      <c r="D776" s="1" t="s">
        <v>3878</v>
      </c>
      <c r="E776" s="1" t="s">
        <v>3879</v>
      </c>
      <c r="F776" s="1" t="s">
        <v>64</v>
      </c>
      <c r="G776" s="1">
        <v>300.0</v>
      </c>
      <c r="H776" s="1" t="s">
        <v>50</v>
      </c>
      <c r="I776" s="1">
        <v>80.0</v>
      </c>
      <c r="J776" s="1">
        <v>48.0</v>
      </c>
      <c r="K776" s="1">
        <v>24.0</v>
      </c>
      <c r="L776" s="1">
        <v>32.0</v>
      </c>
      <c r="M776" s="1">
        <v>24.0</v>
      </c>
      <c r="N776" s="1" t="s">
        <v>51</v>
      </c>
      <c r="O776" s="1">
        <v>65.0</v>
      </c>
      <c r="P776" s="1">
        <v>34.0</v>
      </c>
      <c r="Q776" s="1">
        <v>24.0</v>
      </c>
      <c r="R776" s="1">
        <v>31.0</v>
      </c>
      <c r="S776" s="1">
        <v>26.0</v>
      </c>
      <c r="T776" s="1" t="s">
        <v>52</v>
      </c>
      <c r="U776" s="1">
        <v>56.0</v>
      </c>
      <c r="V776" s="1">
        <v>26.0</v>
      </c>
      <c r="W776" s="1">
        <v>24.0</v>
      </c>
      <c r="X776" s="1">
        <v>30.0</v>
      </c>
      <c r="Y776" s="1">
        <v>20.0</v>
      </c>
      <c r="Z776" s="1" t="s">
        <v>53</v>
      </c>
      <c r="AA776" s="1">
        <v>50.0</v>
      </c>
      <c r="AB776" s="1">
        <v>26.0</v>
      </c>
      <c r="AC776" s="1">
        <v>25.0</v>
      </c>
      <c r="AD776" s="1">
        <v>24.0</v>
      </c>
      <c r="AE776" s="1">
        <v>20.0</v>
      </c>
      <c r="AF776" s="1" t="s">
        <v>54</v>
      </c>
      <c r="AG776" s="1">
        <v>41.0</v>
      </c>
      <c r="AH776" s="1">
        <v>20.0</v>
      </c>
      <c r="AI776" s="1">
        <v>20.0</v>
      </c>
      <c r="AJ776" s="1">
        <v>21.0</v>
      </c>
      <c r="AK776" s="1">
        <v>19.0</v>
      </c>
      <c r="AL776" s="1">
        <v>226.0</v>
      </c>
      <c r="AM776" s="1">
        <v>10.0</v>
      </c>
      <c r="AN776" s="1">
        <v>64.0</v>
      </c>
      <c r="AO776" s="1">
        <v>64.0</v>
      </c>
      <c r="AP776" s="1" t="s">
        <v>3880</v>
      </c>
      <c r="AQ776" s="3" t="str">
        <f>HYPERLINK("https://icf.clappia.com/app/GMB253374/submission/NYW32262992/ICF247370-GMB253374-653jab00gbmg00000000/SIG-20250630_18346m8n9.jpeg", "SIG-20250630_18346m8n9.jpeg")</f>
        <v>SIG-20250630_18346m8n9.jpeg</v>
      </c>
      <c r="AR776" s="1" t="s">
        <v>1374</v>
      </c>
      <c r="AS776" s="3" t="str">
        <f>HYPERLINK("https://icf.clappia.com/app/GMB253374/submission/NYW32262992/ICF247370-GMB253374-einkg0fej1ok0000000/SIG-20250630_1835g4e2i.jpeg", "SIG-20250630_1835g4e2i.jpeg")</f>
        <v>SIG-20250630_1835g4e2i.jpeg</v>
      </c>
      <c r="AT776" s="1" t="s">
        <v>1375</v>
      </c>
      <c r="AU776" s="3" t="str">
        <f>HYPERLINK("https://icf.clappia.com/app/GMB253374/submission/NYW32262992/ICF247370-GMB253374-4hcm7c32ikba0000000/SIG-20250630_183610g322.jpeg", "SIG-20250630_183610g322.jpeg")</f>
        <v>SIG-20250630_183610g322.jpeg</v>
      </c>
      <c r="AV776" s="3" t="str">
        <f>HYPERLINK("https://www.google.com/maps/place/8.3210316%2C-11.7344097", "8.3210316,-11.7344097")</f>
        <v>8.3210316,-11.7344097</v>
      </c>
    </row>
    <row r="777" ht="15.75" customHeight="1">
      <c r="A777" s="1" t="s">
        <v>3881</v>
      </c>
      <c r="B777" s="1" t="s">
        <v>81</v>
      </c>
      <c r="C777" s="1" t="s">
        <v>3878</v>
      </c>
      <c r="D777" s="1" t="s">
        <v>3878</v>
      </c>
      <c r="E777" s="1" t="s">
        <v>3882</v>
      </c>
      <c r="F777" s="1" t="s">
        <v>64</v>
      </c>
      <c r="G777" s="1">
        <v>200.0</v>
      </c>
      <c r="H777" s="1" t="s">
        <v>50</v>
      </c>
      <c r="I777" s="1">
        <v>30.0</v>
      </c>
      <c r="J777" s="1">
        <v>14.0</v>
      </c>
      <c r="K777" s="1">
        <v>7.0</v>
      </c>
      <c r="L777" s="1">
        <v>16.0</v>
      </c>
      <c r="M777" s="1">
        <v>12.0</v>
      </c>
      <c r="N777" s="1" t="s">
        <v>51</v>
      </c>
      <c r="O777" s="1">
        <v>26.0</v>
      </c>
      <c r="P777" s="1">
        <v>12.0</v>
      </c>
      <c r="Q777" s="1">
        <v>10.0</v>
      </c>
      <c r="R777" s="1">
        <v>14.0</v>
      </c>
      <c r="S777" s="1">
        <v>9.0</v>
      </c>
      <c r="T777" s="1" t="s">
        <v>52</v>
      </c>
      <c r="U777" s="1">
        <v>27.0</v>
      </c>
      <c r="V777" s="1">
        <v>14.0</v>
      </c>
      <c r="W777" s="1">
        <v>14.0</v>
      </c>
      <c r="X777" s="1">
        <v>13.0</v>
      </c>
      <c r="Y777" s="1">
        <v>10.0</v>
      </c>
      <c r="Z777" s="1" t="s">
        <v>53</v>
      </c>
      <c r="AA777" s="1">
        <v>27.0</v>
      </c>
      <c r="AB777" s="1">
        <v>10.0</v>
      </c>
      <c r="AC777" s="1">
        <v>8.0</v>
      </c>
      <c r="AD777" s="1">
        <v>17.0</v>
      </c>
      <c r="AE777" s="1">
        <v>15.0</v>
      </c>
      <c r="AF777" s="1" t="s">
        <v>54</v>
      </c>
      <c r="AG777" s="1">
        <v>27.0</v>
      </c>
      <c r="AH777" s="1">
        <v>8.0</v>
      </c>
      <c r="AI777" s="1">
        <v>7.0</v>
      </c>
      <c r="AJ777" s="1">
        <v>19.0</v>
      </c>
      <c r="AK777" s="1">
        <v>18.0</v>
      </c>
      <c r="AL777" s="1">
        <v>110.0</v>
      </c>
      <c r="AM777" s="1">
        <v>10.0</v>
      </c>
      <c r="AN777" s="1">
        <v>80.0</v>
      </c>
      <c r="AO777" s="1">
        <v>80.0</v>
      </c>
      <c r="AP777" s="1" t="s">
        <v>2707</v>
      </c>
      <c r="AQ777" s="3" t="str">
        <f>HYPERLINK("https://icf.clappia.com/app/GMB253374/submission/OVE35326311/ICF247370-GMB253374-3d0ecp34pg0000000000/SIG-20250630_1136mm53o.jpeg", "SIG-20250630_1136mm53o.jpeg")</f>
        <v>SIG-20250630_1136mm53o.jpeg</v>
      </c>
      <c r="AR777" s="1" t="s">
        <v>2708</v>
      </c>
      <c r="AS777" s="3" t="str">
        <f>HYPERLINK("https://icf.clappia.com/app/GMB253374/submission/OVE35326311/ICF247370-GMB253374-2h1dp727ja9o00000000/SIG-20250630_18331fmel.jpeg", "SIG-20250630_18331fmel.jpeg")</f>
        <v>SIG-20250630_18331fmel.jpeg</v>
      </c>
      <c r="AT777" s="1" t="s">
        <v>3883</v>
      </c>
      <c r="AU777" s="3" t="str">
        <f>HYPERLINK("https://icf.clappia.com/app/GMB253374/submission/OVE35326311/ICF247370-GMB253374-100ko3f75el5a0000000/SIG-20250630_1833dba5h.jpeg", "SIG-20250630_1833dba5h.jpeg")</f>
        <v>SIG-20250630_1833dba5h.jpeg</v>
      </c>
      <c r="AV777" s="3" t="str">
        <f>HYPERLINK("https://www.google.com/maps/place/7.9558886%2C-11.7336979", "7.9558886,-11.7336979")</f>
        <v>7.9558886,-11.7336979</v>
      </c>
    </row>
    <row r="778" ht="15.75" customHeight="1">
      <c r="A778" s="1" t="s">
        <v>3884</v>
      </c>
      <c r="B778" s="1" t="s">
        <v>536</v>
      </c>
      <c r="C778" s="1" t="s">
        <v>3885</v>
      </c>
      <c r="D778" s="1" t="s">
        <v>3885</v>
      </c>
      <c r="E778" s="1" t="s">
        <v>3886</v>
      </c>
      <c r="F778" s="1" t="s">
        <v>64</v>
      </c>
      <c r="G778" s="1">
        <v>150.0</v>
      </c>
      <c r="H778" s="1" t="s">
        <v>50</v>
      </c>
      <c r="I778" s="1">
        <v>50.0</v>
      </c>
      <c r="J778" s="1">
        <v>26.0</v>
      </c>
      <c r="K778" s="1">
        <v>26.0</v>
      </c>
      <c r="L778" s="1">
        <v>24.0</v>
      </c>
      <c r="M778" s="1">
        <v>24.0</v>
      </c>
      <c r="N778" s="1" t="s">
        <v>51</v>
      </c>
      <c r="O778" s="1">
        <v>58.0</v>
      </c>
      <c r="P778" s="1">
        <v>30.0</v>
      </c>
      <c r="Q778" s="1">
        <v>30.0</v>
      </c>
      <c r="R778" s="1">
        <v>28.0</v>
      </c>
      <c r="S778" s="1">
        <v>9.0</v>
      </c>
      <c r="T778" s="1" t="s">
        <v>52</v>
      </c>
      <c r="U778" s="1">
        <v>49.0</v>
      </c>
      <c r="V778" s="1">
        <v>20.0</v>
      </c>
      <c r="W778" s="1">
        <v>6.0</v>
      </c>
      <c r="X778" s="1">
        <v>29.0</v>
      </c>
      <c r="Y778" s="1">
        <v>9.0</v>
      </c>
      <c r="Z778" s="1" t="s">
        <v>53</v>
      </c>
      <c r="AA778" s="1">
        <v>20.0</v>
      </c>
      <c r="AB778" s="1">
        <v>11.0</v>
      </c>
      <c r="AC778" s="1">
        <v>11.0</v>
      </c>
      <c r="AD778" s="1">
        <v>9.0</v>
      </c>
      <c r="AE778" s="1">
        <v>9.0</v>
      </c>
      <c r="AF778" s="1" t="s">
        <v>54</v>
      </c>
      <c r="AG778" s="1">
        <v>26.0</v>
      </c>
      <c r="AH778" s="1">
        <v>16.0</v>
      </c>
      <c r="AI778" s="1">
        <v>16.0</v>
      </c>
      <c r="AJ778" s="1">
        <v>10.0</v>
      </c>
      <c r="AK778" s="1">
        <v>10.0</v>
      </c>
      <c r="AL778" s="1">
        <v>150.0</v>
      </c>
      <c r="AM778" s="1" t="s">
        <v>55</v>
      </c>
      <c r="AN778" s="1" t="s">
        <v>55</v>
      </c>
      <c r="AO778" s="1" t="s">
        <v>55</v>
      </c>
      <c r="AP778" s="1" t="s">
        <v>3887</v>
      </c>
      <c r="AQ778" s="3" t="str">
        <f>HYPERLINK("https://icf.clappia.com/app/GMB253374/submission/LNY32389523/ICF247370-GMB253374-678f2pcocj6o00000000/SIG-20250630_153761mn2.jpeg", "SIG-20250630_153761mn2.jpeg")</f>
        <v>SIG-20250630_153761mn2.jpeg</v>
      </c>
      <c r="AR778" s="1" t="s">
        <v>3888</v>
      </c>
      <c r="AS778" s="3" t="str">
        <f>HYPERLINK("https://icf.clappia.com/app/GMB253374/submission/LNY32389523/ICF247370-GMB253374-3lp62a7k7h6c00000000/SIG-20250630_1539ggjj.jpeg", "SIG-20250630_1539ggjj.jpeg")</f>
        <v>SIG-20250630_1539ggjj.jpeg</v>
      </c>
      <c r="AT778" s="1" t="s">
        <v>171</v>
      </c>
      <c r="AU778" s="3" t="str">
        <f>HYPERLINK("https://icf.clappia.com/app/GMB253374/submission/LNY32389523/ICF247370-GMB253374-1976bcejpbo240000000/SIG-20250630_15407n7g2.jpeg", "SIG-20250630_15407n7g2.jpeg")</f>
        <v>SIG-20250630_15407n7g2.jpeg</v>
      </c>
      <c r="AV778" s="3" t="str">
        <f>HYPERLINK("https://www.google.com/maps/place/9.3219833%2C-12.0061733", "9.3219833,-12.0061733")</f>
        <v>9.3219833,-12.0061733</v>
      </c>
    </row>
    <row r="779" ht="15.75" customHeight="1">
      <c r="A779" s="1" t="s">
        <v>3889</v>
      </c>
      <c r="B779" s="1" t="s">
        <v>161</v>
      </c>
      <c r="C779" s="1" t="s">
        <v>3890</v>
      </c>
      <c r="D779" s="1" t="s">
        <v>3891</v>
      </c>
      <c r="E779" s="1" t="s">
        <v>3892</v>
      </c>
      <c r="F779" s="1" t="s">
        <v>64</v>
      </c>
      <c r="G779" s="1">
        <v>400.0</v>
      </c>
      <c r="H779" s="1" t="s">
        <v>50</v>
      </c>
      <c r="I779" s="1">
        <v>69.0</v>
      </c>
      <c r="J779" s="1">
        <v>41.0</v>
      </c>
      <c r="K779" s="1">
        <v>41.0</v>
      </c>
      <c r="L779" s="1">
        <v>28.0</v>
      </c>
      <c r="M779" s="1">
        <v>28.0</v>
      </c>
      <c r="N779" s="1" t="s">
        <v>51</v>
      </c>
      <c r="O779" s="1">
        <v>58.0</v>
      </c>
      <c r="P779" s="1">
        <v>34.0</v>
      </c>
      <c r="Q779" s="1">
        <v>32.0</v>
      </c>
      <c r="R779" s="1">
        <v>24.0</v>
      </c>
      <c r="S779" s="1">
        <v>22.0</v>
      </c>
      <c r="T779" s="1" t="s">
        <v>52</v>
      </c>
      <c r="U779" s="1">
        <v>55.0</v>
      </c>
      <c r="V779" s="1">
        <v>32.0</v>
      </c>
      <c r="W779" s="1">
        <v>29.0</v>
      </c>
      <c r="X779" s="1">
        <v>23.0</v>
      </c>
      <c r="Y779" s="1">
        <v>18.0</v>
      </c>
      <c r="Z779" s="1" t="s">
        <v>53</v>
      </c>
      <c r="AA779" s="1">
        <v>65.0</v>
      </c>
      <c r="AB779" s="1">
        <v>41.0</v>
      </c>
      <c r="AC779" s="1">
        <v>36.0</v>
      </c>
      <c r="AD779" s="1">
        <v>24.0</v>
      </c>
      <c r="AE779" s="1">
        <v>20.0</v>
      </c>
      <c r="AF779" s="1" t="s">
        <v>54</v>
      </c>
      <c r="AG779" s="1">
        <v>58.0</v>
      </c>
      <c r="AH779" s="1">
        <v>32.0</v>
      </c>
      <c r="AI779" s="1">
        <v>29.0</v>
      </c>
      <c r="AJ779" s="1">
        <v>26.0</v>
      </c>
      <c r="AK779" s="1">
        <v>23.0</v>
      </c>
      <c r="AL779" s="1">
        <v>278.0</v>
      </c>
      <c r="AM779" s="1">
        <v>10.0</v>
      </c>
      <c r="AN779" s="1">
        <v>112.0</v>
      </c>
      <c r="AO779" s="1">
        <v>112.0</v>
      </c>
      <c r="AP779" s="1" t="s">
        <v>3893</v>
      </c>
      <c r="AQ779" s="3" t="str">
        <f>HYPERLINK("https://icf.clappia.com/app/GMB253374/submission/MJM95206729/ICF247370-GMB253374-2aj9j32ofla160000000/SIG-20250630_1804jijdf.jpeg", "SIG-20250630_1804jijdf.jpeg")</f>
        <v>SIG-20250630_1804jijdf.jpeg</v>
      </c>
      <c r="AR779" s="1" t="s">
        <v>3894</v>
      </c>
      <c r="AS779" s="3" t="str">
        <f>HYPERLINK("https://icf.clappia.com/app/GMB253374/submission/MJM95206729/ICF247370-GMB253374-4ec1h4eali780000000/SIG-20250630_1804jamef.jpeg", "SIG-20250630_1804jamef.jpeg")</f>
        <v>SIG-20250630_1804jamef.jpeg</v>
      </c>
      <c r="AT779" s="1" t="s">
        <v>3895</v>
      </c>
      <c r="AU779" s="3" t="str">
        <f>HYPERLINK("https://icf.clappia.com/app/GMB253374/submission/MJM95206729/ICF247370-GMB253374-4ei6f4fh1km600000000/SIG-20250630_180419ccfe.jpeg", "SIG-20250630_180419ccfe.jpeg")</f>
        <v>SIG-20250630_180419ccfe.jpeg</v>
      </c>
      <c r="AV779" s="3" t="str">
        <f>HYPERLINK("https://www.google.com/maps/place/8.0154667%2C-11.728965", "8.0154667,-11.728965")</f>
        <v>8.0154667,-11.728965</v>
      </c>
    </row>
    <row r="780" ht="15.75" customHeight="1">
      <c r="A780" s="1" t="s">
        <v>3896</v>
      </c>
      <c r="B780" s="1" t="s">
        <v>161</v>
      </c>
      <c r="C780" s="1" t="s">
        <v>3897</v>
      </c>
      <c r="D780" s="1" t="s">
        <v>3897</v>
      </c>
      <c r="E780" s="1" t="s">
        <v>3898</v>
      </c>
      <c r="F780" s="1" t="s">
        <v>49</v>
      </c>
      <c r="G780" s="1">
        <v>146.0</v>
      </c>
      <c r="H780" s="1" t="s">
        <v>50</v>
      </c>
      <c r="I780" s="1">
        <v>61.0</v>
      </c>
      <c r="J780" s="1">
        <v>26.0</v>
      </c>
      <c r="K780" s="1">
        <v>26.0</v>
      </c>
      <c r="L780" s="1">
        <v>35.0</v>
      </c>
      <c r="M780" s="1">
        <v>35.0</v>
      </c>
      <c r="N780" s="1" t="s">
        <v>51</v>
      </c>
      <c r="O780" s="1">
        <v>33.0</v>
      </c>
      <c r="P780" s="1">
        <v>15.0</v>
      </c>
      <c r="Q780" s="1">
        <v>15.0</v>
      </c>
      <c r="R780" s="1">
        <v>18.0</v>
      </c>
      <c r="S780" s="1">
        <v>18.0</v>
      </c>
      <c r="T780" s="1" t="s">
        <v>52</v>
      </c>
      <c r="U780" s="1">
        <v>17.0</v>
      </c>
      <c r="V780" s="1">
        <v>8.0</v>
      </c>
      <c r="W780" s="1">
        <v>8.0</v>
      </c>
      <c r="X780" s="1">
        <v>9.0</v>
      </c>
      <c r="Y780" s="1">
        <v>9.0</v>
      </c>
      <c r="Z780" s="1" t="s">
        <v>53</v>
      </c>
      <c r="AA780" s="1">
        <v>16.0</v>
      </c>
      <c r="AB780" s="1">
        <v>6.0</v>
      </c>
      <c r="AC780" s="1">
        <v>6.0</v>
      </c>
      <c r="AD780" s="1">
        <v>10.0</v>
      </c>
      <c r="AE780" s="1">
        <v>10.0</v>
      </c>
      <c r="AF780" s="1" t="s">
        <v>54</v>
      </c>
      <c r="AG780" s="1">
        <v>19.0</v>
      </c>
      <c r="AH780" s="1">
        <v>9.0</v>
      </c>
      <c r="AI780" s="1">
        <v>5.0</v>
      </c>
      <c r="AJ780" s="1">
        <v>10.0</v>
      </c>
      <c r="AK780" s="1">
        <v>4.0</v>
      </c>
      <c r="AL780" s="1">
        <v>136.0</v>
      </c>
      <c r="AM780" s="1">
        <v>10.0</v>
      </c>
      <c r="AN780" s="1" t="s">
        <v>55</v>
      </c>
      <c r="AO780" s="1" t="s">
        <v>55</v>
      </c>
      <c r="AP780" s="1" t="s">
        <v>793</v>
      </c>
      <c r="AQ780" s="3" t="str">
        <f>HYPERLINK("https://icf.clappia.com/app/GMB253374/submission/ZXJ08047363/ICF247370-GMB253374-343hm5c0ee2200000000/SIG-20250630_153413049n.jpeg", "SIG-20250630_153413049n.jpeg")</f>
        <v>SIG-20250630_153413049n.jpeg</v>
      </c>
      <c r="AR780" s="1" t="s">
        <v>794</v>
      </c>
      <c r="AS780" s="3" t="str">
        <f>HYPERLINK("https://icf.clappia.com/app/GMB253374/submission/ZXJ08047363/ICF247370-GMB253374-4hl17glffn4o00000000/SIG-20250630_1519192aa1.jpeg", "SIG-20250630_1519192aa1.jpeg")</f>
        <v>SIG-20250630_1519192aa1.jpeg</v>
      </c>
      <c r="AT780" s="1" t="s">
        <v>3899</v>
      </c>
      <c r="AU780" s="3" t="str">
        <f>HYPERLINK("https://icf.clappia.com/app/GMB253374/submission/ZXJ08047363/ICF247370-GMB253374-dj99ocbeean20000000/SIG-20250630_15347baip.jpeg", "SIG-20250630_15347baip.jpeg")</f>
        <v>SIG-20250630_15347baip.jpeg</v>
      </c>
      <c r="AV780" s="3" t="str">
        <f>HYPERLINK("https://www.google.com/maps/place/7.948884%2C-11.7094981", "7.948884,-11.7094981")</f>
        <v>7.948884,-11.7094981</v>
      </c>
    </row>
    <row r="781" ht="15.75" customHeight="1">
      <c r="A781" s="1" t="s">
        <v>3900</v>
      </c>
      <c r="B781" s="1" t="s">
        <v>81</v>
      </c>
      <c r="C781" s="1" t="s">
        <v>3901</v>
      </c>
      <c r="D781" s="1" t="s">
        <v>3901</v>
      </c>
      <c r="E781" s="1" t="s">
        <v>3902</v>
      </c>
      <c r="F781" s="1" t="s">
        <v>64</v>
      </c>
      <c r="G781" s="1">
        <v>220.0</v>
      </c>
      <c r="H781" s="1" t="s">
        <v>50</v>
      </c>
      <c r="I781" s="1">
        <v>75.0</v>
      </c>
      <c r="J781" s="1">
        <v>38.0</v>
      </c>
      <c r="K781" s="1">
        <v>20.0</v>
      </c>
      <c r="L781" s="1">
        <v>37.0</v>
      </c>
      <c r="M781" s="1">
        <v>21.0</v>
      </c>
      <c r="N781" s="1" t="s">
        <v>51</v>
      </c>
      <c r="O781" s="1">
        <v>93.0</v>
      </c>
      <c r="P781" s="1">
        <v>44.0</v>
      </c>
      <c r="Q781" s="1">
        <v>19.0</v>
      </c>
      <c r="R781" s="1">
        <v>49.0</v>
      </c>
      <c r="S781" s="1">
        <v>25.0</v>
      </c>
      <c r="T781" s="1" t="s">
        <v>52</v>
      </c>
      <c r="U781" s="1">
        <v>95.0</v>
      </c>
      <c r="V781" s="1">
        <v>39.0</v>
      </c>
      <c r="W781" s="1">
        <v>26.0</v>
      </c>
      <c r="X781" s="1">
        <v>56.0</v>
      </c>
      <c r="Y781" s="1">
        <v>35.0</v>
      </c>
      <c r="Z781" s="1" t="s">
        <v>53</v>
      </c>
      <c r="AA781" s="1">
        <v>107.0</v>
      </c>
      <c r="AB781" s="1">
        <v>51.0</v>
      </c>
      <c r="AC781" s="1">
        <v>30.0</v>
      </c>
      <c r="AD781" s="1">
        <v>56.0</v>
      </c>
      <c r="AE781" s="1">
        <v>44.0</v>
      </c>
      <c r="AF781" s="1" t="s">
        <v>54</v>
      </c>
      <c r="AG781" s="1" t="s">
        <v>55</v>
      </c>
      <c r="AH781" s="1" t="s">
        <v>55</v>
      </c>
      <c r="AI781" s="1" t="s">
        <v>55</v>
      </c>
      <c r="AJ781" s="1" t="s">
        <v>55</v>
      </c>
      <c r="AK781" s="1" t="s">
        <v>55</v>
      </c>
      <c r="AL781" s="1">
        <v>220.0</v>
      </c>
      <c r="AM781" s="1" t="s">
        <v>55</v>
      </c>
      <c r="AN781" s="1" t="s">
        <v>55</v>
      </c>
      <c r="AO781" s="1" t="s">
        <v>55</v>
      </c>
      <c r="AP781" s="1" t="s">
        <v>2910</v>
      </c>
      <c r="AQ781" s="3" t="str">
        <f>HYPERLINK("https://icf.clappia.com/app/GMB253374/submission/DJR47577182/ICF247370-GMB253374-3hg5nkl2g17800000000/SIG-20250630_17137o48n.jpeg", "SIG-20250630_17137o48n.jpeg")</f>
        <v>SIG-20250630_17137o48n.jpeg</v>
      </c>
      <c r="AR781" s="1" t="s">
        <v>2911</v>
      </c>
      <c r="AS781" s="3" t="str">
        <f>HYPERLINK("https://icf.clappia.com/app/GMB253374/submission/DJR47577182/ICF247370-GMB253374-29432mkc5pp8k000000/SIG-20250630_17141hkpp.jpeg", "SIG-20250630_17141hkpp.jpeg")</f>
        <v>SIG-20250630_17141hkpp.jpeg</v>
      </c>
      <c r="AT781" s="1" t="s">
        <v>3903</v>
      </c>
      <c r="AU781" s="3" t="str">
        <f>HYPERLINK("https://icf.clappia.com/app/GMB253374/submission/DJR47577182/ICF247370-GMB253374-3g93dfdd89a800000000/SIG-20250630_17176ajd7.jpeg", "SIG-20250630_17176ajd7.jpeg")</f>
        <v>SIG-20250630_17176ajd7.jpeg</v>
      </c>
      <c r="AV781" s="3" t="str">
        <f>HYPERLINK("https://www.google.com/maps/place/7.9674945%2C-11.7255121", "7.9674945,-11.7255121")</f>
        <v>7.9674945,-11.7255121</v>
      </c>
    </row>
    <row r="782" ht="15.75" customHeight="1">
      <c r="A782" s="1" t="s">
        <v>3904</v>
      </c>
      <c r="B782" s="1" t="s">
        <v>438</v>
      </c>
      <c r="C782" s="1" t="s">
        <v>3905</v>
      </c>
      <c r="D782" s="1" t="s">
        <v>3905</v>
      </c>
      <c r="E782" s="1" t="s">
        <v>3906</v>
      </c>
      <c r="F782" s="1" t="s">
        <v>64</v>
      </c>
      <c r="G782" s="1">
        <v>100.0</v>
      </c>
      <c r="H782" s="1" t="s">
        <v>50</v>
      </c>
      <c r="I782" s="1">
        <v>94.0</v>
      </c>
      <c r="J782" s="1">
        <v>44.0</v>
      </c>
      <c r="K782" s="1">
        <v>44.0</v>
      </c>
      <c r="L782" s="1">
        <v>50.0</v>
      </c>
      <c r="M782" s="1">
        <v>50.0</v>
      </c>
      <c r="N782" s="1" t="s">
        <v>51</v>
      </c>
      <c r="O782" s="1" t="s">
        <v>55</v>
      </c>
      <c r="P782" s="1" t="s">
        <v>55</v>
      </c>
      <c r="Q782" s="1" t="s">
        <v>55</v>
      </c>
      <c r="R782" s="1" t="s">
        <v>55</v>
      </c>
      <c r="S782" s="1" t="s">
        <v>55</v>
      </c>
      <c r="T782" s="1" t="s">
        <v>52</v>
      </c>
      <c r="U782" s="1" t="s">
        <v>55</v>
      </c>
      <c r="V782" s="1" t="s">
        <v>55</v>
      </c>
      <c r="W782" s="1" t="s">
        <v>55</v>
      </c>
      <c r="X782" s="1" t="s">
        <v>55</v>
      </c>
      <c r="Y782" s="1" t="s">
        <v>55</v>
      </c>
      <c r="Z782" s="1" t="s">
        <v>53</v>
      </c>
      <c r="AA782" s="1" t="s">
        <v>55</v>
      </c>
      <c r="AB782" s="1" t="s">
        <v>55</v>
      </c>
      <c r="AC782" s="1" t="s">
        <v>55</v>
      </c>
      <c r="AD782" s="1" t="s">
        <v>55</v>
      </c>
      <c r="AE782" s="1" t="s">
        <v>55</v>
      </c>
      <c r="AF782" s="1" t="s">
        <v>54</v>
      </c>
      <c r="AG782" s="1" t="s">
        <v>55</v>
      </c>
      <c r="AH782" s="1" t="s">
        <v>55</v>
      </c>
      <c r="AI782" s="1" t="s">
        <v>55</v>
      </c>
      <c r="AJ782" s="1" t="s">
        <v>55</v>
      </c>
      <c r="AK782" s="1" t="s">
        <v>55</v>
      </c>
      <c r="AL782" s="1">
        <v>94.0</v>
      </c>
      <c r="AM782" s="1" t="s">
        <v>55</v>
      </c>
      <c r="AN782" s="1">
        <v>6.0</v>
      </c>
      <c r="AO782" s="1">
        <v>6.0</v>
      </c>
      <c r="AP782" s="1" t="s">
        <v>441</v>
      </c>
      <c r="AQ782" s="3" t="str">
        <f>HYPERLINK("https://icf.clappia.com/app/GMB253374/submission/OAY41207360/ICF247370-GMB253374-3io7h90j3jk800000000/SIG-20250630_12598dg25.jpeg", "SIG-20250630_12598dg25.jpeg")</f>
        <v>SIG-20250630_12598dg25.jpeg</v>
      </c>
      <c r="AR782" s="1" t="s">
        <v>3907</v>
      </c>
      <c r="AS782" s="3" t="str">
        <f>HYPERLINK("https://icf.clappia.com/app/GMB253374/submission/OAY41207360/ICF247370-GMB253374-4l371b1jol1600000000/SIG-20250630_131619if72.jpeg", "SIG-20250630_131619if72.jpeg")</f>
        <v>SIG-20250630_131619if72.jpeg</v>
      </c>
      <c r="AT782" s="1" t="s">
        <v>3908</v>
      </c>
      <c r="AU782" s="3" t="str">
        <f>HYPERLINK("https://icf.clappia.com/app/GMB253374/submission/OAY41207360/ICF247370-GMB253374-5ne3a79gal2o0000000/SIG-20250630_130212c305.jpeg", "SIG-20250630_130212c305.jpeg")</f>
        <v>SIG-20250630_130212c305.jpeg</v>
      </c>
      <c r="AV782" s="3" t="str">
        <f>HYPERLINK("https://www.google.com/maps/place/7.681025%2C-11.7694083", "7.681025,-11.7694083")</f>
        <v>7.681025,-11.7694083</v>
      </c>
    </row>
    <row r="783" ht="15.75" customHeight="1">
      <c r="A783" s="1" t="s">
        <v>3909</v>
      </c>
      <c r="B783" s="1" t="s">
        <v>161</v>
      </c>
      <c r="C783" s="1" t="s">
        <v>3910</v>
      </c>
      <c r="D783" s="1" t="s">
        <v>3910</v>
      </c>
      <c r="E783" s="1" t="s">
        <v>3911</v>
      </c>
      <c r="F783" s="1" t="s">
        <v>64</v>
      </c>
      <c r="G783" s="1">
        <v>300.0</v>
      </c>
      <c r="H783" s="1" t="s">
        <v>50</v>
      </c>
      <c r="I783" s="1">
        <v>63.0</v>
      </c>
      <c r="J783" s="1">
        <v>30.0</v>
      </c>
      <c r="K783" s="1">
        <v>17.0</v>
      </c>
      <c r="L783" s="1">
        <v>33.0</v>
      </c>
      <c r="M783" s="1">
        <v>27.0</v>
      </c>
      <c r="N783" s="1" t="s">
        <v>51</v>
      </c>
      <c r="O783" s="1">
        <v>65.0</v>
      </c>
      <c r="P783" s="1">
        <v>31.0</v>
      </c>
      <c r="Q783" s="1">
        <v>20.0</v>
      </c>
      <c r="R783" s="1">
        <v>34.0</v>
      </c>
      <c r="S783" s="1">
        <v>7.0</v>
      </c>
      <c r="T783" s="1" t="s">
        <v>52</v>
      </c>
      <c r="U783" s="1">
        <v>26.0</v>
      </c>
      <c r="V783" s="1">
        <v>26.0</v>
      </c>
      <c r="W783" s="1">
        <v>12.0</v>
      </c>
      <c r="X783" s="1" t="s">
        <v>55</v>
      </c>
      <c r="Y783" s="1" t="s">
        <v>55</v>
      </c>
      <c r="Z783" s="1" t="s">
        <v>53</v>
      </c>
      <c r="AA783" s="1">
        <v>40.0</v>
      </c>
      <c r="AB783" s="1">
        <v>22.0</v>
      </c>
      <c r="AC783" s="1">
        <v>10.0</v>
      </c>
      <c r="AD783" s="1">
        <v>18.0</v>
      </c>
      <c r="AE783" s="1">
        <v>5.0</v>
      </c>
      <c r="AF783" s="1" t="s">
        <v>54</v>
      </c>
      <c r="AG783" s="1">
        <v>32.0</v>
      </c>
      <c r="AH783" s="1">
        <v>12.0</v>
      </c>
      <c r="AI783" s="1">
        <v>6.0</v>
      </c>
      <c r="AJ783" s="1">
        <v>20.0</v>
      </c>
      <c r="AK783" s="1">
        <v>2.0</v>
      </c>
      <c r="AL783" s="1">
        <v>106.0</v>
      </c>
      <c r="AM783" s="1">
        <v>10.0</v>
      </c>
      <c r="AN783" s="1">
        <v>184.0</v>
      </c>
      <c r="AO783" s="1">
        <v>184.0</v>
      </c>
      <c r="AP783" s="1" t="s">
        <v>3912</v>
      </c>
      <c r="AQ783" s="3" t="str">
        <f>HYPERLINK("https://icf.clappia.com/app/GMB253374/submission/OYV62173863/ICF247370-GMB253374-140oln4i9ol280000000/SIG-20250630_1730f708.jpeg", "SIG-20250630_1730f708.jpeg")</f>
        <v>SIG-20250630_1730f708.jpeg</v>
      </c>
      <c r="AR783" s="1" t="s">
        <v>3913</v>
      </c>
      <c r="AS783" s="3" t="str">
        <f>HYPERLINK("https://icf.clappia.com/app/GMB253374/submission/OYV62173863/ICF247370-GMB253374-48g4gf7e9dkg00000000/SIG-20250630_1730lc2jh.jpeg", "SIG-20250630_1730lc2jh.jpeg")</f>
        <v>SIG-20250630_1730lc2jh.jpeg</v>
      </c>
      <c r="AT783" s="1" t="s">
        <v>3914</v>
      </c>
      <c r="AU783" s="3" t="str">
        <f>HYPERLINK("https://icf.clappia.com/app/GMB253374/submission/OYV62173863/ICF247370-GMB253374-3mppo2g3pb1600000000/SIG-20250630_17314cp2a.jpeg", "SIG-20250630_17314cp2a.jpeg")</f>
        <v>SIG-20250630_17314cp2a.jpeg</v>
      </c>
      <c r="AV783" s="3" t="str">
        <f>HYPERLINK("https://www.google.com/maps/place/8.0146433%2C-11.728945", "8.0146433,-11.728945")</f>
        <v>8.0146433,-11.728945</v>
      </c>
    </row>
    <row r="784" ht="15.75" customHeight="1">
      <c r="A784" s="1" t="s">
        <v>3915</v>
      </c>
      <c r="B784" s="1" t="s">
        <v>356</v>
      </c>
      <c r="C784" s="1" t="s">
        <v>3916</v>
      </c>
      <c r="D784" s="1" t="s">
        <v>3916</v>
      </c>
      <c r="E784" s="1" t="s">
        <v>3917</v>
      </c>
      <c r="F784" s="1" t="s">
        <v>64</v>
      </c>
      <c r="G784" s="1">
        <v>100.0</v>
      </c>
      <c r="H784" s="1" t="s">
        <v>50</v>
      </c>
      <c r="I784" s="1">
        <v>45.0</v>
      </c>
      <c r="J784" s="1">
        <v>22.0</v>
      </c>
      <c r="K784" s="1">
        <v>22.0</v>
      </c>
      <c r="L784" s="1">
        <v>23.0</v>
      </c>
      <c r="M784" s="1">
        <v>23.0</v>
      </c>
      <c r="N784" s="1" t="s">
        <v>51</v>
      </c>
      <c r="O784" s="1">
        <v>23.0</v>
      </c>
      <c r="P784" s="1">
        <v>11.0</v>
      </c>
      <c r="Q784" s="1">
        <v>11.0</v>
      </c>
      <c r="R784" s="1">
        <v>12.0</v>
      </c>
      <c r="S784" s="1">
        <v>12.0</v>
      </c>
      <c r="T784" s="1" t="s">
        <v>52</v>
      </c>
      <c r="U784" s="1">
        <v>18.0</v>
      </c>
      <c r="V784" s="1">
        <v>8.0</v>
      </c>
      <c r="W784" s="1">
        <v>8.0</v>
      </c>
      <c r="X784" s="1">
        <v>10.0</v>
      </c>
      <c r="Y784" s="1">
        <v>10.0</v>
      </c>
      <c r="Z784" s="1" t="s">
        <v>53</v>
      </c>
      <c r="AA784" s="1">
        <v>12.0</v>
      </c>
      <c r="AB784" s="1">
        <v>5.0</v>
      </c>
      <c r="AC784" s="1">
        <v>5.0</v>
      </c>
      <c r="AD784" s="1">
        <v>7.0</v>
      </c>
      <c r="AE784" s="1">
        <v>7.0</v>
      </c>
      <c r="AF784" s="1" t="s">
        <v>54</v>
      </c>
      <c r="AG784" s="1" t="s">
        <v>55</v>
      </c>
      <c r="AH784" s="1" t="s">
        <v>55</v>
      </c>
      <c r="AI784" s="1" t="s">
        <v>55</v>
      </c>
      <c r="AJ784" s="1" t="s">
        <v>55</v>
      </c>
      <c r="AK784" s="1" t="s">
        <v>55</v>
      </c>
      <c r="AL784" s="1">
        <v>98.0</v>
      </c>
      <c r="AM784" s="1" t="s">
        <v>55</v>
      </c>
      <c r="AN784" s="1">
        <v>2.0</v>
      </c>
      <c r="AO784" s="1" t="s">
        <v>55</v>
      </c>
      <c r="AP784" s="1" t="s">
        <v>1922</v>
      </c>
      <c r="AQ784" s="3" t="str">
        <f>HYPERLINK("https://icf.clappia.com/app/GMB253374/submission/QJT10872541/ICF247370-GMB253374-2amhbk2dnpcja0000000/SIG-20250630_1720b98mm.jpeg", "SIG-20250630_1720b98mm.jpeg")</f>
        <v>SIG-20250630_1720b98mm.jpeg</v>
      </c>
      <c r="AR784" s="1" t="s">
        <v>1924</v>
      </c>
      <c r="AS784" s="3" t="str">
        <f>HYPERLINK("https://icf.clappia.com/app/GMB253374/submission/QJT10872541/ICF247370-GMB253374-hm1igm2ei8800000000/SIG-20250630_125814kgk6.jpeg", "SIG-20250630_125814kgk6.jpeg")</f>
        <v>SIG-20250630_125814kgk6.jpeg</v>
      </c>
      <c r="AT784" s="1" t="s">
        <v>1923</v>
      </c>
      <c r="AU784" s="3" t="str">
        <f>HYPERLINK("https://icf.clappia.com/app/GMB253374/submission/QJT10872541/ICF247370-GMB253374-1p8ac870hniac0000000/SIG-20250630_17223pj8g.jpeg", "SIG-20250630_17223pj8g.jpeg")</f>
        <v>SIG-20250630_17223pj8g.jpeg</v>
      </c>
      <c r="AV784" s="3" t="str">
        <f>HYPERLINK("https://www.google.com/maps/place/8.2357668%2C-11.6912849", "8.2357668,-11.6912849")</f>
        <v>8.2357668,-11.6912849</v>
      </c>
    </row>
    <row r="785" ht="15.75" customHeight="1">
      <c r="A785" s="1" t="s">
        <v>3918</v>
      </c>
      <c r="B785" s="1" t="s">
        <v>142</v>
      </c>
      <c r="C785" s="1" t="s">
        <v>3919</v>
      </c>
      <c r="D785" s="1" t="s">
        <v>3919</v>
      </c>
      <c r="E785" s="1" t="s">
        <v>3920</v>
      </c>
      <c r="F785" s="1" t="s">
        <v>64</v>
      </c>
      <c r="G785" s="1">
        <v>242.0</v>
      </c>
      <c r="H785" s="1" t="s">
        <v>50</v>
      </c>
      <c r="I785" s="1">
        <v>81.0</v>
      </c>
      <c r="J785" s="1">
        <v>37.0</v>
      </c>
      <c r="K785" s="1">
        <v>37.0</v>
      </c>
      <c r="L785" s="1">
        <v>44.0</v>
      </c>
      <c r="M785" s="1">
        <v>44.0</v>
      </c>
      <c r="N785" s="1" t="s">
        <v>51</v>
      </c>
      <c r="O785" s="1">
        <v>48.0</v>
      </c>
      <c r="P785" s="1">
        <v>22.0</v>
      </c>
      <c r="Q785" s="1">
        <v>22.0</v>
      </c>
      <c r="R785" s="1">
        <v>26.0</v>
      </c>
      <c r="S785" s="1">
        <v>26.0</v>
      </c>
      <c r="T785" s="1" t="s">
        <v>52</v>
      </c>
      <c r="U785" s="1">
        <v>50.0</v>
      </c>
      <c r="V785" s="1">
        <v>28.0</v>
      </c>
      <c r="W785" s="1">
        <v>28.0</v>
      </c>
      <c r="X785" s="1">
        <v>22.0</v>
      </c>
      <c r="Y785" s="1">
        <v>22.0</v>
      </c>
      <c r="Z785" s="1" t="s">
        <v>53</v>
      </c>
      <c r="AA785" s="1">
        <v>39.0</v>
      </c>
      <c r="AB785" s="1">
        <v>21.0</v>
      </c>
      <c r="AC785" s="1">
        <v>21.0</v>
      </c>
      <c r="AD785" s="1">
        <v>18.0</v>
      </c>
      <c r="AE785" s="1">
        <v>18.0</v>
      </c>
      <c r="AF785" s="1" t="s">
        <v>54</v>
      </c>
      <c r="AG785" s="1">
        <v>24.0</v>
      </c>
      <c r="AH785" s="1">
        <v>14.0</v>
      </c>
      <c r="AI785" s="1">
        <v>14.0</v>
      </c>
      <c r="AJ785" s="1">
        <v>10.0</v>
      </c>
      <c r="AK785" s="1">
        <v>10.0</v>
      </c>
      <c r="AL785" s="1">
        <v>242.0</v>
      </c>
      <c r="AM785" s="1" t="s">
        <v>55</v>
      </c>
      <c r="AN785" s="1" t="s">
        <v>55</v>
      </c>
      <c r="AO785" s="1" t="s">
        <v>55</v>
      </c>
      <c r="AP785" s="1" t="s">
        <v>1444</v>
      </c>
      <c r="AQ785" s="3" t="str">
        <f>HYPERLINK("https://icf.clappia.com/app/GMB253374/submission/JFJ62737058/ICF247370-GMB253374-167ph052o5jm0000000/SIG-20250630_171617nheb.jpeg", "SIG-20250630_171617nheb.jpeg")</f>
        <v>SIG-20250630_171617nheb.jpeg</v>
      </c>
      <c r="AR785" s="1" t="s">
        <v>3921</v>
      </c>
      <c r="AS785" s="3" t="str">
        <f>HYPERLINK("https://icf.clappia.com/app/GMB253374/submission/JFJ62737058/ICF247370-GMB253374-1541lbh6k2i400000000/SIG-20250630_171611d1na.jpeg", "SIG-20250630_171611d1na.jpeg")</f>
        <v>SIG-20250630_171611d1na.jpeg</v>
      </c>
      <c r="AT785" s="1" t="s">
        <v>2765</v>
      </c>
      <c r="AU785" s="3" t="str">
        <f>HYPERLINK("https://icf.clappia.com/app/GMB253374/submission/JFJ62737058/ICF247370-GMB253374-4c49hnhd793800000000/SIG-20250630_171738ggg.jpeg", "SIG-20250630_171738ggg.jpeg")</f>
        <v>SIG-20250630_171738ggg.jpeg</v>
      </c>
      <c r="AV785" s="3" t="str">
        <f>HYPERLINK("https://www.google.com/maps/place/7.7387858%2C-11.9849207", "7.7387858,-11.9849207")</f>
        <v>7.7387858,-11.9849207</v>
      </c>
    </row>
    <row r="786" ht="15.75" customHeight="1">
      <c r="A786" s="1" t="s">
        <v>3922</v>
      </c>
      <c r="B786" s="1" t="s">
        <v>142</v>
      </c>
      <c r="C786" s="1" t="s">
        <v>3923</v>
      </c>
      <c r="D786" s="1" t="s">
        <v>3923</v>
      </c>
      <c r="E786" s="1" t="s">
        <v>3924</v>
      </c>
      <c r="F786" s="1" t="s">
        <v>64</v>
      </c>
      <c r="G786" s="1">
        <v>176.0</v>
      </c>
      <c r="H786" s="1" t="s">
        <v>50</v>
      </c>
      <c r="I786" s="1">
        <v>26.0</v>
      </c>
      <c r="J786" s="1">
        <v>13.0</v>
      </c>
      <c r="K786" s="1">
        <v>12.0</v>
      </c>
      <c r="L786" s="1">
        <v>13.0</v>
      </c>
      <c r="M786" s="1">
        <v>13.0</v>
      </c>
      <c r="N786" s="1" t="s">
        <v>51</v>
      </c>
      <c r="O786" s="1">
        <v>12.0</v>
      </c>
      <c r="P786" s="1">
        <v>6.0</v>
      </c>
      <c r="Q786" s="1">
        <v>6.0</v>
      </c>
      <c r="R786" s="1">
        <v>6.0</v>
      </c>
      <c r="S786" s="1">
        <v>6.0</v>
      </c>
      <c r="T786" s="1" t="s">
        <v>52</v>
      </c>
      <c r="U786" s="1">
        <v>44.0</v>
      </c>
      <c r="V786" s="1">
        <v>22.0</v>
      </c>
      <c r="W786" s="1">
        <v>22.0</v>
      </c>
      <c r="X786" s="1">
        <v>22.0</v>
      </c>
      <c r="Y786" s="1">
        <v>22.0</v>
      </c>
      <c r="Z786" s="1" t="s">
        <v>53</v>
      </c>
      <c r="AA786" s="1">
        <v>44.0</v>
      </c>
      <c r="AB786" s="1">
        <v>22.0</v>
      </c>
      <c r="AC786" s="1">
        <v>22.0</v>
      </c>
      <c r="AD786" s="1">
        <v>22.0</v>
      </c>
      <c r="AE786" s="1">
        <v>22.0</v>
      </c>
      <c r="AF786" s="1" t="s">
        <v>54</v>
      </c>
      <c r="AG786" s="1">
        <v>24.0</v>
      </c>
      <c r="AH786" s="1">
        <v>12.0</v>
      </c>
      <c r="AI786" s="1">
        <v>11.0</v>
      </c>
      <c r="AJ786" s="1">
        <v>12.0</v>
      </c>
      <c r="AK786" s="1">
        <v>12.0</v>
      </c>
      <c r="AL786" s="1">
        <v>148.0</v>
      </c>
      <c r="AM786" s="1" t="s">
        <v>55</v>
      </c>
      <c r="AN786" s="1">
        <v>28.0</v>
      </c>
      <c r="AO786" s="1">
        <v>28.0</v>
      </c>
      <c r="AP786" s="1" t="s">
        <v>2952</v>
      </c>
      <c r="AQ786" s="3" t="str">
        <f>HYPERLINK("https://icf.clappia.com/app/GMB253374/submission/KCD06759977/ICF247370-GMB253374-5f28gbd3m58400000000/SIG-20250630_1712hpk1o.jpeg", "SIG-20250630_1712hpk1o.jpeg")</f>
        <v>SIG-20250630_1712hpk1o.jpeg</v>
      </c>
      <c r="AR786" s="1" t="s">
        <v>3925</v>
      </c>
      <c r="AS786" s="3" t="str">
        <f>HYPERLINK("https://icf.clappia.com/app/GMB253374/submission/KCD06759977/ICF247370-GMB253374-nokj712k6a3a0000000/SIG-20250630_1712nnkmf.jpeg", "SIG-20250630_1712nnkmf.jpeg")</f>
        <v>SIG-20250630_1712nnkmf.jpeg</v>
      </c>
      <c r="AT786" s="1" t="s">
        <v>3926</v>
      </c>
      <c r="AU786" s="3" t="str">
        <f>HYPERLINK("https://icf.clappia.com/app/GMB253374/submission/KCD06759977/ICF247370-GMB253374-6a2751ji4kb200000000/SIG-20250630_171311ih5b.jpeg", "SIG-20250630_171311ih5b.jpeg")</f>
        <v>SIG-20250630_171311ih5b.jpeg</v>
      </c>
      <c r="AV786" s="3" t="str">
        <f>HYPERLINK("https://www.google.com/maps/place/7.9666317%2C-12.0276783", "7.9666317,-12.0276783")</f>
        <v>7.9666317,-12.0276783</v>
      </c>
    </row>
    <row r="787" ht="15.75" customHeight="1">
      <c r="A787" s="1" t="s">
        <v>3927</v>
      </c>
      <c r="B787" s="1" t="s">
        <v>60</v>
      </c>
      <c r="C787" s="1" t="s">
        <v>3928</v>
      </c>
      <c r="D787" s="1" t="s">
        <v>3928</v>
      </c>
      <c r="E787" s="1" t="s">
        <v>3929</v>
      </c>
      <c r="F787" s="1" t="s">
        <v>64</v>
      </c>
      <c r="G787" s="1">
        <v>110.0</v>
      </c>
      <c r="H787" s="1" t="s">
        <v>50</v>
      </c>
      <c r="I787" s="1">
        <v>60.0</v>
      </c>
      <c r="J787" s="1">
        <v>30.0</v>
      </c>
      <c r="K787" s="1">
        <v>8.0</v>
      </c>
      <c r="L787" s="1">
        <v>30.0</v>
      </c>
      <c r="M787" s="1">
        <v>5.0</v>
      </c>
      <c r="N787" s="1" t="s">
        <v>51</v>
      </c>
      <c r="O787" s="1">
        <v>36.0</v>
      </c>
      <c r="P787" s="1">
        <v>24.0</v>
      </c>
      <c r="Q787" s="1">
        <v>7.0</v>
      </c>
      <c r="R787" s="1">
        <v>12.0</v>
      </c>
      <c r="S787" s="1">
        <v>9.0</v>
      </c>
      <c r="T787" s="1" t="s">
        <v>52</v>
      </c>
      <c r="U787" s="1">
        <v>30.0</v>
      </c>
      <c r="V787" s="1">
        <v>17.0</v>
      </c>
      <c r="W787" s="1">
        <v>11.0</v>
      </c>
      <c r="X787" s="1">
        <v>13.0</v>
      </c>
      <c r="Y787" s="1">
        <v>3.0</v>
      </c>
      <c r="Z787" s="1" t="s">
        <v>53</v>
      </c>
      <c r="AA787" s="1">
        <v>36.0</v>
      </c>
      <c r="AB787" s="1">
        <v>16.0</v>
      </c>
      <c r="AC787" s="1">
        <v>5.0</v>
      </c>
      <c r="AD787" s="1">
        <v>20.0</v>
      </c>
      <c r="AE787" s="1">
        <v>6.0</v>
      </c>
      <c r="AF787" s="1" t="s">
        <v>54</v>
      </c>
      <c r="AG787" s="1">
        <v>27.0</v>
      </c>
      <c r="AH787" s="1">
        <v>15.0</v>
      </c>
      <c r="AI787" s="1">
        <v>14.0</v>
      </c>
      <c r="AJ787" s="1">
        <v>12.0</v>
      </c>
      <c r="AK787" s="1">
        <v>12.0</v>
      </c>
      <c r="AL787" s="1">
        <v>80.0</v>
      </c>
      <c r="AM787" s="1">
        <v>10.0</v>
      </c>
      <c r="AN787" s="1">
        <v>20.0</v>
      </c>
      <c r="AO787" s="1">
        <v>20.0</v>
      </c>
      <c r="AP787" s="1" t="s">
        <v>2464</v>
      </c>
      <c r="AQ787" s="3" t="str">
        <f>HYPERLINK("https://icf.clappia.com/app/GMB253374/submission/YRS03343154/ICF247370-GMB253374-57fgb05loecm00000000/SIG-20250630_1246a0hmf.jpeg", "SIG-20250630_1246a0hmf.jpeg")</f>
        <v>SIG-20250630_1246a0hmf.jpeg</v>
      </c>
      <c r="AR787" s="1" t="s">
        <v>2465</v>
      </c>
      <c r="AS787" s="3" t="str">
        <f>HYPERLINK("https://icf.clappia.com/app/GMB253374/submission/YRS03343154/ICF247370-GMB253374-pnkj66m9b2de0000000/SIG-20250630_12439flk9.jpeg", "SIG-20250630_12439flk9.jpeg")</f>
        <v>SIG-20250630_12439flk9.jpeg</v>
      </c>
      <c r="AT787" s="1" t="s">
        <v>1361</v>
      </c>
      <c r="AU787" s="3" t="str">
        <f>HYPERLINK("https://icf.clappia.com/app/GMB253374/submission/YRS03343154/ICF247370-GMB253374-3od3cdii539m00000000/SIG-20250630_1243175ho.jpeg", "SIG-20250630_1243175ho.jpeg")</f>
        <v>SIG-20250630_1243175ho.jpeg</v>
      </c>
      <c r="AV787" s="3" t="str">
        <f>HYPERLINK("https://www.google.com/maps/place/9.2113286%2C-11.9335588", "9.2113286,-11.9335588")</f>
        <v>9.2113286,-11.9335588</v>
      </c>
    </row>
    <row r="788" ht="15.75" customHeight="1">
      <c r="A788" s="1" t="s">
        <v>3930</v>
      </c>
      <c r="B788" s="1" t="s">
        <v>189</v>
      </c>
      <c r="C788" s="1" t="s">
        <v>3931</v>
      </c>
      <c r="D788" s="1" t="s">
        <v>3931</v>
      </c>
      <c r="E788" s="1" t="s">
        <v>3932</v>
      </c>
      <c r="F788" s="1" t="s">
        <v>64</v>
      </c>
      <c r="G788" s="1">
        <v>450.0</v>
      </c>
      <c r="H788" s="1" t="s">
        <v>50</v>
      </c>
      <c r="I788" s="1">
        <v>103.0</v>
      </c>
      <c r="J788" s="1">
        <v>65.0</v>
      </c>
      <c r="K788" s="1">
        <v>40.0</v>
      </c>
      <c r="L788" s="1">
        <v>38.0</v>
      </c>
      <c r="M788" s="1">
        <v>30.0</v>
      </c>
      <c r="N788" s="1" t="s">
        <v>51</v>
      </c>
      <c r="O788" s="1">
        <v>98.0</v>
      </c>
      <c r="P788" s="1">
        <v>48.0</v>
      </c>
      <c r="Q788" s="1">
        <v>41.0</v>
      </c>
      <c r="R788" s="1">
        <v>50.0</v>
      </c>
      <c r="S788" s="1">
        <v>40.0</v>
      </c>
      <c r="T788" s="1" t="s">
        <v>52</v>
      </c>
      <c r="U788" s="1">
        <v>95.0</v>
      </c>
      <c r="V788" s="1">
        <v>58.0</v>
      </c>
      <c r="W788" s="1">
        <v>44.0</v>
      </c>
      <c r="X788" s="1">
        <v>37.0</v>
      </c>
      <c r="Y788" s="1">
        <v>30.0</v>
      </c>
      <c r="Z788" s="1" t="s">
        <v>53</v>
      </c>
      <c r="AA788" s="1">
        <v>100.0</v>
      </c>
      <c r="AB788" s="1">
        <v>55.0</v>
      </c>
      <c r="AC788" s="1">
        <v>47.0</v>
      </c>
      <c r="AD788" s="1">
        <v>45.0</v>
      </c>
      <c r="AE788" s="1">
        <v>35.0</v>
      </c>
      <c r="AF788" s="1" t="s">
        <v>54</v>
      </c>
      <c r="AG788" s="1">
        <v>94.0</v>
      </c>
      <c r="AH788" s="1">
        <v>50.0</v>
      </c>
      <c r="AI788" s="1">
        <v>40.0</v>
      </c>
      <c r="AJ788" s="1">
        <v>44.0</v>
      </c>
      <c r="AK788" s="1">
        <v>32.0</v>
      </c>
      <c r="AL788" s="1">
        <v>379.0</v>
      </c>
      <c r="AM788" s="1">
        <v>10.0</v>
      </c>
      <c r="AN788" s="1">
        <v>61.0</v>
      </c>
      <c r="AO788" s="1">
        <v>61.0</v>
      </c>
      <c r="AP788" s="1" t="s">
        <v>3933</v>
      </c>
      <c r="AQ788" s="3" t="str">
        <f>HYPERLINK("https://icf.clappia.com/app/GMB253374/submission/JRM39741635/ICF247370-GMB253374-24i826hk0mhk40000000/SIG-20250630_1653310n6.jpeg", "SIG-20250630_1653310n6.jpeg")</f>
        <v>SIG-20250630_1653310n6.jpeg</v>
      </c>
      <c r="AR788" s="1" t="s">
        <v>3934</v>
      </c>
      <c r="AS788" s="3" t="str">
        <f>HYPERLINK("https://icf.clappia.com/app/GMB253374/submission/JRM39741635/ICF247370-GMB253374-193pn4e9nmhao0000000/SIG-20250630_16544593g.jpeg", "SIG-20250630_16544593g.jpeg")</f>
        <v>SIG-20250630_16544593g.jpeg</v>
      </c>
      <c r="AT788" s="1" t="s">
        <v>3935</v>
      </c>
      <c r="AU788" s="3" t="str">
        <f>HYPERLINK("https://icf.clappia.com/app/GMB253374/submission/JRM39741635/ICF247370-GMB253374-3p2345of1mem00000000/SIG-20250630_1655bk20g.jpeg", "SIG-20250630_1655bk20g.jpeg")</f>
        <v>SIG-20250630_1655bk20g.jpeg</v>
      </c>
      <c r="AV788" s="3" t="str">
        <f>HYPERLINK("https://www.google.com/maps/place/8.8785583%2C-12.0532733", "8.8785583,-12.0532733")</f>
        <v>8.8785583,-12.0532733</v>
      </c>
    </row>
    <row r="789" ht="15.75" customHeight="1">
      <c r="A789" s="1" t="s">
        <v>3936</v>
      </c>
      <c r="B789" s="1" t="s">
        <v>46</v>
      </c>
      <c r="C789" s="1" t="s">
        <v>3937</v>
      </c>
      <c r="D789" s="1" t="s">
        <v>3937</v>
      </c>
      <c r="E789" s="2" t="s">
        <v>3938</v>
      </c>
      <c r="F789" s="1" t="s">
        <v>49</v>
      </c>
      <c r="G789" s="1">
        <v>250.0</v>
      </c>
      <c r="H789" s="1" t="s">
        <v>50</v>
      </c>
      <c r="I789" s="1">
        <v>50.0</v>
      </c>
      <c r="J789" s="1">
        <v>22.0</v>
      </c>
      <c r="K789" s="1">
        <v>22.0</v>
      </c>
      <c r="L789" s="1">
        <v>28.0</v>
      </c>
      <c r="M789" s="1">
        <v>28.0</v>
      </c>
      <c r="N789" s="1" t="s">
        <v>51</v>
      </c>
      <c r="O789" s="1">
        <v>45.0</v>
      </c>
      <c r="P789" s="1">
        <v>20.0</v>
      </c>
      <c r="Q789" s="1">
        <v>20.0</v>
      </c>
      <c r="R789" s="1">
        <v>25.0</v>
      </c>
      <c r="S789" s="1">
        <v>25.0</v>
      </c>
      <c r="T789" s="1" t="s">
        <v>52</v>
      </c>
      <c r="U789" s="1">
        <v>55.0</v>
      </c>
      <c r="V789" s="1">
        <v>25.0</v>
      </c>
      <c r="W789" s="1">
        <v>25.0</v>
      </c>
      <c r="X789" s="1">
        <v>30.0</v>
      </c>
      <c r="Y789" s="1">
        <v>30.0</v>
      </c>
      <c r="Z789" s="1" t="s">
        <v>53</v>
      </c>
      <c r="AA789" s="1">
        <v>50.0</v>
      </c>
      <c r="AB789" s="1">
        <v>20.0</v>
      </c>
      <c r="AC789" s="1">
        <v>20.0</v>
      </c>
      <c r="AD789" s="1">
        <v>30.0</v>
      </c>
      <c r="AE789" s="1">
        <v>30.0</v>
      </c>
      <c r="AF789" s="1" t="s">
        <v>54</v>
      </c>
      <c r="AG789" s="1">
        <v>50.0</v>
      </c>
      <c r="AH789" s="1">
        <v>23.0</v>
      </c>
      <c r="AI789" s="1">
        <v>23.0</v>
      </c>
      <c r="AJ789" s="1">
        <v>27.0</v>
      </c>
      <c r="AK789" s="1">
        <v>27.0</v>
      </c>
      <c r="AL789" s="1">
        <v>250.0</v>
      </c>
      <c r="AM789" s="1" t="s">
        <v>55</v>
      </c>
      <c r="AN789" s="1" t="s">
        <v>55</v>
      </c>
      <c r="AO789" s="1" t="s">
        <v>55</v>
      </c>
      <c r="AP789" s="1" t="s">
        <v>3939</v>
      </c>
      <c r="AQ789" s="3" t="str">
        <f>HYPERLINK("https://icf.clappia.com/app/GMB253374/submission/WMH33741992/ICF247370-GMB253374-4g0364flmdm400000000/SIG-20250630_16531bmh2.jpeg", "SIG-20250630_16531bmh2.jpeg")</f>
        <v>SIG-20250630_16531bmh2.jpeg</v>
      </c>
      <c r="AR789" s="1" t="s">
        <v>3940</v>
      </c>
      <c r="AS789" s="3" t="str">
        <f>HYPERLINK("https://icf.clappia.com/app/GMB253374/submission/WMH33741992/ICF247370-GMB253374-6agll25ompp600000000/SIG-20250630_16535bmg0.jpeg", "SIG-20250630_16535bmg0.jpeg")</f>
        <v>SIG-20250630_16535bmg0.jpeg</v>
      </c>
      <c r="AT789" s="1" t="s">
        <v>3941</v>
      </c>
      <c r="AU789" s="3" t="str">
        <f>HYPERLINK("https://icf.clappia.com/app/GMB253374/submission/WMH33741992/ICF247370-GMB253374-1oaemlipgip7m0000000/SIG-20250630_1651pn34.jpeg", "SIG-20250630_1651pn34.jpeg")</f>
        <v>SIG-20250630_1651pn34.jpeg</v>
      </c>
      <c r="AV789" s="3" t="str">
        <f>HYPERLINK("https://www.google.com/maps/place/8.934221%2C-12.0541554", "8.934221,-12.0541554")</f>
        <v>8.934221,-12.0541554</v>
      </c>
    </row>
    <row r="790" ht="15.75" customHeight="1">
      <c r="A790" s="1" t="s">
        <v>3942</v>
      </c>
      <c r="B790" s="1" t="s">
        <v>189</v>
      </c>
      <c r="C790" s="1" t="s">
        <v>3943</v>
      </c>
      <c r="D790" s="1" t="s">
        <v>3943</v>
      </c>
      <c r="E790" s="1" t="s">
        <v>3944</v>
      </c>
      <c r="F790" s="1" t="s">
        <v>64</v>
      </c>
      <c r="G790" s="1">
        <v>250.0</v>
      </c>
      <c r="H790" s="1" t="s">
        <v>50</v>
      </c>
      <c r="I790" s="1">
        <v>47.0</v>
      </c>
      <c r="J790" s="1">
        <v>22.0</v>
      </c>
      <c r="K790" s="1">
        <v>22.0</v>
      </c>
      <c r="L790" s="1">
        <v>25.0</v>
      </c>
      <c r="M790" s="1">
        <v>25.0</v>
      </c>
      <c r="N790" s="1" t="s">
        <v>51</v>
      </c>
      <c r="O790" s="1">
        <v>48.0</v>
      </c>
      <c r="P790" s="1">
        <v>23.0</v>
      </c>
      <c r="Q790" s="1">
        <v>23.0</v>
      </c>
      <c r="R790" s="1">
        <v>25.0</v>
      </c>
      <c r="S790" s="1">
        <v>25.0</v>
      </c>
      <c r="T790" s="1" t="s">
        <v>52</v>
      </c>
      <c r="U790" s="1">
        <v>46.0</v>
      </c>
      <c r="V790" s="1">
        <v>19.0</v>
      </c>
      <c r="W790" s="1">
        <v>19.0</v>
      </c>
      <c r="X790" s="1">
        <v>27.0</v>
      </c>
      <c r="Y790" s="1">
        <v>27.0</v>
      </c>
      <c r="Z790" s="1" t="s">
        <v>53</v>
      </c>
      <c r="AA790" s="1">
        <v>50.0</v>
      </c>
      <c r="AB790" s="1">
        <v>27.0</v>
      </c>
      <c r="AC790" s="1">
        <v>27.0</v>
      </c>
      <c r="AD790" s="1">
        <v>23.0</v>
      </c>
      <c r="AE790" s="1">
        <v>23.0</v>
      </c>
      <c r="AF790" s="1" t="s">
        <v>54</v>
      </c>
      <c r="AG790" s="1">
        <v>49.0</v>
      </c>
      <c r="AH790" s="1">
        <v>22.0</v>
      </c>
      <c r="AI790" s="1">
        <v>22.0</v>
      </c>
      <c r="AJ790" s="1">
        <v>27.0</v>
      </c>
      <c r="AK790" s="1">
        <v>27.0</v>
      </c>
      <c r="AL790" s="1">
        <v>240.0</v>
      </c>
      <c r="AM790" s="1">
        <v>10.0</v>
      </c>
      <c r="AN790" s="1" t="s">
        <v>55</v>
      </c>
      <c r="AO790" s="1" t="s">
        <v>55</v>
      </c>
      <c r="AP790" s="1" t="s">
        <v>3285</v>
      </c>
      <c r="AQ790" s="3" t="str">
        <f>HYPERLINK("https://icf.clappia.com/app/GMB253374/submission/VJD58517894/ICF247370-GMB253374-71gid88nlj2c0000000/SIG-20250630_1556i1a2.jpeg", "SIG-20250630_1556i1a2.jpeg")</f>
        <v>SIG-20250630_1556i1a2.jpeg</v>
      </c>
      <c r="AR790" s="1" t="s">
        <v>3326</v>
      </c>
      <c r="AS790" s="3" t="str">
        <f>HYPERLINK("https://icf.clappia.com/app/GMB253374/submission/VJD58517894/ICF247370-GMB253374-3ca1img075b400000000/SIG-20250630_1601149mmc.jpeg", "SIG-20250630_1601149mmc.jpeg")</f>
        <v>SIG-20250630_1601149mmc.jpeg</v>
      </c>
      <c r="AT790" s="1" t="s">
        <v>3945</v>
      </c>
      <c r="AU790" s="3" t="str">
        <f>HYPERLINK("https://icf.clappia.com/app/GMB253374/submission/VJD58517894/ICF247370-GMB253374-5p8og8gnp3a400000000/SIG-20250630_16412dp22.jpeg", "SIG-20250630_16412dp22.jpeg")</f>
        <v>SIG-20250630_16412dp22.jpeg</v>
      </c>
      <c r="AV790" s="3" t="str">
        <f>HYPERLINK("https://www.google.com/maps/place/8.8768383%2C-12.051415", "8.8768383,-12.051415")</f>
        <v>8.8768383,-12.051415</v>
      </c>
    </row>
    <row r="791" ht="15.75" customHeight="1">
      <c r="A791" s="1" t="s">
        <v>3946</v>
      </c>
      <c r="B791" s="1" t="s">
        <v>528</v>
      </c>
      <c r="C791" s="1" t="s">
        <v>1889</v>
      </c>
      <c r="D791" s="1" t="s">
        <v>1889</v>
      </c>
      <c r="E791" s="1" t="s">
        <v>3947</v>
      </c>
      <c r="F791" s="1" t="s">
        <v>64</v>
      </c>
      <c r="G791" s="1">
        <v>93.0</v>
      </c>
      <c r="H791" s="1" t="s">
        <v>50</v>
      </c>
      <c r="I791" s="1">
        <v>15.0</v>
      </c>
      <c r="J791" s="1">
        <v>5.0</v>
      </c>
      <c r="K791" s="1">
        <v>5.0</v>
      </c>
      <c r="L791" s="1">
        <v>10.0</v>
      </c>
      <c r="M791" s="1">
        <v>10.0</v>
      </c>
      <c r="N791" s="1" t="s">
        <v>51</v>
      </c>
      <c r="O791" s="1">
        <v>9.0</v>
      </c>
      <c r="P791" s="1">
        <v>4.0</v>
      </c>
      <c r="Q791" s="1">
        <v>4.0</v>
      </c>
      <c r="R791" s="1">
        <v>5.0</v>
      </c>
      <c r="S791" s="1">
        <v>5.0</v>
      </c>
      <c r="T791" s="1" t="s">
        <v>52</v>
      </c>
      <c r="U791" s="1">
        <v>7.0</v>
      </c>
      <c r="V791" s="1">
        <v>3.0</v>
      </c>
      <c r="W791" s="1">
        <v>3.0</v>
      </c>
      <c r="X791" s="1">
        <v>4.0</v>
      </c>
      <c r="Y791" s="1">
        <v>4.0</v>
      </c>
      <c r="Z791" s="1" t="s">
        <v>53</v>
      </c>
      <c r="AA791" s="1">
        <v>5.0</v>
      </c>
      <c r="AB791" s="1">
        <v>2.0</v>
      </c>
      <c r="AC791" s="1">
        <v>2.0</v>
      </c>
      <c r="AD791" s="1">
        <v>3.0</v>
      </c>
      <c r="AE791" s="1">
        <v>3.0</v>
      </c>
      <c r="AF791" s="1" t="s">
        <v>54</v>
      </c>
      <c r="AG791" s="1">
        <v>4.0</v>
      </c>
      <c r="AH791" s="1">
        <v>3.0</v>
      </c>
      <c r="AI791" s="1">
        <v>3.0</v>
      </c>
      <c r="AJ791" s="1">
        <v>1.0</v>
      </c>
      <c r="AK791" s="1">
        <v>1.0</v>
      </c>
      <c r="AL791" s="1">
        <v>40.0</v>
      </c>
      <c r="AM791" s="1">
        <v>8.0</v>
      </c>
      <c r="AN791" s="1">
        <v>45.0</v>
      </c>
      <c r="AO791" s="1">
        <v>42.0</v>
      </c>
      <c r="AP791" s="1" t="s">
        <v>3948</v>
      </c>
      <c r="AQ791" s="3" t="str">
        <f>HYPERLINK("https://icf.clappia.com/app/GMB253374/submission/EWO93675810/ICF247370-GMB253374-3mnmc85e5hpa00000000/SIG-20250630_1512ahk2a.jpeg", "SIG-20250630_1512ahk2a.jpeg")</f>
        <v>SIG-20250630_1512ahk2a.jpeg</v>
      </c>
      <c r="AR791" s="1" t="s">
        <v>739</v>
      </c>
      <c r="AS791" s="3" t="str">
        <f>HYPERLINK("https://icf.clappia.com/app/GMB253374/submission/EWO93675810/ICF247370-GMB253374-2lkonom3h5nc00000000/SIG-20250630_1520b52mi.jpeg", "SIG-20250630_1520b52mi.jpeg")</f>
        <v>SIG-20250630_1520b52mi.jpeg</v>
      </c>
      <c r="AT791" s="1" t="s">
        <v>740</v>
      </c>
      <c r="AU791" s="3" t="str">
        <f>HYPERLINK("https://icf.clappia.com/app/GMB253374/submission/EWO93675810/ICF247370-GMB253374-cdh6jgeofi3i0000000/SIG-20250630_151313o4ep.jpeg", "SIG-20250630_151313o4ep.jpeg")</f>
        <v>SIG-20250630_151313o4ep.jpeg</v>
      </c>
      <c r="AV791" s="3" t="str">
        <f>HYPERLINK("https://www.google.com/maps/place/7.824005%2C-11.51521", "7.824005,-11.51521")</f>
        <v>7.824005,-11.51521</v>
      </c>
    </row>
    <row r="792" ht="15.75" customHeight="1">
      <c r="A792" s="1" t="s">
        <v>3949</v>
      </c>
      <c r="B792" s="1" t="s">
        <v>1521</v>
      </c>
      <c r="C792" s="1" t="s">
        <v>3950</v>
      </c>
      <c r="D792" s="1" t="s">
        <v>3950</v>
      </c>
      <c r="E792" s="1" t="s">
        <v>3951</v>
      </c>
      <c r="F792" s="1" t="s">
        <v>64</v>
      </c>
      <c r="G792" s="1">
        <v>250.0</v>
      </c>
      <c r="H792" s="1" t="s">
        <v>50</v>
      </c>
      <c r="I792" s="1">
        <v>45.0</v>
      </c>
      <c r="J792" s="1">
        <v>20.0</v>
      </c>
      <c r="K792" s="1">
        <v>18.0</v>
      </c>
      <c r="L792" s="1">
        <v>25.0</v>
      </c>
      <c r="M792" s="1">
        <v>23.0</v>
      </c>
      <c r="N792" s="1" t="s">
        <v>51</v>
      </c>
      <c r="O792" s="1">
        <v>45.0</v>
      </c>
      <c r="P792" s="1">
        <v>15.0</v>
      </c>
      <c r="Q792" s="1">
        <v>14.0</v>
      </c>
      <c r="R792" s="1">
        <v>30.0</v>
      </c>
      <c r="S792" s="1">
        <v>29.0</v>
      </c>
      <c r="T792" s="1" t="s">
        <v>52</v>
      </c>
      <c r="U792" s="1">
        <v>50.0</v>
      </c>
      <c r="V792" s="1">
        <v>20.0</v>
      </c>
      <c r="W792" s="1">
        <v>20.0</v>
      </c>
      <c r="X792" s="1">
        <v>30.0</v>
      </c>
      <c r="Y792" s="1">
        <v>30.0</v>
      </c>
      <c r="Z792" s="1" t="s">
        <v>53</v>
      </c>
      <c r="AA792" s="1">
        <v>35.0</v>
      </c>
      <c r="AB792" s="1">
        <v>15.0</v>
      </c>
      <c r="AC792" s="1">
        <v>14.0</v>
      </c>
      <c r="AD792" s="1">
        <v>20.0</v>
      </c>
      <c r="AE792" s="1">
        <v>20.0</v>
      </c>
      <c r="AF792" s="1" t="s">
        <v>54</v>
      </c>
      <c r="AG792" s="1">
        <v>45.0</v>
      </c>
      <c r="AH792" s="1">
        <v>16.0</v>
      </c>
      <c r="AI792" s="1">
        <v>16.0</v>
      </c>
      <c r="AJ792" s="1">
        <v>25.0</v>
      </c>
      <c r="AK792" s="1">
        <v>25.0</v>
      </c>
      <c r="AL792" s="1">
        <v>209.0</v>
      </c>
      <c r="AM792" s="1" t="s">
        <v>55</v>
      </c>
      <c r="AN792" s="1">
        <v>41.0</v>
      </c>
      <c r="AO792" s="1">
        <v>41.0</v>
      </c>
      <c r="AP792" s="1" t="s">
        <v>1660</v>
      </c>
      <c r="AQ792" s="3" t="str">
        <f>HYPERLINK("https://icf.clappia.com/app/GMB253374/submission/UEZ52119610/ICF247370-GMB253374-52k3ppjof9hi00000000/SIG-20250630_163638om4.jpeg", "SIG-20250630_163638om4.jpeg")</f>
        <v>SIG-20250630_163638om4.jpeg</v>
      </c>
      <c r="AR792" s="1" t="s">
        <v>1661</v>
      </c>
      <c r="AS792" s="3" t="str">
        <f>HYPERLINK("https://icf.clappia.com/app/GMB253374/submission/UEZ52119610/ICF247370-GMB253374-gch01m2e4em40000000/SIG-20250630_105414fk28.jpeg", "SIG-20250630_105414fk28.jpeg")</f>
        <v>SIG-20250630_105414fk28.jpeg</v>
      </c>
      <c r="AT792" s="1" t="s">
        <v>1662</v>
      </c>
      <c r="AU792" s="3" t="str">
        <f>HYPERLINK("https://icf.clappia.com/app/GMB253374/submission/UEZ52119610/ICF247370-GMB253374-hm8o8o024h920000000/SIG-20250630_10559gmno.jpeg", "SIG-20250630_10559gmno.jpeg")</f>
        <v>SIG-20250630_10559gmno.jpeg</v>
      </c>
      <c r="AV792" s="3" t="str">
        <f>HYPERLINK("https://www.google.com/maps/place/8.109595%2C-11.849755", "8.109595,-11.849755")</f>
        <v>8.109595,-11.849755</v>
      </c>
    </row>
    <row r="793" ht="15.75" customHeight="1">
      <c r="A793" s="1" t="s">
        <v>3952</v>
      </c>
      <c r="B793" s="1" t="s">
        <v>81</v>
      </c>
      <c r="C793" s="1" t="s">
        <v>3953</v>
      </c>
      <c r="D793" s="1" t="s">
        <v>3953</v>
      </c>
      <c r="E793" s="1" t="s">
        <v>3954</v>
      </c>
      <c r="F793" s="1" t="s">
        <v>64</v>
      </c>
      <c r="G793" s="1">
        <v>162.0</v>
      </c>
      <c r="H793" s="1" t="s">
        <v>50</v>
      </c>
      <c r="I793" s="1">
        <v>36.0</v>
      </c>
      <c r="J793" s="1">
        <v>20.0</v>
      </c>
      <c r="K793" s="1">
        <v>20.0</v>
      </c>
      <c r="L793" s="1">
        <v>16.0</v>
      </c>
      <c r="M793" s="1">
        <v>16.0</v>
      </c>
      <c r="N793" s="1" t="s">
        <v>51</v>
      </c>
      <c r="O793" s="1">
        <v>31.0</v>
      </c>
      <c r="P793" s="1">
        <v>15.0</v>
      </c>
      <c r="Q793" s="1">
        <v>14.0</v>
      </c>
      <c r="R793" s="1">
        <v>16.0</v>
      </c>
      <c r="S793" s="1">
        <v>15.0</v>
      </c>
      <c r="T793" s="1" t="s">
        <v>52</v>
      </c>
      <c r="U793" s="1">
        <v>32.0</v>
      </c>
      <c r="V793" s="1">
        <v>18.0</v>
      </c>
      <c r="W793" s="1">
        <v>18.0</v>
      </c>
      <c r="X793" s="1">
        <v>14.0</v>
      </c>
      <c r="Y793" s="1">
        <v>14.0</v>
      </c>
      <c r="Z793" s="1" t="s">
        <v>53</v>
      </c>
      <c r="AA793" s="1">
        <v>36.0</v>
      </c>
      <c r="AB793" s="1">
        <v>18.0</v>
      </c>
      <c r="AC793" s="1">
        <v>18.0</v>
      </c>
      <c r="AD793" s="1">
        <v>18.0</v>
      </c>
      <c r="AE793" s="1">
        <v>17.0</v>
      </c>
      <c r="AF793" s="1" t="s">
        <v>54</v>
      </c>
      <c r="AG793" s="1">
        <v>27.0</v>
      </c>
      <c r="AH793" s="1">
        <v>14.0</v>
      </c>
      <c r="AI793" s="1">
        <v>14.0</v>
      </c>
      <c r="AJ793" s="1">
        <v>13.0</v>
      </c>
      <c r="AK793" s="1">
        <v>13.0</v>
      </c>
      <c r="AL793" s="1">
        <v>159.0</v>
      </c>
      <c r="AM793" s="1">
        <v>1.0</v>
      </c>
      <c r="AN793" s="1">
        <v>2.0</v>
      </c>
      <c r="AO793" s="1">
        <v>2.0</v>
      </c>
      <c r="AP793" s="1" t="s">
        <v>2830</v>
      </c>
      <c r="AQ793" s="3" t="str">
        <f>HYPERLINK("https://icf.clappia.com/app/GMB253374/submission/FXG10233667/ICF247370-GMB253374-389ini2dfca600000000/SIG-20250630_163610lp3i.jpeg", "SIG-20250630_163610lp3i.jpeg")</f>
        <v>SIG-20250630_163610lp3i.jpeg</v>
      </c>
      <c r="AR793" s="1" t="s">
        <v>3955</v>
      </c>
      <c r="AS793" s="3" t="str">
        <f>HYPERLINK("https://icf.clappia.com/app/GMB253374/submission/FXG10233667/ICF247370-GMB253374-knjdcninbc3a0000000/SIG-20250630_16323g6a7.jpeg", "SIG-20250630_16323g6a7.jpeg")</f>
        <v>SIG-20250630_16323g6a7.jpeg</v>
      </c>
      <c r="AT793" s="1" t="s">
        <v>3956</v>
      </c>
      <c r="AU793" s="3" t="str">
        <f>HYPERLINK("https://icf.clappia.com/app/GMB253374/submission/FXG10233667/ICF247370-GMB253374-2af560fceb8g80000000/SIG-20250630_163618a4im.jpeg", "SIG-20250630_163618a4im.jpeg")</f>
        <v>SIG-20250630_163618a4im.jpeg</v>
      </c>
      <c r="AV793" s="3" t="str">
        <f>HYPERLINK("https://www.google.com/maps/place/7.9563333%2C-11.7608217", "7.9563333,-11.7608217")</f>
        <v>7.9563333,-11.7608217</v>
      </c>
    </row>
    <row r="794" ht="15.75" customHeight="1">
      <c r="A794" s="1" t="s">
        <v>3957</v>
      </c>
      <c r="B794" s="1" t="s">
        <v>528</v>
      </c>
      <c r="C794" s="1" t="s">
        <v>3958</v>
      </c>
      <c r="D794" s="1" t="s">
        <v>3958</v>
      </c>
      <c r="E794" s="1" t="s">
        <v>3959</v>
      </c>
      <c r="F794" s="1" t="s">
        <v>64</v>
      </c>
      <c r="G794" s="1">
        <v>470.0</v>
      </c>
      <c r="H794" s="1" t="s">
        <v>50</v>
      </c>
      <c r="I794" s="1">
        <v>157.0</v>
      </c>
      <c r="J794" s="1">
        <v>77.0</v>
      </c>
      <c r="K794" s="1">
        <v>77.0</v>
      </c>
      <c r="L794" s="1">
        <v>80.0</v>
      </c>
      <c r="M794" s="1">
        <v>80.0</v>
      </c>
      <c r="N794" s="1" t="s">
        <v>51</v>
      </c>
      <c r="O794" s="1">
        <v>80.0</v>
      </c>
      <c r="P794" s="1">
        <v>40.0</v>
      </c>
      <c r="Q794" s="1">
        <v>40.0</v>
      </c>
      <c r="R794" s="1">
        <v>40.0</v>
      </c>
      <c r="S794" s="1">
        <v>40.0</v>
      </c>
      <c r="T794" s="1" t="s">
        <v>52</v>
      </c>
      <c r="U794" s="1">
        <v>62.0</v>
      </c>
      <c r="V794" s="1">
        <v>25.0</v>
      </c>
      <c r="W794" s="1">
        <v>24.0</v>
      </c>
      <c r="X794" s="1">
        <v>37.0</v>
      </c>
      <c r="Y794" s="1">
        <v>32.0</v>
      </c>
      <c r="Z794" s="1" t="s">
        <v>53</v>
      </c>
      <c r="AA794" s="1">
        <v>72.0</v>
      </c>
      <c r="AB794" s="1">
        <v>32.0</v>
      </c>
      <c r="AC794" s="1">
        <v>30.0</v>
      </c>
      <c r="AD794" s="1">
        <v>40.0</v>
      </c>
      <c r="AE794" s="1">
        <v>40.0</v>
      </c>
      <c r="AF794" s="1" t="s">
        <v>54</v>
      </c>
      <c r="AG794" s="1">
        <v>72.0</v>
      </c>
      <c r="AH794" s="1">
        <v>40.0</v>
      </c>
      <c r="AI794" s="1">
        <v>34.0</v>
      </c>
      <c r="AJ794" s="1">
        <v>32.0</v>
      </c>
      <c r="AK794" s="1">
        <v>32.0</v>
      </c>
      <c r="AL794" s="1">
        <v>429.0</v>
      </c>
      <c r="AM794" s="1" t="s">
        <v>55</v>
      </c>
      <c r="AN794" s="1">
        <v>41.0</v>
      </c>
      <c r="AO794" s="1">
        <v>41.0</v>
      </c>
      <c r="AP794" s="1" t="s">
        <v>3960</v>
      </c>
      <c r="AQ794" s="3" t="str">
        <f>HYPERLINK("https://icf.clappia.com/app/GMB253374/submission/HCA25665492/ICF247370-GMB253374-1j58g40anfni80000000/SIG-20250630_1633olaeb.jpeg", "SIG-20250630_1633olaeb.jpeg")</f>
        <v>SIG-20250630_1633olaeb.jpeg</v>
      </c>
      <c r="AR794" s="1" t="s">
        <v>3008</v>
      </c>
      <c r="AS794" s="3" t="str">
        <f>HYPERLINK("https://icf.clappia.com/app/GMB253374/submission/HCA25665492/ICF247370-GMB253374-1b5lam102bkba0000000/SIG-20250630_1634f3a33.jpeg", "SIG-20250630_1634f3a33.jpeg")</f>
        <v>SIG-20250630_1634f3a33.jpeg</v>
      </c>
      <c r="AT794" s="1" t="s">
        <v>3961</v>
      </c>
      <c r="AU794" s="3" t="str">
        <f>HYPERLINK("https://icf.clappia.com/app/GMB253374/submission/HCA25665492/ICF247370-GMB253374-29o56k8kc7m1g0000000/SIG-20250630_1634h2c60.jpeg", "SIG-20250630_1634h2c60.jpeg")</f>
        <v>SIG-20250630_1634h2c60.jpeg</v>
      </c>
      <c r="AV794" s="3" t="str">
        <f>HYPERLINK("https://www.google.com/maps/place/7.7056833%2C-11.6932517", "7.7056833,-11.6932517")</f>
        <v>7.7056833,-11.6932517</v>
      </c>
    </row>
    <row r="795" ht="15.75" customHeight="1">
      <c r="A795" s="1" t="s">
        <v>3962</v>
      </c>
      <c r="B795" s="1" t="s">
        <v>248</v>
      </c>
      <c r="C795" s="1" t="s">
        <v>3963</v>
      </c>
      <c r="D795" s="1" t="s">
        <v>3958</v>
      </c>
      <c r="E795" s="1" t="s">
        <v>3964</v>
      </c>
      <c r="F795" s="1" t="s">
        <v>64</v>
      </c>
      <c r="G795" s="1">
        <v>256.0</v>
      </c>
      <c r="H795" s="1" t="s">
        <v>50</v>
      </c>
      <c r="I795" s="1">
        <v>70.0</v>
      </c>
      <c r="J795" s="1">
        <v>30.0</v>
      </c>
      <c r="K795" s="1">
        <v>19.0</v>
      </c>
      <c r="L795" s="1">
        <v>40.0</v>
      </c>
      <c r="M795" s="1">
        <v>29.0</v>
      </c>
      <c r="N795" s="1" t="s">
        <v>51</v>
      </c>
      <c r="O795" s="1">
        <v>55.0</v>
      </c>
      <c r="P795" s="1">
        <v>30.0</v>
      </c>
      <c r="Q795" s="1">
        <v>23.0</v>
      </c>
      <c r="R795" s="1">
        <v>25.0</v>
      </c>
      <c r="S795" s="1">
        <v>19.0</v>
      </c>
      <c r="T795" s="1" t="s">
        <v>52</v>
      </c>
      <c r="U795" s="1">
        <v>61.0</v>
      </c>
      <c r="V795" s="1">
        <v>26.0</v>
      </c>
      <c r="W795" s="1">
        <v>23.0</v>
      </c>
      <c r="X795" s="1">
        <v>35.0</v>
      </c>
      <c r="Y795" s="1">
        <v>27.0</v>
      </c>
      <c r="Z795" s="1" t="s">
        <v>53</v>
      </c>
      <c r="AA795" s="1">
        <v>50.0</v>
      </c>
      <c r="AB795" s="1">
        <v>16.0</v>
      </c>
      <c r="AC795" s="1">
        <v>13.0</v>
      </c>
      <c r="AD795" s="1">
        <v>34.0</v>
      </c>
      <c r="AE795" s="1">
        <v>33.0</v>
      </c>
      <c r="AF795" s="1" t="s">
        <v>54</v>
      </c>
      <c r="AG795" s="1">
        <v>33.0</v>
      </c>
      <c r="AH795" s="1">
        <v>13.0</v>
      </c>
      <c r="AI795" s="1">
        <v>8.0</v>
      </c>
      <c r="AJ795" s="1">
        <v>20.0</v>
      </c>
      <c r="AK795" s="1">
        <v>14.0</v>
      </c>
      <c r="AL795" s="1">
        <v>208.0</v>
      </c>
      <c r="AM795" s="1" t="s">
        <v>55</v>
      </c>
      <c r="AN795" s="1">
        <v>48.0</v>
      </c>
      <c r="AO795" s="1">
        <v>48.0</v>
      </c>
      <c r="AP795" s="1" t="s">
        <v>3965</v>
      </c>
      <c r="AQ795" s="3" t="str">
        <f>HYPERLINK("https://icf.clappia.com/app/GMB253374/submission/MZF40612812/ICF247370-GMB253374-b4hk2hi9alf40000000/SIG-20250630_132410i9cf.jpeg", "SIG-20250630_132410i9cf.jpeg")</f>
        <v>SIG-20250630_132410i9cf.jpeg</v>
      </c>
      <c r="AR795" s="1" t="s">
        <v>596</v>
      </c>
      <c r="AS795" s="3" t="str">
        <f>HYPERLINK("https://icf.clappia.com/app/GMB253374/submission/MZF40612812/ICF247370-GMB253374-3emm3285cgj000000000/SIG-20250630_13251213gc.jpeg", "SIG-20250630_13251213gc.jpeg")</f>
        <v>SIG-20250630_13251213gc.jpeg</v>
      </c>
      <c r="AT795" s="1" t="s">
        <v>597</v>
      </c>
      <c r="AU795" s="3" t="str">
        <f>HYPERLINK("https://icf.clappia.com/app/GMB253374/submission/MZF40612812/ICF247370-GMB253374-4cea369k22p800000000/SIG-20250630_132818j1c6.jpeg", "SIG-20250630_132818j1c6.jpeg")</f>
        <v>SIG-20250630_132818j1c6.jpeg</v>
      </c>
      <c r="AV795" s="3" t="str">
        <f>HYPERLINK("https://www.google.com/maps/place/7.9341967%2C-11.4898183", "7.9341967,-11.4898183")</f>
        <v>7.9341967,-11.4898183</v>
      </c>
    </row>
    <row r="796" ht="15.75" customHeight="1">
      <c r="A796" s="1" t="s">
        <v>3966</v>
      </c>
      <c r="B796" s="1" t="s">
        <v>102</v>
      </c>
      <c r="C796" s="1" t="s">
        <v>3967</v>
      </c>
      <c r="D796" s="1" t="s">
        <v>3967</v>
      </c>
      <c r="E796" s="1" t="s">
        <v>3968</v>
      </c>
      <c r="F796" s="1" t="s">
        <v>64</v>
      </c>
      <c r="G796" s="1">
        <v>155.0</v>
      </c>
      <c r="H796" s="1" t="s">
        <v>50</v>
      </c>
      <c r="I796" s="1">
        <v>41.0</v>
      </c>
      <c r="J796" s="1">
        <v>15.0</v>
      </c>
      <c r="K796" s="1">
        <v>15.0</v>
      </c>
      <c r="L796" s="1">
        <v>26.0</v>
      </c>
      <c r="M796" s="1">
        <v>26.0</v>
      </c>
      <c r="N796" s="1" t="s">
        <v>51</v>
      </c>
      <c r="O796" s="1">
        <v>63.0</v>
      </c>
      <c r="P796" s="1">
        <v>28.0</v>
      </c>
      <c r="Q796" s="1">
        <v>15.0</v>
      </c>
      <c r="R796" s="1">
        <v>35.0</v>
      </c>
      <c r="S796" s="1">
        <v>16.0</v>
      </c>
      <c r="T796" s="1" t="s">
        <v>52</v>
      </c>
      <c r="U796" s="1">
        <v>43.0</v>
      </c>
      <c r="V796" s="1">
        <v>22.0</v>
      </c>
      <c r="W796" s="1">
        <v>13.0</v>
      </c>
      <c r="X796" s="1">
        <v>21.0</v>
      </c>
      <c r="Y796" s="1">
        <v>10.0</v>
      </c>
      <c r="Z796" s="1" t="s">
        <v>53</v>
      </c>
      <c r="AA796" s="1">
        <v>48.0</v>
      </c>
      <c r="AB796" s="1">
        <v>29.0</v>
      </c>
      <c r="AC796" s="1">
        <v>25.0</v>
      </c>
      <c r="AD796" s="1">
        <v>19.0</v>
      </c>
      <c r="AE796" s="1">
        <v>10.0</v>
      </c>
      <c r="AF796" s="1" t="s">
        <v>54</v>
      </c>
      <c r="AG796" s="1">
        <v>39.0</v>
      </c>
      <c r="AH796" s="1">
        <v>20.0</v>
      </c>
      <c r="AI796" s="1">
        <v>20.0</v>
      </c>
      <c r="AJ796" s="1">
        <v>19.0</v>
      </c>
      <c r="AK796" s="1">
        <v>5.0</v>
      </c>
      <c r="AL796" s="1">
        <v>155.0</v>
      </c>
      <c r="AM796" s="1" t="s">
        <v>55</v>
      </c>
      <c r="AN796" s="1" t="s">
        <v>55</v>
      </c>
      <c r="AO796" s="1" t="s">
        <v>55</v>
      </c>
      <c r="AP796" s="1" t="s">
        <v>3969</v>
      </c>
      <c r="AQ796" s="3" t="str">
        <f>HYPERLINK("https://icf.clappia.com/app/GMB253374/submission/LQR96085063/ICF247370-GMB253374-3in01amck4c200000000/SIG-20250630_16191cgbp.jpeg", "SIG-20250630_16191cgbp.jpeg")</f>
        <v>SIG-20250630_16191cgbp.jpeg</v>
      </c>
      <c r="AR796" s="1" t="s">
        <v>3970</v>
      </c>
      <c r="AS796" s="3" t="str">
        <f>HYPERLINK("https://icf.clappia.com/app/GMB253374/submission/LQR96085063/ICF247370-GMB253374-20j97bi9n7jgi0000000/SIG-20250630_162016gg94.jpeg", "SIG-20250630_162016gg94.jpeg")</f>
        <v>SIG-20250630_162016gg94.jpeg</v>
      </c>
      <c r="AT796" s="1" t="s">
        <v>3971</v>
      </c>
      <c r="AU796" s="3" t="str">
        <f>HYPERLINK("https://icf.clappia.com/app/GMB253374/submission/LQR96085063/ICF247370-GMB253374-49ap6jcopl3k00000000/SIG-20250630_16208logk.jpeg", "SIG-20250630_16208logk.jpeg")</f>
        <v>SIG-20250630_16208logk.jpeg</v>
      </c>
      <c r="AV796" s="3" t="str">
        <f>HYPERLINK("https://www.google.com/maps/place/9.3079517%2C-11.8613317", "9.3079517,-11.8613317")</f>
        <v>9.3079517,-11.8613317</v>
      </c>
    </row>
    <row r="797" ht="15.75" customHeight="1">
      <c r="A797" s="1" t="s">
        <v>3972</v>
      </c>
      <c r="B797" s="1" t="s">
        <v>189</v>
      </c>
      <c r="C797" s="1" t="s">
        <v>3973</v>
      </c>
      <c r="D797" s="1" t="s">
        <v>3973</v>
      </c>
      <c r="E797" s="1" t="s">
        <v>3974</v>
      </c>
      <c r="F797" s="1" t="s">
        <v>64</v>
      </c>
      <c r="G797" s="1">
        <v>500.0</v>
      </c>
      <c r="H797" s="1" t="s">
        <v>50</v>
      </c>
      <c r="I797" s="1">
        <v>80.0</v>
      </c>
      <c r="J797" s="1">
        <v>42.0</v>
      </c>
      <c r="K797" s="1">
        <v>40.0</v>
      </c>
      <c r="L797" s="1">
        <v>33.0</v>
      </c>
      <c r="M797" s="1">
        <v>30.0</v>
      </c>
      <c r="N797" s="1" t="s">
        <v>51</v>
      </c>
      <c r="O797" s="1">
        <v>90.0</v>
      </c>
      <c r="P797" s="1">
        <v>33.0</v>
      </c>
      <c r="Q797" s="1">
        <v>30.0</v>
      </c>
      <c r="R797" s="1">
        <v>57.0</v>
      </c>
      <c r="S797" s="1">
        <v>57.0</v>
      </c>
      <c r="T797" s="1" t="s">
        <v>52</v>
      </c>
      <c r="U797" s="1">
        <v>90.0</v>
      </c>
      <c r="V797" s="1">
        <v>53.0</v>
      </c>
      <c r="W797" s="1">
        <v>53.0</v>
      </c>
      <c r="X797" s="1">
        <v>37.0</v>
      </c>
      <c r="Y797" s="1">
        <v>37.0</v>
      </c>
      <c r="Z797" s="1" t="s">
        <v>53</v>
      </c>
      <c r="AA797" s="1">
        <v>99.0</v>
      </c>
      <c r="AB797" s="1">
        <v>44.0</v>
      </c>
      <c r="AC797" s="1">
        <v>44.0</v>
      </c>
      <c r="AD797" s="1">
        <v>55.0</v>
      </c>
      <c r="AE797" s="1">
        <v>55.0</v>
      </c>
      <c r="AF797" s="1" t="s">
        <v>54</v>
      </c>
      <c r="AG797" s="1">
        <v>119.0</v>
      </c>
      <c r="AH797" s="1">
        <v>51.0</v>
      </c>
      <c r="AI797" s="1">
        <v>51.0</v>
      </c>
      <c r="AJ797" s="1">
        <v>68.0</v>
      </c>
      <c r="AK797" s="1">
        <v>68.0</v>
      </c>
      <c r="AL797" s="1">
        <v>465.0</v>
      </c>
      <c r="AM797" s="1">
        <v>5.0</v>
      </c>
      <c r="AN797" s="1">
        <v>30.0</v>
      </c>
      <c r="AO797" s="1">
        <v>30.0</v>
      </c>
      <c r="AP797" s="1" t="s">
        <v>2429</v>
      </c>
      <c r="AQ797" s="3" t="str">
        <f>HYPERLINK("https://icf.clappia.com/app/GMB253374/submission/XYQ66063858/ICF247370-GMB253374-1j3cib9l9b1gk0000000/SIG-20250630_16256i143.jpeg", "SIG-20250630_16256i143.jpeg")</f>
        <v>SIG-20250630_16256i143.jpeg</v>
      </c>
      <c r="AR797" s="1" t="s">
        <v>3975</v>
      </c>
      <c r="AS797" s="3" t="str">
        <f>HYPERLINK("https://icf.clappia.com/app/GMB253374/submission/XYQ66063858/ICF247370-GMB253374-3nm687b8aa8o00000000/SIG-20250630_1626o95f3.jpeg", "SIG-20250630_1626o95f3.jpeg")</f>
        <v>SIG-20250630_1626o95f3.jpeg</v>
      </c>
      <c r="AT797" s="1" t="s">
        <v>361</v>
      </c>
      <c r="AU797" s="3" t="str">
        <f>HYPERLINK("https://icf.clappia.com/app/GMB253374/submission/XYQ66063858/ICF247370-GMB253374-4heomf9i2m1a00000000/SIG-20250630_1627ln5pj.jpeg", "SIG-20250630_1627ln5pj.jpeg")</f>
        <v>SIG-20250630_1627ln5pj.jpeg</v>
      </c>
      <c r="AV797" s="3" t="str">
        <f>HYPERLINK("https://www.google.com/maps/place/8.8760433%2C-12.0515067", "8.8760433,-12.0515067")</f>
        <v>8.8760433,-12.0515067</v>
      </c>
    </row>
    <row r="798" ht="15.75" customHeight="1">
      <c r="A798" s="1" t="s">
        <v>3976</v>
      </c>
      <c r="B798" s="1" t="s">
        <v>60</v>
      </c>
      <c r="C798" s="1" t="s">
        <v>3973</v>
      </c>
      <c r="D798" s="1" t="s">
        <v>3973</v>
      </c>
      <c r="E798" s="1" t="s">
        <v>3932</v>
      </c>
      <c r="F798" s="1" t="s">
        <v>64</v>
      </c>
      <c r="G798" s="1">
        <v>450.0</v>
      </c>
      <c r="H798" s="1" t="s">
        <v>50</v>
      </c>
      <c r="I798" s="1">
        <v>103.0</v>
      </c>
      <c r="J798" s="1">
        <v>65.0</v>
      </c>
      <c r="K798" s="1">
        <v>40.0</v>
      </c>
      <c r="L798" s="1">
        <v>38.0</v>
      </c>
      <c r="M798" s="1">
        <v>30.0</v>
      </c>
      <c r="N798" s="1" t="s">
        <v>51</v>
      </c>
      <c r="O798" s="1">
        <v>98.0</v>
      </c>
      <c r="P798" s="1">
        <v>48.0</v>
      </c>
      <c r="Q798" s="1">
        <v>41.0</v>
      </c>
      <c r="R798" s="1">
        <v>50.0</v>
      </c>
      <c r="S798" s="1">
        <v>40.0</v>
      </c>
      <c r="T798" s="1" t="s">
        <v>52</v>
      </c>
      <c r="U798" s="1">
        <v>95.0</v>
      </c>
      <c r="V798" s="1">
        <v>58.0</v>
      </c>
      <c r="W798" s="1">
        <v>44.0</v>
      </c>
      <c r="X798" s="1">
        <v>37.0</v>
      </c>
      <c r="Y798" s="1">
        <v>30.0</v>
      </c>
      <c r="Z798" s="1" t="s">
        <v>53</v>
      </c>
      <c r="AA798" s="1">
        <v>100.0</v>
      </c>
      <c r="AB798" s="1">
        <v>55.0</v>
      </c>
      <c r="AC798" s="1">
        <v>47.0</v>
      </c>
      <c r="AD798" s="1">
        <v>45.0</v>
      </c>
      <c r="AE798" s="1">
        <v>35.0</v>
      </c>
      <c r="AF798" s="1" t="s">
        <v>54</v>
      </c>
      <c r="AG798" s="1">
        <v>94.0</v>
      </c>
      <c r="AH798" s="1">
        <v>50.0</v>
      </c>
      <c r="AI798" s="1">
        <v>40.0</v>
      </c>
      <c r="AJ798" s="1">
        <v>44.0</v>
      </c>
      <c r="AK798" s="1">
        <v>32.0</v>
      </c>
      <c r="AL798" s="1">
        <v>379.0</v>
      </c>
      <c r="AM798" s="1">
        <v>10.0</v>
      </c>
      <c r="AN798" s="1">
        <v>61.0</v>
      </c>
      <c r="AO798" s="1">
        <v>61.0</v>
      </c>
      <c r="AP798" s="1" t="s">
        <v>3977</v>
      </c>
      <c r="AQ798" s="3" t="str">
        <f>HYPERLINK("https://icf.clappia.com/app/GMB253374/submission/YPV96340536/ICF247370-GMB253374-32e9c1l4gbm000000000/SIG-20250630_162516domd.jpeg", "SIG-20250630_162516domd.jpeg")</f>
        <v>SIG-20250630_162516domd.jpeg</v>
      </c>
      <c r="AR798" s="1" t="s">
        <v>3978</v>
      </c>
      <c r="AS798" s="3" t="str">
        <f>HYPERLINK("https://icf.clappia.com/app/GMB253374/submission/YPV96340536/ICF247370-GMB253374-2dg54aijeh3400000000/SIG-20250630_16251704cl.jpeg", "SIG-20250630_16251704cl.jpeg")</f>
        <v>SIG-20250630_16251704cl.jpeg</v>
      </c>
      <c r="AT798" s="1" t="s">
        <v>3935</v>
      </c>
      <c r="AU798" s="3" t="str">
        <f>HYPERLINK("https://icf.clappia.com/app/GMB253374/submission/YPV96340536/ICF247370-GMB253374-6an638bkp3ag00000000/SIG-20250630_1625pmabf.jpeg", "SIG-20250630_1625pmabf.jpeg")</f>
        <v>SIG-20250630_1625pmabf.jpeg</v>
      </c>
      <c r="AV798" s="3" t="str">
        <f>HYPERLINK("https://www.google.com/maps/place/8.8821163%2C-12.0534414", "8.8821163,-12.0534414")</f>
        <v>8.8821163,-12.0534414</v>
      </c>
    </row>
    <row r="799" ht="15.75" customHeight="1">
      <c r="A799" s="1" t="s">
        <v>3979</v>
      </c>
      <c r="B799" s="1" t="s">
        <v>189</v>
      </c>
      <c r="C799" s="1" t="s">
        <v>3980</v>
      </c>
      <c r="D799" s="1" t="s">
        <v>3980</v>
      </c>
      <c r="E799" s="1" t="s">
        <v>3981</v>
      </c>
      <c r="F799" s="1" t="s">
        <v>64</v>
      </c>
      <c r="G799" s="1">
        <v>150.0</v>
      </c>
      <c r="H799" s="1" t="s">
        <v>50</v>
      </c>
      <c r="I799" s="1">
        <v>27.0</v>
      </c>
      <c r="J799" s="1">
        <v>13.0</v>
      </c>
      <c r="K799" s="1">
        <v>13.0</v>
      </c>
      <c r="L799" s="1">
        <v>14.0</v>
      </c>
      <c r="M799" s="1">
        <v>14.0</v>
      </c>
      <c r="N799" s="1" t="s">
        <v>51</v>
      </c>
      <c r="O799" s="1">
        <v>26.0</v>
      </c>
      <c r="P799" s="1">
        <v>11.0</v>
      </c>
      <c r="Q799" s="1">
        <v>11.0</v>
      </c>
      <c r="R799" s="1">
        <v>15.0</v>
      </c>
      <c r="S799" s="1">
        <v>15.0</v>
      </c>
      <c r="T799" s="1" t="s">
        <v>52</v>
      </c>
      <c r="U799" s="1">
        <v>25.0</v>
      </c>
      <c r="V799" s="1">
        <v>13.0</v>
      </c>
      <c r="W799" s="1">
        <v>13.0</v>
      </c>
      <c r="X799" s="1">
        <v>12.0</v>
      </c>
      <c r="Y799" s="1">
        <v>12.0</v>
      </c>
      <c r="Z799" s="1" t="s">
        <v>53</v>
      </c>
      <c r="AA799" s="1">
        <v>23.0</v>
      </c>
      <c r="AB799" s="1">
        <v>8.0</v>
      </c>
      <c r="AC799" s="1">
        <v>8.0</v>
      </c>
      <c r="AD799" s="1">
        <v>15.0</v>
      </c>
      <c r="AE799" s="1">
        <v>15.0</v>
      </c>
      <c r="AF799" s="1" t="s">
        <v>54</v>
      </c>
      <c r="AG799" s="1">
        <v>30.0</v>
      </c>
      <c r="AH799" s="1">
        <v>15.0</v>
      </c>
      <c r="AI799" s="1">
        <v>15.0</v>
      </c>
      <c r="AJ799" s="1">
        <v>15.0</v>
      </c>
      <c r="AK799" s="1">
        <v>15.0</v>
      </c>
      <c r="AL799" s="1">
        <v>131.0</v>
      </c>
      <c r="AM799" s="1" t="s">
        <v>55</v>
      </c>
      <c r="AN799" s="1">
        <v>19.0</v>
      </c>
      <c r="AO799" s="1">
        <v>19.0</v>
      </c>
      <c r="AP799" s="1" t="s">
        <v>2501</v>
      </c>
      <c r="AQ799" s="3" t="str">
        <f>HYPERLINK("https://icf.clappia.com/app/GMB253374/submission/NGM00011530/ICF247370-GMB253374-4jb1cole036a00000000/SIG-20250630_16181aha0j.jpeg", "SIG-20250630_16181aha0j.jpeg")</f>
        <v>SIG-20250630_16181aha0j.jpeg</v>
      </c>
      <c r="AR799" s="1" t="s">
        <v>2502</v>
      </c>
      <c r="AS799" s="3" t="str">
        <f>HYPERLINK("https://icf.clappia.com/app/GMB253374/submission/NGM00011530/ICF247370-GMB253374-2a682ap57n78i0000000/SIG-20250630_161918d1fg.jpeg", "SIG-20250630_161918d1fg.jpeg")</f>
        <v>SIG-20250630_161918d1fg.jpeg</v>
      </c>
      <c r="AT799" s="1" t="s">
        <v>2503</v>
      </c>
      <c r="AU799" s="3" t="str">
        <f>HYPERLINK("https://icf.clappia.com/app/GMB253374/submission/NGM00011530/ICF247370-GMB253374-4ee750od38j200000000/SIG-20250630_16192m5hm.jpeg", "SIG-20250630_16192m5hm.jpeg")</f>
        <v>SIG-20250630_16192m5hm.jpeg</v>
      </c>
      <c r="AV799" s="3" t="str">
        <f>HYPERLINK("https://www.google.com/maps/place/8.8710345%2C-12.0286075", "8.8710345,-12.0286075")</f>
        <v>8.8710345,-12.0286075</v>
      </c>
    </row>
    <row r="800" ht="15.75" customHeight="1">
      <c r="A800" s="1" t="s">
        <v>3982</v>
      </c>
      <c r="B800" s="1" t="s">
        <v>167</v>
      </c>
      <c r="C800" s="1" t="s">
        <v>3983</v>
      </c>
      <c r="D800" s="1" t="s">
        <v>3983</v>
      </c>
      <c r="E800" s="1" t="s">
        <v>3984</v>
      </c>
      <c r="F800" s="1" t="s">
        <v>64</v>
      </c>
      <c r="G800" s="1">
        <v>142.0</v>
      </c>
      <c r="H800" s="1" t="s">
        <v>50</v>
      </c>
      <c r="I800" s="1">
        <v>11.0</v>
      </c>
      <c r="J800" s="1">
        <v>4.0</v>
      </c>
      <c r="K800" s="1">
        <v>4.0</v>
      </c>
      <c r="L800" s="1">
        <v>7.0</v>
      </c>
      <c r="M800" s="1">
        <v>7.0</v>
      </c>
      <c r="N800" s="1" t="s">
        <v>51</v>
      </c>
      <c r="O800" s="1">
        <v>5.0</v>
      </c>
      <c r="P800" s="1">
        <v>4.0</v>
      </c>
      <c r="Q800" s="1">
        <v>4.0</v>
      </c>
      <c r="R800" s="1">
        <v>1.0</v>
      </c>
      <c r="S800" s="1">
        <v>1.0</v>
      </c>
      <c r="T800" s="1" t="s">
        <v>52</v>
      </c>
      <c r="U800" s="1">
        <v>8.0</v>
      </c>
      <c r="V800" s="1">
        <v>6.0</v>
      </c>
      <c r="W800" s="1">
        <v>6.0</v>
      </c>
      <c r="X800" s="1">
        <v>2.0</v>
      </c>
      <c r="Y800" s="1">
        <v>2.0</v>
      </c>
      <c r="Z800" s="1" t="s">
        <v>53</v>
      </c>
      <c r="AA800" s="1">
        <v>2.0</v>
      </c>
      <c r="AB800" s="1">
        <v>1.0</v>
      </c>
      <c r="AC800" s="1">
        <v>1.0</v>
      </c>
      <c r="AD800" s="1">
        <v>1.0</v>
      </c>
      <c r="AE800" s="1">
        <v>1.0</v>
      </c>
      <c r="AF800" s="1" t="s">
        <v>54</v>
      </c>
      <c r="AG800" s="1">
        <v>3.0</v>
      </c>
      <c r="AH800" s="1">
        <v>1.0</v>
      </c>
      <c r="AI800" s="1">
        <v>1.0</v>
      </c>
      <c r="AJ800" s="1">
        <v>2.0</v>
      </c>
      <c r="AK800" s="1">
        <v>2.0</v>
      </c>
      <c r="AL800" s="1">
        <v>29.0</v>
      </c>
      <c r="AM800" s="1">
        <v>10.0</v>
      </c>
      <c r="AN800" s="1">
        <v>103.0</v>
      </c>
      <c r="AO800" s="1">
        <v>103.0</v>
      </c>
      <c r="AP800" s="1" t="s">
        <v>3985</v>
      </c>
      <c r="AQ800" s="3" t="str">
        <f>HYPERLINK("https://icf.clappia.com/app/GMB253374/submission/CAL28599111/ICF247370-GMB253374-2opel9a8m0l200000000/SIG-20250630_1557ec7mj.jpeg", "SIG-20250630_1557ec7mj.jpeg")</f>
        <v>SIG-20250630_1557ec7mj.jpeg</v>
      </c>
      <c r="AR800" s="1" t="s">
        <v>659</v>
      </c>
      <c r="AS800" s="3" t="str">
        <f>HYPERLINK("https://icf.clappia.com/app/GMB253374/submission/CAL28599111/ICF247370-GMB253374-585568mlpoac00000000/SIG-20250630_1558130p7e.jpeg", "SIG-20250630_1558130p7e.jpeg")</f>
        <v>SIG-20250630_1558130p7e.jpeg</v>
      </c>
      <c r="AT800" s="1" t="s">
        <v>3986</v>
      </c>
      <c r="AU800" s="3" t="str">
        <f>HYPERLINK("https://icf.clappia.com/app/GMB253374/submission/CAL28599111/ICF247370-GMB253374-44ieam1ge0ck00000000/SIG-20250630_1559d6o86.jpeg", "SIG-20250630_1559d6o86.jpeg")</f>
        <v>SIG-20250630_1559d6o86.jpeg</v>
      </c>
      <c r="AV800" s="3" t="str">
        <f>HYPERLINK("https://www.google.com/maps/place/7.8784367%2C-11.7811833", "7.8784367,-11.7811833")</f>
        <v>7.8784367,-11.7811833</v>
      </c>
    </row>
    <row r="801" ht="15.75" customHeight="1">
      <c r="A801" s="1" t="s">
        <v>3987</v>
      </c>
      <c r="B801" s="1" t="s">
        <v>167</v>
      </c>
      <c r="C801" s="1" t="s">
        <v>3988</v>
      </c>
      <c r="D801" s="1" t="s">
        <v>3988</v>
      </c>
      <c r="E801" s="1" t="s">
        <v>3989</v>
      </c>
      <c r="F801" s="1" t="s">
        <v>64</v>
      </c>
      <c r="G801" s="1">
        <v>100.0</v>
      </c>
      <c r="H801" s="1" t="s">
        <v>50</v>
      </c>
      <c r="I801" s="1">
        <v>30.0</v>
      </c>
      <c r="J801" s="1">
        <v>13.0</v>
      </c>
      <c r="K801" s="1">
        <v>8.0</v>
      </c>
      <c r="L801" s="1">
        <v>17.0</v>
      </c>
      <c r="M801" s="1">
        <v>14.0</v>
      </c>
      <c r="N801" s="1" t="s">
        <v>51</v>
      </c>
      <c r="O801" s="1">
        <v>25.0</v>
      </c>
      <c r="P801" s="1">
        <v>15.0</v>
      </c>
      <c r="Q801" s="1">
        <v>5.0</v>
      </c>
      <c r="R801" s="1">
        <v>10.0</v>
      </c>
      <c r="S801" s="1">
        <v>7.0</v>
      </c>
      <c r="T801" s="1" t="s">
        <v>52</v>
      </c>
      <c r="U801" s="1">
        <v>33.0</v>
      </c>
      <c r="V801" s="1">
        <v>15.0</v>
      </c>
      <c r="W801" s="1">
        <v>7.0</v>
      </c>
      <c r="X801" s="1">
        <v>18.0</v>
      </c>
      <c r="Y801" s="1">
        <v>10.0</v>
      </c>
      <c r="Z801" s="1" t="s">
        <v>53</v>
      </c>
      <c r="AA801" s="1">
        <v>30.0</v>
      </c>
      <c r="AB801" s="1">
        <v>12.0</v>
      </c>
      <c r="AC801" s="1">
        <v>6.0</v>
      </c>
      <c r="AD801" s="1">
        <v>18.0</v>
      </c>
      <c r="AE801" s="1">
        <v>10.0</v>
      </c>
      <c r="AF801" s="1" t="s">
        <v>54</v>
      </c>
      <c r="AG801" s="1">
        <v>19.0</v>
      </c>
      <c r="AH801" s="1">
        <v>9.0</v>
      </c>
      <c r="AI801" s="1">
        <v>9.0</v>
      </c>
      <c r="AJ801" s="1">
        <v>10.0</v>
      </c>
      <c r="AK801" s="1">
        <v>8.0</v>
      </c>
      <c r="AL801" s="1">
        <v>84.0</v>
      </c>
      <c r="AM801" s="1" t="s">
        <v>55</v>
      </c>
      <c r="AN801" s="1">
        <v>16.0</v>
      </c>
      <c r="AO801" s="1">
        <v>16.0</v>
      </c>
      <c r="AP801" s="1" t="s">
        <v>3990</v>
      </c>
      <c r="AQ801" s="3" t="str">
        <f>HYPERLINK("https://icf.clappia.com/app/GMB253374/submission/VII66849461/ICF247370-GMB253374-33dhd1ijjpek00000000/SIG-20250630_161527307.jpeg", "SIG-20250630_161527307.jpeg")</f>
        <v>SIG-20250630_161527307.jpeg</v>
      </c>
      <c r="AR801" s="1" t="s">
        <v>3991</v>
      </c>
      <c r="AS801" s="3" t="str">
        <f>HYPERLINK("https://icf.clappia.com/app/GMB253374/submission/VII66849461/ICF247370-GMB253374-3h7kac7kfdg000000000/SIG-20250630_1616lblm6.jpeg", "SIG-20250630_1616lblm6.jpeg")</f>
        <v>SIG-20250630_1616lblm6.jpeg</v>
      </c>
      <c r="AT801" s="1" t="s">
        <v>474</v>
      </c>
      <c r="AU801" s="3" t="str">
        <f>HYPERLINK("https://icf.clappia.com/app/GMB253374/submission/VII66849461/ICF247370-GMB253374-3510bc0c70gk00000000/SIG-20250630_161415fpmb.jpeg", "SIG-20250630_161415fpmb.jpeg")</f>
        <v>SIG-20250630_161415fpmb.jpeg</v>
      </c>
      <c r="AV801" s="3" t="str">
        <f>HYPERLINK("https://www.google.com/maps/place/7.7804819%2C-11.724275", "7.7804819,-11.724275")</f>
        <v>7.7804819,-11.724275</v>
      </c>
    </row>
    <row r="802" ht="15.75" customHeight="1">
      <c r="A802" s="1" t="s">
        <v>3992</v>
      </c>
      <c r="B802" s="1" t="s">
        <v>438</v>
      </c>
      <c r="C802" s="1" t="s">
        <v>3988</v>
      </c>
      <c r="D802" s="1" t="s">
        <v>3988</v>
      </c>
      <c r="E802" s="1" t="s">
        <v>3993</v>
      </c>
      <c r="F802" s="1" t="s">
        <v>64</v>
      </c>
      <c r="G802" s="1">
        <v>200.0</v>
      </c>
      <c r="H802" s="1" t="s">
        <v>50</v>
      </c>
      <c r="I802" s="1">
        <v>80.0</v>
      </c>
      <c r="J802" s="1">
        <v>35.0</v>
      </c>
      <c r="K802" s="1">
        <v>22.0</v>
      </c>
      <c r="L802" s="1">
        <v>45.0</v>
      </c>
      <c r="M802" s="1">
        <v>22.0</v>
      </c>
      <c r="N802" s="1" t="s">
        <v>51</v>
      </c>
      <c r="O802" s="1">
        <v>44.0</v>
      </c>
      <c r="P802" s="1">
        <v>15.0</v>
      </c>
      <c r="Q802" s="1">
        <v>2.0</v>
      </c>
      <c r="R802" s="1">
        <v>29.0</v>
      </c>
      <c r="S802" s="1">
        <v>15.0</v>
      </c>
      <c r="T802" s="1" t="s">
        <v>52</v>
      </c>
      <c r="U802" s="1">
        <v>45.0</v>
      </c>
      <c r="V802" s="1">
        <v>15.0</v>
      </c>
      <c r="W802" s="1">
        <v>15.0</v>
      </c>
      <c r="X802" s="1">
        <v>30.0</v>
      </c>
      <c r="Y802" s="1">
        <v>19.0</v>
      </c>
      <c r="Z802" s="1" t="s">
        <v>53</v>
      </c>
      <c r="AA802" s="1" t="s">
        <v>55</v>
      </c>
      <c r="AB802" s="1" t="s">
        <v>55</v>
      </c>
      <c r="AC802" s="1" t="s">
        <v>55</v>
      </c>
      <c r="AD802" s="1" t="s">
        <v>55</v>
      </c>
      <c r="AE802" s="1" t="s">
        <v>55</v>
      </c>
      <c r="AF802" s="1" t="s">
        <v>54</v>
      </c>
      <c r="AG802" s="1" t="s">
        <v>55</v>
      </c>
      <c r="AH802" s="1" t="s">
        <v>55</v>
      </c>
      <c r="AI802" s="1" t="s">
        <v>55</v>
      </c>
      <c r="AJ802" s="1" t="s">
        <v>55</v>
      </c>
      <c r="AK802" s="1" t="s">
        <v>55</v>
      </c>
      <c r="AL802" s="1">
        <v>95.0</v>
      </c>
      <c r="AM802" s="1" t="s">
        <v>55</v>
      </c>
      <c r="AN802" s="1">
        <v>105.0</v>
      </c>
      <c r="AO802" s="1">
        <v>105.0</v>
      </c>
      <c r="AP802" s="1" t="s">
        <v>1807</v>
      </c>
      <c r="AQ802" s="3" t="str">
        <f>HYPERLINK("https://icf.clappia.com/app/GMB253374/submission/CAH20988377/ICF247370-GMB253374-6b93g841jpig00000000/SIG-20250630_1401f6e02.jpeg", "SIG-20250630_1401f6e02.jpeg")</f>
        <v>SIG-20250630_1401f6e02.jpeg</v>
      </c>
      <c r="AR802" s="1" t="s">
        <v>1808</v>
      </c>
      <c r="AS802" s="3" t="str">
        <f>HYPERLINK("https://icf.clappia.com/app/GMB253374/submission/CAH20988377/ICF247370-GMB253374-52185pbj7nco00000000/SIG-20250630_140411d610.jpeg", "SIG-20250630_140411d610.jpeg")</f>
        <v>SIG-20250630_140411d610.jpeg</v>
      </c>
      <c r="AT802" s="1" t="s">
        <v>3994</v>
      </c>
      <c r="AU802" s="3" t="str">
        <f>HYPERLINK("https://icf.clappia.com/app/GMB253374/submission/CAH20988377/ICF247370-GMB253374-2ofkoikkl65g00000000/SIG-20250630_1512kdf1c.jpeg", "SIG-20250630_1512kdf1c.jpeg")</f>
        <v>SIG-20250630_1512kdf1c.jpeg</v>
      </c>
      <c r="AV802" s="3" t="str">
        <f>HYPERLINK("https://www.google.com/maps/place/7.6083864%2C-11.8138106", "7.6083864,-11.8138106")</f>
        <v>7.6083864,-11.8138106</v>
      </c>
    </row>
    <row r="803" ht="15.75" customHeight="1">
      <c r="A803" s="1" t="s">
        <v>3995</v>
      </c>
      <c r="B803" s="1" t="s">
        <v>161</v>
      </c>
      <c r="C803" s="1" t="s">
        <v>3996</v>
      </c>
      <c r="D803" s="1" t="s">
        <v>3996</v>
      </c>
      <c r="E803" s="1" t="s">
        <v>3997</v>
      </c>
      <c r="F803" s="1" t="s">
        <v>64</v>
      </c>
      <c r="G803" s="1">
        <v>150.0</v>
      </c>
      <c r="H803" s="1" t="s">
        <v>50</v>
      </c>
      <c r="I803" s="1">
        <v>59.0</v>
      </c>
      <c r="J803" s="1">
        <v>35.0</v>
      </c>
      <c r="K803" s="1">
        <v>31.0</v>
      </c>
      <c r="L803" s="1">
        <v>24.0</v>
      </c>
      <c r="M803" s="1">
        <v>21.0</v>
      </c>
      <c r="N803" s="1" t="s">
        <v>51</v>
      </c>
      <c r="O803" s="1">
        <v>9.0</v>
      </c>
      <c r="P803" s="1">
        <v>6.0</v>
      </c>
      <c r="Q803" s="1">
        <v>5.0</v>
      </c>
      <c r="R803" s="1">
        <v>3.0</v>
      </c>
      <c r="S803" s="1">
        <v>2.0</v>
      </c>
      <c r="T803" s="1" t="s">
        <v>52</v>
      </c>
      <c r="U803" s="1">
        <v>13.0</v>
      </c>
      <c r="V803" s="1">
        <v>5.0</v>
      </c>
      <c r="W803" s="1">
        <v>4.0</v>
      </c>
      <c r="X803" s="1">
        <v>8.0</v>
      </c>
      <c r="Y803" s="1">
        <v>7.0</v>
      </c>
      <c r="Z803" s="1" t="s">
        <v>53</v>
      </c>
      <c r="AA803" s="1">
        <v>35.0</v>
      </c>
      <c r="AB803" s="1">
        <v>22.0</v>
      </c>
      <c r="AC803" s="1">
        <v>18.0</v>
      </c>
      <c r="AD803" s="1">
        <v>13.0</v>
      </c>
      <c r="AE803" s="1">
        <v>7.0</v>
      </c>
      <c r="AF803" s="1" t="s">
        <v>54</v>
      </c>
      <c r="AG803" s="1">
        <v>3.0</v>
      </c>
      <c r="AH803" s="1">
        <v>2.0</v>
      </c>
      <c r="AI803" s="1">
        <v>2.0</v>
      </c>
      <c r="AJ803" s="1">
        <v>1.0</v>
      </c>
      <c r="AK803" s="1">
        <v>1.0</v>
      </c>
      <c r="AL803" s="1">
        <v>98.0</v>
      </c>
      <c r="AM803" s="1">
        <v>9.0</v>
      </c>
      <c r="AN803" s="1">
        <v>43.0</v>
      </c>
      <c r="AO803" s="1">
        <v>2.0</v>
      </c>
      <c r="AP803" s="1" t="s">
        <v>2029</v>
      </c>
      <c r="AQ803" s="3" t="str">
        <f>HYPERLINK("https://icf.clappia.com/app/GMB253374/submission/KOZ46104365/ICF247370-GMB253374-4ngollbkobe400000000/SIG-20250630_1600i9k9k.jpeg", "SIG-20250630_1600i9k9k.jpeg")</f>
        <v>SIG-20250630_1600i9k9k.jpeg</v>
      </c>
      <c r="AR803" s="1" t="s">
        <v>2031</v>
      </c>
      <c r="AS803" s="3" t="str">
        <f>HYPERLINK("https://icf.clappia.com/app/GMB253374/submission/KOZ46104365/ICF247370-GMB253374-2ahlngcb2k6mi0000000/SIG-20250630_1601c70go.jpeg", "SIG-20250630_1601c70go.jpeg")</f>
        <v>SIG-20250630_1601c70go.jpeg</v>
      </c>
      <c r="AT803" s="1" t="s">
        <v>2030</v>
      </c>
      <c r="AU803" s="3" t="str">
        <f>HYPERLINK("https://icf.clappia.com/app/GMB253374/submission/KOZ46104365/ICF247370-GMB253374-4da63lj0ldfi00000000/SIG-20250630_1604k72l6.jpeg", "SIG-20250630_1604k72l6.jpeg")</f>
        <v>SIG-20250630_1604k72l6.jpeg</v>
      </c>
      <c r="AV803" s="3" t="str">
        <f>HYPERLINK("https://www.google.com/maps/place/8.0146617%2C-11.7288883", "8.0146617,-11.7288883")</f>
        <v>8.0146617,-11.7288883</v>
      </c>
    </row>
    <row r="804" ht="15.75" customHeight="1">
      <c r="A804" s="1" t="s">
        <v>3998</v>
      </c>
      <c r="B804" s="1" t="s">
        <v>189</v>
      </c>
      <c r="C804" s="1" t="s">
        <v>3996</v>
      </c>
      <c r="D804" s="1" t="s">
        <v>3996</v>
      </c>
      <c r="E804" s="1" t="s">
        <v>3999</v>
      </c>
      <c r="F804" s="1" t="s">
        <v>64</v>
      </c>
      <c r="G804" s="1">
        <v>654.0</v>
      </c>
      <c r="H804" s="1" t="s">
        <v>50</v>
      </c>
      <c r="I804" s="1">
        <v>122.0</v>
      </c>
      <c r="J804" s="1">
        <v>57.0</v>
      </c>
      <c r="K804" s="1">
        <v>57.0</v>
      </c>
      <c r="L804" s="1">
        <v>65.0</v>
      </c>
      <c r="M804" s="1">
        <v>65.0</v>
      </c>
      <c r="N804" s="1" t="s">
        <v>51</v>
      </c>
      <c r="O804" s="1">
        <v>118.0</v>
      </c>
      <c r="P804" s="1">
        <v>49.0</v>
      </c>
      <c r="Q804" s="1">
        <v>49.0</v>
      </c>
      <c r="R804" s="1">
        <v>69.0</v>
      </c>
      <c r="S804" s="1">
        <v>69.0</v>
      </c>
      <c r="T804" s="1" t="s">
        <v>52</v>
      </c>
      <c r="U804" s="1">
        <v>122.0</v>
      </c>
      <c r="V804" s="1">
        <v>61.0</v>
      </c>
      <c r="W804" s="1">
        <v>61.0</v>
      </c>
      <c r="X804" s="1">
        <v>61.0</v>
      </c>
      <c r="Y804" s="1">
        <v>61.0</v>
      </c>
      <c r="Z804" s="1" t="s">
        <v>53</v>
      </c>
      <c r="AA804" s="1">
        <v>114.0</v>
      </c>
      <c r="AB804" s="1">
        <v>52.0</v>
      </c>
      <c r="AC804" s="1">
        <v>52.0</v>
      </c>
      <c r="AD804" s="1">
        <v>62.0</v>
      </c>
      <c r="AE804" s="1">
        <v>62.0</v>
      </c>
      <c r="AF804" s="1" t="s">
        <v>54</v>
      </c>
      <c r="AG804" s="1">
        <v>88.0</v>
      </c>
      <c r="AH804" s="1">
        <v>50.0</v>
      </c>
      <c r="AI804" s="1">
        <v>50.0</v>
      </c>
      <c r="AJ804" s="1">
        <v>38.0</v>
      </c>
      <c r="AK804" s="1">
        <v>38.0</v>
      </c>
      <c r="AL804" s="1">
        <v>564.0</v>
      </c>
      <c r="AM804" s="1" t="s">
        <v>55</v>
      </c>
      <c r="AN804" s="1">
        <v>90.0</v>
      </c>
      <c r="AO804" s="1">
        <v>90.0</v>
      </c>
      <c r="AP804" s="1" t="s">
        <v>2528</v>
      </c>
      <c r="AQ804" s="3" t="str">
        <f>HYPERLINK("https://icf.clappia.com/app/GMB253374/submission/DHC38495164/ICF247370-GMB253374-5eelc2d6f6c200000000/SIG-20250630_15309nb8e.jpeg", "SIG-20250630_15309nb8e.jpeg")</f>
        <v>SIG-20250630_15309nb8e.jpeg</v>
      </c>
      <c r="AR804" s="1" t="s">
        <v>2529</v>
      </c>
      <c r="AS804" s="3" t="str">
        <f>HYPERLINK("https://icf.clappia.com/app/GMB253374/submission/DHC38495164/ICF247370-GMB253374-2617lc40gfmp60000000/SIG-20250630_1530k8810.jpeg", "SIG-20250630_1530k8810.jpeg")</f>
        <v>SIG-20250630_1530k8810.jpeg</v>
      </c>
      <c r="AT804" s="1" t="s">
        <v>2530</v>
      </c>
      <c r="AU804" s="3" t="str">
        <f>HYPERLINK("https://icf.clappia.com/app/GMB253374/submission/DHC38495164/ICF247370-GMB253374-agaff5748l9i0000000/SIG-20250630_153112d6a4.jpeg", "SIG-20250630_153112d6a4.jpeg")</f>
        <v>SIG-20250630_153112d6a4.jpeg</v>
      </c>
      <c r="AV804" s="3" t="str">
        <f>HYPERLINK("https://www.google.com/maps/place/8.8680683%2C-12.039075", "8.8680683,-12.039075")</f>
        <v>8.8680683,-12.039075</v>
      </c>
    </row>
    <row r="805" ht="15.75" customHeight="1">
      <c r="A805" s="1" t="s">
        <v>4000</v>
      </c>
      <c r="B805" s="1" t="s">
        <v>528</v>
      </c>
      <c r="C805" s="1" t="s">
        <v>4001</v>
      </c>
      <c r="D805" s="1" t="s">
        <v>4001</v>
      </c>
      <c r="E805" s="1" t="s">
        <v>4002</v>
      </c>
      <c r="F805" s="1" t="s">
        <v>64</v>
      </c>
      <c r="G805" s="1">
        <v>343.0</v>
      </c>
      <c r="H805" s="1" t="s">
        <v>50</v>
      </c>
      <c r="I805" s="1">
        <v>80.0</v>
      </c>
      <c r="J805" s="1">
        <v>40.0</v>
      </c>
      <c r="K805" s="1">
        <v>40.0</v>
      </c>
      <c r="L805" s="1">
        <v>40.0</v>
      </c>
      <c r="M805" s="1">
        <v>40.0</v>
      </c>
      <c r="N805" s="1" t="s">
        <v>51</v>
      </c>
      <c r="O805" s="1">
        <v>62.0</v>
      </c>
      <c r="P805" s="1">
        <v>30.0</v>
      </c>
      <c r="Q805" s="1">
        <v>30.0</v>
      </c>
      <c r="R805" s="1">
        <v>32.0</v>
      </c>
      <c r="S805" s="1">
        <v>32.0</v>
      </c>
      <c r="T805" s="1" t="s">
        <v>52</v>
      </c>
      <c r="U805" s="1">
        <v>58.0</v>
      </c>
      <c r="V805" s="1">
        <v>27.0</v>
      </c>
      <c r="W805" s="1">
        <v>27.0</v>
      </c>
      <c r="X805" s="1">
        <v>31.0</v>
      </c>
      <c r="Y805" s="1">
        <v>31.0</v>
      </c>
      <c r="Z805" s="1" t="s">
        <v>53</v>
      </c>
      <c r="AA805" s="1">
        <v>54.0</v>
      </c>
      <c r="AB805" s="1">
        <v>25.0</v>
      </c>
      <c r="AC805" s="1">
        <v>8.0</v>
      </c>
      <c r="AD805" s="1">
        <v>29.0</v>
      </c>
      <c r="AE805" s="1">
        <v>12.0</v>
      </c>
      <c r="AF805" s="1" t="s">
        <v>54</v>
      </c>
      <c r="AG805" s="1">
        <v>48.0</v>
      </c>
      <c r="AH805" s="1">
        <v>23.0</v>
      </c>
      <c r="AI805" s="1">
        <v>7.0</v>
      </c>
      <c r="AJ805" s="1">
        <v>25.0</v>
      </c>
      <c r="AK805" s="1">
        <v>10.0</v>
      </c>
      <c r="AL805" s="1">
        <v>237.0</v>
      </c>
      <c r="AM805" s="1">
        <v>10.0</v>
      </c>
      <c r="AN805" s="1">
        <v>96.0</v>
      </c>
      <c r="AO805" s="1">
        <v>96.0</v>
      </c>
      <c r="AP805" s="1" t="s">
        <v>2897</v>
      </c>
      <c r="AQ805" s="3" t="str">
        <f>HYPERLINK("https://icf.clappia.com/app/GMB253374/submission/ASK51045368/ICF247370-GMB253374-3pa4e40pn7eo00000000/SIG-20250630_16035870.jpeg", "SIG-20250630_16035870.jpeg")</f>
        <v>SIG-20250630_16035870.jpeg</v>
      </c>
      <c r="AR805" s="1" t="s">
        <v>2899</v>
      </c>
      <c r="AS805" s="3" t="str">
        <f>HYPERLINK("https://icf.clappia.com/app/GMB253374/submission/ASK51045368/ICF247370-GMB253374-4j6addjecccg00000000/SIG-20250630_160266a99.jpeg", "SIG-20250630_160266a99.jpeg")</f>
        <v>SIG-20250630_160266a99.jpeg</v>
      </c>
      <c r="AT805" s="1" t="s">
        <v>4003</v>
      </c>
      <c r="AU805" s="3" t="str">
        <f>HYPERLINK("https://icf.clappia.com/app/GMB253374/submission/ASK51045368/ICF247370-GMB253374-4pdme77a6ngk00000000/SIG-20250630_160216l6p.jpeg", "SIG-20250630_160216l6p.jpeg")</f>
        <v>SIG-20250630_160216l6p.jpeg</v>
      </c>
      <c r="AV805" s="3" t="str">
        <f>HYPERLINK("https://www.google.com/maps/place/7.7099523%2C-11.6927751", "7.7099523,-11.6927751")</f>
        <v>7.7099523,-11.6927751</v>
      </c>
    </row>
    <row r="806" ht="15.75" customHeight="1">
      <c r="A806" s="1" t="s">
        <v>4004</v>
      </c>
      <c r="B806" s="1" t="s">
        <v>102</v>
      </c>
      <c r="C806" s="1" t="s">
        <v>4001</v>
      </c>
      <c r="D806" s="1" t="s">
        <v>4001</v>
      </c>
      <c r="E806" s="1" t="s">
        <v>4005</v>
      </c>
      <c r="F806" s="1" t="s">
        <v>64</v>
      </c>
      <c r="G806" s="1">
        <v>100.0</v>
      </c>
      <c r="H806" s="1" t="s">
        <v>50</v>
      </c>
      <c r="I806" s="1">
        <v>25.0</v>
      </c>
      <c r="J806" s="1">
        <v>12.0</v>
      </c>
      <c r="K806" s="1">
        <v>12.0</v>
      </c>
      <c r="L806" s="1">
        <v>13.0</v>
      </c>
      <c r="M806" s="1">
        <v>13.0</v>
      </c>
      <c r="N806" s="1" t="s">
        <v>51</v>
      </c>
      <c r="O806" s="1">
        <v>16.0</v>
      </c>
      <c r="P806" s="1">
        <v>9.0</v>
      </c>
      <c r="Q806" s="1">
        <v>9.0</v>
      </c>
      <c r="R806" s="1">
        <v>7.0</v>
      </c>
      <c r="S806" s="1">
        <v>7.0</v>
      </c>
      <c r="T806" s="1" t="s">
        <v>52</v>
      </c>
      <c r="U806" s="1">
        <v>15.0</v>
      </c>
      <c r="V806" s="1">
        <v>7.0</v>
      </c>
      <c r="W806" s="1">
        <v>7.0</v>
      </c>
      <c r="X806" s="1">
        <v>8.0</v>
      </c>
      <c r="Y806" s="1">
        <v>8.0</v>
      </c>
      <c r="Z806" s="1" t="s">
        <v>53</v>
      </c>
      <c r="AA806" s="1">
        <v>12.0</v>
      </c>
      <c r="AB806" s="1">
        <v>6.0</v>
      </c>
      <c r="AC806" s="1">
        <v>6.0</v>
      </c>
      <c r="AD806" s="1">
        <v>6.0</v>
      </c>
      <c r="AE806" s="1">
        <v>6.0</v>
      </c>
      <c r="AF806" s="1" t="s">
        <v>54</v>
      </c>
      <c r="AG806" s="1">
        <v>10.0</v>
      </c>
      <c r="AH806" s="1">
        <v>6.0</v>
      </c>
      <c r="AI806" s="1">
        <v>6.0</v>
      </c>
      <c r="AJ806" s="1">
        <v>4.0</v>
      </c>
      <c r="AK806" s="1">
        <v>4.0</v>
      </c>
      <c r="AL806" s="1">
        <v>78.0</v>
      </c>
      <c r="AM806" s="1" t="s">
        <v>55</v>
      </c>
      <c r="AN806" s="1">
        <v>22.0</v>
      </c>
      <c r="AO806" s="1">
        <v>22.0</v>
      </c>
      <c r="AP806" s="1" t="s">
        <v>4006</v>
      </c>
      <c r="AQ806" s="3" t="str">
        <f>HYPERLINK("https://icf.clappia.com/app/GMB253374/submission/XXK96292452/ICF247370-GMB253374-pm13fo5ei7ag0000000/SIG-20250630_1357ih2pi.jpeg", "SIG-20250630_1357ih2pi.jpeg")</f>
        <v>SIG-20250630_1357ih2pi.jpeg</v>
      </c>
      <c r="AR806" s="1" t="s">
        <v>3488</v>
      </c>
      <c r="AS806" s="3" t="str">
        <f>HYPERLINK("https://icf.clappia.com/app/GMB253374/submission/XXK96292452/ICF247370-GMB253374-284p17m1e36hg0000000/SIG-20250630_1602pf7ll.jpeg", "SIG-20250630_1602pf7ll.jpeg")</f>
        <v>SIG-20250630_1602pf7ll.jpeg</v>
      </c>
      <c r="AT806" s="1" t="s">
        <v>3489</v>
      </c>
      <c r="AU806" s="3" t="str">
        <f>HYPERLINK("https://icf.clappia.com/app/GMB253374/submission/XXK96292452/ICF247370-GMB253374-2gol7n1al2am00000000/SIG-20250630_1602n9hcb.jpeg", "SIG-20250630_1602n9hcb.jpeg")</f>
        <v>SIG-20250630_1602n9hcb.jpeg</v>
      </c>
      <c r="AV806" s="3" t="str">
        <f>HYPERLINK("https://www.google.com/maps/place/9.1660167%2C-11.9322333", "9.1660167,-11.9322333")</f>
        <v>9.1660167,-11.9322333</v>
      </c>
    </row>
    <row r="807" ht="15.75" customHeight="1">
      <c r="A807" s="1" t="s">
        <v>4007</v>
      </c>
      <c r="B807" s="1" t="s">
        <v>778</v>
      </c>
      <c r="C807" s="1" t="s">
        <v>4008</v>
      </c>
      <c r="D807" s="1" t="s">
        <v>4008</v>
      </c>
      <c r="E807" s="1" t="s">
        <v>4009</v>
      </c>
      <c r="F807" s="1" t="s">
        <v>64</v>
      </c>
      <c r="G807" s="1">
        <v>167.0</v>
      </c>
      <c r="H807" s="1" t="s">
        <v>50</v>
      </c>
      <c r="I807" s="1">
        <v>28.0</v>
      </c>
      <c r="J807" s="1">
        <v>14.0</v>
      </c>
      <c r="K807" s="1">
        <v>14.0</v>
      </c>
      <c r="L807" s="1">
        <v>14.0</v>
      </c>
      <c r="M807" s="1">
        <v>14.0</v>
      </c>
      <c r="N807" s="1" t="s">
        <v>51</v>
      </c>
      <c r="O807" s="1">
        <v>27.0</v>
      </c>
      <c r="P807" s="1">
        <v>14.0</v>
      </c>
      <c r="Q807" s="1">
        <v>14.0</v>
      </c>
      <c r="R807" s="1">
        <v>13.0</v>
      </c>
      <c r="S807" s="1">
        <v>13.0</v>
      </c>
      <c r="T807" s="1" t="s">
        <v>52</v>
      </c>
      <c r="U807" s="1">
        <v>30.0</v>
      </c>
      <c r="V807" s="1">
        <v>11.0</v>
      </c>
      <c r="W807" s="1">
        <v>11.0</v>
      </c>
      <c r="X807" s="1">
        <v>19.0</v>
      </c>
      <c r="Y807" s="1">
        <v>19.0</v>
      </c>
      <c r="Z807" s="1" t="s">
        <v>53</v>
      </c>
      <c r="AA807" s="1">
        <v>53.0</v>
      </c>
      <c r="AB807" s="1">
        <v>27.0</v>
      </c>
      <c r="AC807" s="1">
        <v>27.0</v>
      </c>
      <c r="AD807" s="1">
        <v>26.0</v>
      </c>
      <c r="AE807" s="1">
        <v>26.0</v>
      </c>
      <c r="AF807" s="1" t="s">
        <v>54</v>
      </c>
      <c r="AG807" s="1">
        <v>25.0</v>
      </c>
      <c r="AH807" s="1">
        <v>16.0</v>
      </c>
      <c r="AI807" s="1">
        <v>16.0</v>
      </c>
      <c r="AJ807" s="1">
        <v>9.0</v>
      </c>
      <c r="AK807" s="1">
        <v>9.0</v>
      </c>
      <c r="AL807" s="1">
        <v>163.0</v>
      </c>
      <c r="AM807" s="1" t="s">
        <v>55</v>
      </c>
      <c r="AN807" s="1">
        <v>4.0</v>
      </c>
      <c r="AO807" s="1">
        <v>4.0</v>
      </c>
      <c r="AP807" s="1" t="s">
        <v>4010</v>
      </c>
      <c r="AQ807" s="3" t="str">
        <f>HYPERLINK("https://icf.clappia.com/app/GMB253374/submission/ICS81220847/ICF247370-GMB253374-2ggjj262c22600000000/SIG-20250630_1555ei9o6.jpeg", "SIG-20250630_1555ei9o6.jpeg")</f>
        <v>SIG-20250630_1555ei9o6.jpeg</v>
      </c>
      <c r="AR807" s="1" t="s">
        <v>4011</v>
      </c>
      <c r="AS807" s="3" t="str">
        <f>HYPERLINK("https://icf.clappia.com/app/GMB253374/submission/ICS81220847/ICF247370-GMB253374-4284g4jg686600000000/SIG-20250630_1556165650.jpeg", "SIG-20250630_1556165650.jpeg")</f>
        <v>SIG-20250630_1556165650.jpeg</v>
      </c>
      <c r="AT807" s="1" t="s">
        <v>4012</v>
      </c>
      <c r="AU807" s="3" t="str">
        <f>HYPERLINK("https://icf.clappia.com/app/GMB253374/submission/ICS81220847/ICF247370-GMB253374-1a250inmg25nm0000000/SIG-20250630_1557lko4a.jpeg", "SIG-20250630_1557lko4a.jpeg")</f>
        <v>SIG-20250630_1557lko4a.jpeg</v>
      </c>
      <c r="AV807" s="3" t="str">
        <f>HYPERLINK("https://www.google.com/maps/place/7.7099523%2C-11.6927751", "7.7099523,-11.6927751")</f>
        <v>7.7099523,-11.6927751</v>
      </c>
    </row>
    <row r="808" ht="15.75" customHeight="1">
      <c r="A808" s="1" t="s">
        <v>4013</v>
      </c>
      <c r="B808" s="1" t="s">
        <v>356</v>
      </c>
      <c r="C808" s="1" t="s">
        <v>4014</v>
      </c>
      <c r="D808" s="1" t="s">
        <v>4015</v>
      </c>
      <c r="E808" s="1" t="s">
        <v>4016</v>
      </c>
      <c r="F808" s="1" t="s">
        <v>64</v>
      </c>
      <c r="G808" s="1">
        <v>350.0</v>
      </c>
      <c r="H808" s="1" t="s">
        <v>50</v>
      </c>
      <c r="I808" s="1">
        <v>132.0</v>
      </c>
      <c r="J808" s="1">
        <v>61.0</v>
      </c>
      <c r="K808" s="1">
        <v>61.0</v>
      </c>
      <c r="L808" s="1">
        <v>71.0</v>
      </c>
      <c r="M808" s="1">
        <v>71.0</v>
      </c>
      <c r="N808" s="1" t="s">
        <v>51</v>
      </c>
      <c r="O808" s="1">
        <v>50.0</v>
      </c>
      <c r="P808" s="1">
        <v>10.0</v>
      </c>
      <c r="Q808" s="1">
        <v>10.0</v>
      </c>
      <c r="R808" s="1">
        <v>40.0</v>
      </c>
      <c r="S808" s="1">
        <v>40.0</v>
      </c>
      <c r="T808" s="1" t="s">
        <v>52</v>
      </c>
      <c r="U808" s="1">
        <v>70.0</v>
      </c>
      <c r="V808" s="1">
        <v>30.0</v>
      </c>
      <c r="W808" s="1">
        <v>30.0</v>
      </c>
      <c r="X808" s="1">
        <v>40.0</v>
      </c>
      <c r="Y808" s="1">
        <v>40.0</v>
      </c>
      <c r="Z808" s="1" t="s">
        <v>53</v>
      </c>
      <c r="AA808" s="1">
        <v>63.0</v>
      </c>
      <c r="AB808" s="1">
        <v>28.0</v>
      </c>
      <c r="AC808" s="1">
        <v>28.0</v>
      </c>
      <c r="AD808" s="1">
        <v>35.0</v>
      </c>
      <c r="AE808" s="1">
        <v>35.0</v>
      </c>
      <c r="AF808" s="1" t="s">
        <v>54</v>
      </c>
      <c r="AG808" s="1">
        <v>35.0</v>
      </c>
      <c r="AH808" s="1">
        <v>20.0</v>
      </c>
      <c r="AI808" s="1">
        <v>20.0</v>
      </c>
      <c r="AJ808" s="1">
        <v>15.0</v>
      </c>
      <c r="AK808" s="1">
        <v>15.0</v>
      </c>
      <c r="AL808" s="1">
        <v>350.0</v>
      </c>
      <c r="AM808" s="1" t="s">
        <v>55</v>
      </c>
      <c r="AN808" s="1" t="s">
        <v>55</v>
      </c>
      <c r="AO808" s="1" t="s">
        <v>55</v>
      </c>
      <c r="AP808" s="1" t="s">
        <v>4017</v>
      </c>
      <c r="AQ808" s="3" t="str">
        <f>HYPERLINK("https://icf.clappia.com/app/GMB253374/submission/SQM79923246/ICF247370-GMB253374-16cg05gpdai560000000/SIG-20250630_0930eb05c.jpeg", "SIG-20250630_0930eb05c.jpeg")</f>
        <v>SIG-20250630_0930eb05c.jpeg</v>
      </c>
      <c r="AR808" s="1" t="s">
        <v>4018</v>
      </c>
      <c r="AS808" s="3" t="str">
        <f>HYPERLINK("https://icf.clappia.com/app/GMB253374/submission/SQM79923246/ICF247370-GMB253374-105o773dj114c0000000/SIG-20250630_09314kejo.jpeg", "SIG-20250630_09314kejo.jpeg")</f>
        <v>SIG-20250630_09314kejo.jpeg</v>
      </c>
      <c r="AT808" s="1" t="s">
        <v>4019</v>
      </c>
      <c r="AU808" s="3" t="str">
        <f>HYPERLINK("https://icf.clappia.com/app/GMB253374/submission/SQM79923246/ICF247370-GMB253374-2ccl7p192f4o00000000/SIG-20250630_09337p1fo.jpeg", "SIG-20250630_09337p1fo.jpeg")</f>
        <v>SIG-20250630_09337p1fo.jpeg</v>
      </c>
      <c r="AV808" s="3" t="str">
        <f>HYPERLINK("https://www.google.com/maps/place/8.217751%2C-11.6327661", "8.217751,-11.6327661")</f>
        <v>8.217751,-11.6327661</v>
      </c>
    </row>
    <row r="809" ht="15.75" customHeight="1">
      <c r="A809" s="1" t="s">
        <v>4020</v>
      </c>
      <c r="B809" s="1" t="s">
        <v>189</v>
      </c>
      <c r="C809" s="1" t="s">
        <v>4021</v>
      </c>
      <c r="D809" s="1" t="s">
        <v>4021</v>
      </c>
      <c r="E809" s="1" t="s">
        <v>4022</v>
      </c>
      <c r="F809" s="1" t="s">
        <v>64</v>
      </c>
      <c r="G809" s="1">
        <v>750.0</v>
      </c>
      <c r="H809" s="1" t="s">
        <v>50</v>
      </c>
      <c r="I809" s="1">
        <v>173.0</v>
      </c>
      <c r="J809" s="1" t="s">
        <v>55</v>
      </c>
      <c r="K809" s="1" t="s">
        <v>55</v>
      </c>
      <c r="L809" s="1">
        <v>173.0</v>
      </c>
      <c r="M809" s="1">
        <v>158.0</v>
      </c>
      <c r="N809" s="1" t="s">
        <v>51</v>
      </c>
      <c r="O809" s="1">
        <v>149.0</v>
      </c>
      <c r="P809" s="1" t="s">
        <v>55</v>
      </c>
      <c r="Q809" s="1" t="s">
        <v>55</v>
      </c>
      <c r="R809" s="1">
        <v>149.0</v>
      </c>
      <c r="S809" s="1">
        <v>146.0</v>
      </c>
      <c r="T809" s="1" t="s">
        <v>52</v>
      </c>
      <c r="U809" s="1">
        <v>150.0</v>
      </c>
      <c r="V809" s="1" t="s">
        <v>55</v>
      </c>
      <c r="W809" s="1" t="s">
        <v>55</v>
      </c>
      <c r="X809" s="1">
        <v>150.0</v>
      </c>
      <c r="Y809" s="1">
        <v>142.0</v>
      </c>
      <c r="Z809" s="1" t="s">
        <v>53</v>
      </c>
      <c r="AA809" s="1">
        <v>177.0</v>
      </c>
      <c r="AB809" s="1" t="s">
        <v>55</v>
      </c>
      <c r="AC809" s="1" t="s">
        <v>55</v>
      </c>
      <c r="AD809" s="1">
        <v>177.0</v>
      </c>
      <c r="AE809" s="1">
        <v>173.0</v>
      </c>
      <c r="AF809" s="1" t="s">
        <v>54</v>
      </c>
      <c r="AG809" s="1">
        <v>160.0</v>
      </c>
      <c r="AH809" s="1" t="s">
        <v>55</v>
      </c>
      <c r="AI809" s="1" t="s">
        <v>55</v>
      </c>
      <c r="AJ809" s="1">
        <v>160.0</v>
      </c>
      <c r="AK809" s="1">
        <v>123.0</v>
      </c>
      <c r="AL809" s="1">
        <v>742.0</v>
      </c>
      <c r="AM809" s="1" t="s">
        <v>55</v>
      </c>
      <c r="AN809" s="1">
        <v>8.0</v>
      </c>
      <c r="AO809" s="1">
        <v>8.0</v>
      </c>
      <c r="AP809" s="1" t="s">
        <v>4023</v>
      </c>
      <c r="AQ809" s="3" t="str">
        <f>HYPERLINK("https://icf.clappia.com/app/GMB253374/submission/OTP21115512/ICF247370-GMB253374-5fe1hbflk9lm00000000/SIG-20250630_145910ac2h.jpeg", "SIG-20250630_145910ac2h.jpeg")</f>
        <v>SIG-20250630_145910ac2h.jpeg</v>
      </c>
      <c r="AR809" s="1" t="s">
        <v>4024</v>
      </c>
      <c r="AS809" s="3" t="str">
        <f>HYPERLINK("https://icf.clappia.com/app/GMB253374/submission/OTP21115512/ICF247370-GMB253374-3g7cb5bn5e2e00000000/SIG-20250630_1459163j83.jpeg", "SIG-20250630_1459163j83.jpeg")</f>
        <v>SIG-20250630_1459163j83.jpeg</v>
      </c>
      <c r="AT809" s="1" t="s">
        <v>4025</v>
      </c>
      <c r="AU809" s="3" t="str">
        <f>HYPERLINK("https://icf.clappia.com/app/GMB253374/submission/OTP21115512/ICF247370-GMB253374-531d70a3aj0o00000000/SIG-20250630_1503987n7.jpeg", "SIG-20250630_1503987n7.jpeg")</f>
        <v>SIG-20250630_1503987n7.jpeg</v>
      </c>
      <c r="AV809" s="3" t="str">
        <f>HYPERLINK("https://www.google.com/maps/place/8.8866823%2C-12.043834", "8.8866823,-12.043834")</f>
        <v>8.8866823,-12.043834</v>
      </c>
    </row>
    <row r="810" ht="15.75" customHeight="1">
      <c r="A810" s="1" t="s">
        <v>4026</v>
      </c>
      <c r="B810" s="1" t="s">
        <v>690</v>
      </c>
      <c r="C810" s="1" t="s">
        <v>1407</v>
      </c>
      <c r="D810" s="1" t="s">
        <v>1407</v>
      </c>
      <c r="E810" s="1" t="s">
        <v>4027</v>
      </c>
      <c r="F810" s="1" t="s">
        <v>64</v>
      </c>
      <c r="G810" s="1">
        <v>316.0</v>
      </c>
      <c r="H810" s="1" t="s">
        <v>50</v>
      </c>
      <c r="I810" s="1">
        <v>80.0</v>
      </c>
      <c r="J810" s="1">
        <v>40.0</v>
      </c>
      <c r="K810" s="1">
        <v>23.0</v>
      </c>
      <c r="L810" s="1">
        <v>40.0</v>
      </c>
      <c r="M810" s="1">
        <v>32.0</v>
      </c>
      <c r="N810" s="1" t="s">
        <v>51</v>
      </c>
      <c r="O810" s="1">
        <v>54.0</v>
      </c>
      <c r="P810" s="1">
        <v>23.0</v>
      </c>
      <c r="Q810" s="1">
        <v>17.0</v>
      </c>
      <c r="R810" s="1">
        <v>31.0</v>
      </c>
      <c r="S810" s="1">
        <v>26.0</v>
      </c>
      <c r="T810" s="1" t="s">
        <v>52</v>
      </c>
      <c r="U810" s="1">
        <v>40.0</v>
      </c>
      <c r="V810" s="1">
        <v>26.0</v>
      </c>
      <c r="W810" s="1">
        <v>19.0</v>
      </c>
      <c r="X810" s="1">
        <v>14.0</v>
      </c>
      <c r="Y810" s="1">
        <v>11.0</v>
      </c>
      <c r="Z810" s="1" t="s">
        <v>53</v>
      </c>
      <c r="AA810" s="1">
        <v>38.0</v>
      </c>
      <c r="AB810" s="1">
        <v>21.0</v>
      </c>
      <c r="AC810" s="1">
        <v>19.0</v>
      </c>
      <c r="AD810" s="1">
        <v>17.0</v>
      </c>
      <c r="AE810" s="1">
        <v>13.0</v>
      </c>
      <c r="AF810" s="1" t="s">
        <v>54</v>
      </c>
      <c r="AG810" s="1">
        <v>18.0</v>
      </c>
      <c r="AH810" s="1">
        <v>9.0</v>
      </c>
      <c r="AI810" s="1">
        <v>6.0</v>
      </c>
      <c r="AJ810" s="1">
        <v>9.0</v>
      </c>
      <c r="AK810" s="1">
        <v>6.0</v>
      </c>
      <c r="AL810" s="1">
        <v>172.0</v>
      </c>
      <c r="AM810" s="1" t="s">
        <v>55</v>
      </c>
      <c r="AN810" s="1">
        <v>144.0</v>
      </c>
      <c r="AO810" s="1">
        <v>144.0</v>
      </c>
      <c r="AP810" s="1" t="s">
        <v>2022</v>
      </c>
      <c r="AQ810" s="3" t="str">
        <f>HYPERLINK("https://icf.clappia.com/app/GMB253374/submission/WMV44272848/ICF247370-GMB253374-habampdndbne0000000/SIG-20250630_1548f7f9m.jpeg", "SIG-20250630_1548f7f9m.jpeg")</f>
        <v>SIG-20250630_1548f7f9m.jpeg</v>
      </c>
      <c r="AR810" s="1" t="s">
        <v>3456</v>
      </c>
      <c r="AS810" s="3" t="str">
        <f>HYPERLINK("https://icf.clappia.com/app/GMB253374/submission/WMV44272848/ICF247370-GMB253374-4k66m78594ek0000000/SIG-20250630_154819l95j.jpeg", "SIG-20250630_154819l95j.jpeg")</f>
        <v>SIG-20250630_154819l95j.jpeg</v>
      </c>
      <c r="AT810" s="1" t="s">
        <v>2024</v>
      </c>
      <c r="AU810" s="3" t="str">
        <f>HYPERLINK("https://icf.clappia.com/app/GMB253374/submission/WMV44272848/ICF247370-GMB253374-o7p6j01b3l040000000/SIG-20250630_1549ml09d.jpeg", "SIG-20250630_1549ml09d.jpeg")</f>
        <v>SIG-20250630_1549ml09d.jpeg</v>
      </c>
      <c r="AV810" s="3" t="str">
        <f>HYPERLINK("https://www.google.com/maps/place/8.8416965%2C-12.076866", "8.8416965,-12.076866")</f>
        <v>8.8416965,-12.076866</v>
      </c>
    </row>
    <row r="811" ht="15.75" customHeight="1">
      <c r="A811" s="1" t="s">
        <v>4028</v>
      </c>
      <c r="B811" s="1" t="s">
        <v>438</v>
      </c>
      <c r="C811" s="1" t="s">
        <v>4029</v>
      </c>
      <c r="D811" s="1" t="s">
        <v>4029</v>
      </c>
      <c r="E811" s="1" t="s">
        <v>4030</v>
      </c>
      <c r="F811" s="1" t="s">
        <v>64</v>
      </c>
      <c r="G811" s="1">
        <v>107.0</v>
      </c>
      <c r="H811" s="1" t="s">
        <v>50</v>
      </c>
      <c r="I811" s="1">
        <v>51.0</v>
      </c>
      <c r="J811" s="1">
        <v>30.0</v>
      </c>
      <c r="K811" s="1">
        <v>30.0</v>
      </c>
      <c r="L811" s="1">
        <v>21.0</v>
      </c>
      <c r="M811" s="1">
        <v>20.0</v>
      </c>
      <c r="N811" s="1" t="s">
        <v>51</v>
      </c>
      <c r="O811" s="1">
        <v>34.0</v>
      </c>
      <c r="P811" s="1">
        <v>14.0</v>
      </c>
      <c r="Q811" s="1">
        <v>12.0</v>
      </c>
      <c r="R811" s="1">
        <v>20.0</v>
      </c>
      <c r="S811" s="1">
        <v>20.0</v>
      </c>
      <c r="T811" s="1" t="s">
        <v>52</v>
      </c>
      <c r="U811" s="1">
        <v>22.0</v>
      </c>
      <c r="V811" s="1">
        <v>10.0</v>
      </c>
      <c r="W811" s="1">
        <v>10.0</v>
      </c>
      <c r="X811" s="1">
        <v>12.0</v>
      </c>
      <c r="Y811" s="1">
        <v>10.0</v>
      </c>
      <c r="Z811" s="1" t="s">
        <v>53</v>
      </c>
      <c r="AA811" s="1" t="s">
        <v>55</v>
      </c>
      <c r="AB811" s="1" t="s">
        <v>55</v>
      </c>
      <c r="AC811" s="1" t="s">
        <v>55</v>
      </c>
      <c r="AD811" s="1" t="s">
        <v>55</v>
      </c>
      <c r="AE811" s="1" t="s">
        <v>55</v>
      </c>
      <c r="AF811" s="1" t="s">
        <v>54</v>
      </c>
      <c r="AG811" s="1" t="s">
        <v>55</v>
      </c>
      <c r="AH811" s="1" t="s">
        <v>55</v>
      </c>
      <c r="AI811" s="1" t="s">
        <v>55</v>
      </c>
      <c r="AJ811" s="1" t="s">
        <v>55</v>
      </c>
      <c r="AK811" s="1" t="s">
        <v>55</v>
      </c>
      <c r="AL811" s="1">
        <v>102.0</v>
      </c>
      <c r="AM811" s="1">
        <v>5.0</v>
      </c>
      <c r="AN811" s="1" t="s">
        <v>55</v>
      </c>
      <c r="AO811" s="1" t="s">
        <v>55</v>
      </c>
      <c r="AP811" s="1" t="s">
        <v>1938</v>
      </c>
      <c r="AQ811" s="3" t="str">
        <f>HYPERLINK("https://icf.clappia.com/app/GMB253374/submission/MKX84849272/ICF247370-GMB253374-5p0dp5nl8g8400000000/SIG-20250630_131415lm0p.jpeg", "SIG-20250630_131415lm0p.jpeg")</f>
        <v>SIG-20250630_131415lm0p.jpeg</v>
      </c>
      <c r="AR811" s="1" t="s">
        <v>4031</v>
      </c>
      <c r="AS811" s="3" t="str">
        <f>HYPERLINK("https://icf.clappia.com/app/GMB253374/submission/MKX84849272/ICF247370-GMB253374-2imc60n8pjo000000000/SIG-20250630_1322180g2j.jpeg", "SIG-20250630_1322180g2j.jpeg")</f>
        <v>SIG-20250630_1322180g2j.jpeg</v>
      </c>
      <c r="AT811" s="1" t="s">
        <v>4032</v>
      </c>
      <c r="AU811" s="3" t="str">
        <f>HYPERLINK("https://icf.clappia.com/app/GMB253374/submission/MKX84849272/ICF247370-GMB253374-2m693nci49mc00000000/SIG-20250630_13247p7m1.jpeg", "SIG-20250630_13247p7m1.jpeg")</f>
        <v>SIG-20250630_13247p7m1.jpeg</v>
      </c>
      <c r="AV811" s="3" t="str">
        <f>HYPERLINK("https://www.google.com/maps/place/7.558357%2C-11.8689604", "7.558357,-11.8689604")</f>
        <v>7.558357,-11.8689604</v>
      </c>
    </row>
    <row r="812" ht="15.75" customHeight="1">
      <c r="A812" s="1" t="s">
        <v>4033</v>
      </c>
      <c r="B812" s="1" t="s">
        <v>438</v>
      </c>
      <c r="C812" s="1" t="s">
        <v>4029</v>
      </c>
      <c r="D812" s="1" t="s">
        <v>4029</v>
      </c>
      <c r="E812" s="1" t="s">
        <v>4034</v>
      </c>
      <c r="F812" s="1" t="s">
        <v>64</v>
      </c>
      <c r="G812" s="1">
        <v>200.0</v>
      </c>
      <c r="H812" s="1" t="s">
        <v>50</v>
      </c>
      <c r="I812" s="1">
        <v>47.0</v>
      </c>
      <c r="J812" s="1">
        <v>26.0</v>
      </c>
      <c r="K812" s="1">
        <v>20.0</v>
      </c>
      <c r="L812" s="1">
        <v>21.0</v>
      </c>
      <c r="M812" s="1">
        <v>16.0</v>
      </c>
      <c r="N812" s="1" t="s">
        <v>51</v>
      </c>
      <c r="O812" s="1">
        <v>44.0</v>
      </c>
      <c r="P812" s="1">
        <v>14.0</v>
      </c>
      <c r="Q812" s="1">
        <v>9.0</v>
      </c>
      <c r="R812" s="1">
        <v>30.0</v>
      </c>
      <c r="S812" s="1">
        <v>25.0</v>
      </c>
      <c r="T812" s="1" t="s">
        <v>52</v>
      </c>
      <c r="U812" s="1" t="s">
        <v>55</v>
      </c>
      <c r="V812" s="1" t="s">
        <v>55</v>
      </c>
      <c r="W812" s="1" t="s">
        <v>55</v>
      </c>
      <c r="X812" s="1" t="s">
        <v>55</v>
      </c>
      <c r="Y812" s="1" t="s">
        <v>55</v>
      </c>
      <c r="Z812" s="1" t="s">
        <v>53</v>
      </c>
      <c r="AA812" s="1" t="s">
        <v>55</v>
      </c>
      <c r="AB812" s="1" t="s">
        <v>55</v>
      </c>
      <c r="AC812" s="1" t="s">
        <v>55</v>
      </c>
      <c r="AD812" s="1" t="s">
        <v>55</v>
      </c>
      <c r="AE812" s="1" t="s">
        <v>55</v>
      </c>
      <c r="AF812" s="1" t="s">
        <v>54</v>
      </c>
      <c r="AG812" s="1" t="s">
        <v>55</v>
      </c>
      <c r="AH812" s="1" t="s">
        <v>55</v>
      </c>
      <c r="AI812" s="1" t="s">
        <v>55</v>
      </c>
      <c r="AJ812" s="1" t="s">
        <v>55</v>
      </c>
      <c r="AK812" s="1" t="s">
        <v>55</v>
      </c>
      <c r="AL812" s="1">
        <v>70.0</v>
      </c>
      <c r="AM812" s="1" t="s">
        <v>55</v>
      </c>
      <c r="AN812" s="1">
        <v>130.0</v>
      </c>
      <c r="AO812" s="1">
        <v>130.0</v>
      </c>
      <c r="AP812" s="1" t="s">
        <v>4035</v>
      </c>
      <c r="AQ812" s="3" t="str">
        <f>HYPERLINK("https://icf.clappia.com/app/GMB253374/submission/UIA24944375/ICF247370-GMB253374-2gclngc49e0m00000000/SIG-20250630_15346mah7.jpeg", "SIG-20250630_15346mah7.jpeg")</f>
        <v>SIG-20250630_15346mah7.jpeg</v>
      </c>
      <c r="AR812" s="1" t="s">
        <v>4036</v>
      </c>
      <c r="AS812" s="3" t="str">
        <f>HYPERLINK("https://icf.clappia.com/app/GMB253374/submission/UIA24944375/ICF247370-GMB253374-3con3ia64e9800000000/SIG-20250630_1504ofdb2.jpeg", "SIG-20250630_1504ofdb2.jpeg")</f>
        <v>SIG-20250630_1504ofdb2.jpeg</v>
      </c>
      <c r="AT812" s="1" t="s">
        <v>4037</v>
      </c>
      <c r="AU812" s="3" t="str">
        <f>HYPERLINK("https://icf.clappia.com/app/GMB253374/submission/UIA24944375/ICF247370-GMB253374-35d1do81h8ck00000000/SIG-20250630_145115dh4i.jpeg", "SIG-20250630_145115dh4i.jpeg")</f>
        <v>SIG-20250630_145115dh4i.jpeg</v>
      </c>
      <c r="AV812" s="3" t="str">
        <f>HYPERLINK("https://www.google.com/maps/place/7.6075967%2C-11.8139533", "7.6075967,-11.8139533")</f>
        <v>7.6075967,-11.8139533</v>
      </c>
    </row>
    <row r="813" ht="15.75" customHeight="1">
      <c r="A813" s="1" t="s">
        <v>4038</v>
      </c>
      <c r="B813" s="1" t="s">
        <v>81</v>
      </c>
      <c r="C813" s="1" t="s">
        <v>4039</v>
      </c>
      <c r="D813" s="1" t="s">
        <v>4039</v>
      </c>
      <c r="E813" s="1" t="s">
        <v>4040</v>
      </c>
      <c r="F813" s="1" t="s">
        <v>49</v>
      </c>
      <c r="G813" s="1">
        <v>355.0</v>
      </c>
      <c r="H813" s="1" t="s">
        <v>50</v>
      </c>
      <c r="I813" s="1">
        <v>91.0</v>
      </c>
      <c r="J813" s="1">
        <v>45.0</v>
      </c>
      <c r="K813" s="1">
        <v>44.0</v>
      </c>
      <c r="L813" s="1">
        <v>46.0</v>
      </c>
      <c r="M813" s="1">
        <v>45.0</v>
      </c>
      <c r="N813" s="1" t="s">
        <v>51</v>
      </c>
      <c r="O813" s="1">
        <v>54.0</v>
      </c>
      <c r="P813" s="1">
        <v>22.0</v>
      </c>
      <c r="Q813" s="1">
        <v>21.0</v>
      </c>
      <c r="R813" s="1">
        <v>32.0</v>
      </c>
      <c r="S813" s="1">
        <v>31.0</v>
      </c>
      <c r="T813" s="1" t="s">
        <v>52</v>
      </c>
      <c r="U813" s="1">
        <v>68.0</v>
      </c>
      <c r="V813" s="1">
        <v>32.0</v>
      </c>
      <c r="W813" s="1">
        <v>31.0</v>
      </c>
      <c r="X813" s="1">
        <v>36.0</v>
      </c>
      <c r="Y813" s="1">
        <v>36.0</v>
      </c>
      <c r="Z813" s="1" t="s">
        <v>53</v>
      </c>
      <c r="AA813" s="1">
        <v>82.0</v>
      </c>
      <c r="AB813" s="1">
        <v>33.0</v>
      </c>
      <c r="AC813" s="1">
        <v>31.0</v>
      </c>
      <c r="AD813" s="1">
        <v>49.0</v>
      </c>
      <c r="AE813" s="1">
        <v>48.0</v>
      </c>
      <c r="AF813" s="1" t="s">
        <v>54</v>
      </c>
      <c r="AG813" s="1">
        <v>60.0</v>
      </c>
      <c r="AH813" s="1">
        <v>33.0</v>
      </c>
      <c r="AI813" s="1">
        <v>32.0</v>
      </c>
      <c r="AJ813" s="1">
        <v>27.0</v>
      </c>
      <c r="AK813" s="1">
        <v>26.0</v>
      </c>
      <c r="AL813" s="1">
        <v>345.0</v>
      </c>
      <c r="AM813" s="1">
        <v>10.0</v>
      </c>
      <c r="AN813" s="1" t="s">
        <v>55</v>
      </c>
      <c r="AO813" s="1" t="s">
        <v>55</v>
      </c>
      <c r="AP813" s="1" t="s">
        <v>4041</v>
      </c>
      <c r="AQ813" s="3" t="str">
        <f>HYPERLINK("https://icf.clappia.com/app/GMB253374/submission/QFU83555777/ICF247370-GMB253374-4eid4i65aalc00000000/SIG-20250630_1024hb3dk.jpeg", "SIG-20250630_1024hb3dk.jpeg")</f>
        <v>SIG-20250630_1024hb3dk.jpeg</v>
      </c>
      <c r="AR813" s="1" t="s">
        <v>4042</v>
      </c>
      <c r="AS813" s="3" t="str">
        <f>HYPERLINK("https://icf.clappia.com/app/GMB253374/submission/QFU83555777/ICF247370-GMB253374-2oimhci4lhek00000000/SIG-20250630_1025kmbo5.jpeg", "SIG-20250630_1025kmbo5.jpeg")</f>
        <v>SIG-20250630_1025kmbo5.jpeg</v>
      </c>
      <c r="AT813" s="1" t="s">
        <v>4043</v>
      </c>
      <c r="AU813" s="3" t="str">
        <f>HYPERLINK("https://icf.clappia.com/app/GMB253374/submission/QFU83555777/ICF247370-GMB253374-2ah69l88d29120000000/SIG-20250630_1026103604.jpeg", "SIG-20250630_1026103604.jpeg")</f>
        <v>SIG-20250630_1026103604.jpeg</v>
      </c>
      <c r="AV813" s="3" t="str">
        <f>HYPERLINK("https://www.google.com/maps/place/7.9489056%2C-11.7557673", "7.9489056,-11.7557673")</f>
        <v>7.9489056,-11.7557673</v>
      </c>
    </row>
    <row r="814" ht="15.75" customHeight="1">
      <c r="A814" s="1" t="s">
        <v>4044</v>
      </c>
      <c r="B814" s="1" t="s">
        <v>349</v>
      </c>
      <c r="C814" s="1" t="s">
        <v>4045</v>
      </c>
      <c r="D814" s="1" t="s">
        <v>4045</v>
      </c>
      <c r="E814" s="1" t="s">
        <v>4046</v>
      </c>
      <c r="F814" s="1" t="s">
        <v>64</v>
      </c>
      <c r="G814" s="1">
        <v>111.0</v>
      </c>
      <c r="H814" s="1" t="s">
        <v>50</v>
      </c>
      <c r="I814" s="1">
        <v>27.0</v>
      </c>
      <c r="J814" s="1">
        <v>15.0</v>
      </c>
      <c r="K814" s="1">
        <v>15.0</v>
      </c>
      <c r="L814" s="1">
        <v>12.0</v>
      </c>
      <c r="M814" s="1">
        <v>11.0</v>
      </c>
      <c r="N814" s="1" t="s">
        <v>51</v>
      </c>
      <c r="O814" s="1">
        <v>16.0</v>
      </c>
      <c r="P814" s="1">
        <v>10.0</v>
      </c>
      <c r="Q814" s="1">
        <v>9.0</v>
      </c>
      <c r="R814" s="1">
        <v>6.0</v>
      </c>
      <c r="S814" s="1">
        <v>4.0</v>
      </c>
      <c r="T814" s="1" t="s">
        <v>52</v>
      </c>
      <c r="U814" s="1">
        <v>22.0</v>
      </c>
      <c r="V814" s="1">
        <v>10.0</v>
      </c>
      <c r="W814" s="1">
        <v>9.0</v>
      </c>
      <c r="X814" s="1">
        <v>12.0</v>
      </c>
      <c r="Y814" s="1">
        <v>11.0</v>
      </c>
      <c r="Z814" s="1" t="s">
        <v>53</v>
      </c>
      <c r="AA814" s="1">
        <v>25.0</v>
      </c>
      <c r="AB814" s="1">
        <v>12.0</v>
      </c>
      <c r="AC814" s="1">
        <v>9.0</v>
      </c>
      <c r="AD814" s="1">
        <v>13.0</v>
      </c>
      <c r="AE814" s="1">
        <v>11.0</v>
      </c>
      <c r="AF814" s="1" t="s">
        <v>54</v>
      </c>
      <c r="AG814" s="1">
        <v>14.0</v>
      </c>
      <c r="AH814" s="1">
        <v>7.0</v>
      </c>
      <c r="AI814" s="1">
        <v>6.0</v>
      </c>
      <c r="AJ814" s="1">
        <v>7.0</v>
      </c>
      <c r="AK814" s="1">
        <v>5.0</v>
      </c>
      <c r="AL814" s="1">
        <v>90.0</v>
      </c>
      <c r="AM814" s="1" t="s">
        <v>55</v>
      </c>
      <c r="AN814" s="1">
        <v>21.0</v>
      </c>
      <c r="AO814" s="1">
        <v>21.0</v>
      </c>
      <c r="AP814" s="1" t="s">
        <v>224</v>
      </c>
      <c r="AQ814" s="3" t="str">
        <f>HYPERLINK("https://icf.clappia.com/app/GMB253374/submission/KQS53460625/ICF247370-GMB253374-6al1km1l3ene00000000/SIG-20250630_1132g4c50.jpeg", "SIG-20250630_1132g4c50.jpeg")</f>
        <v>SIG-20250630_1132g4c50.jpeg</v>
      </c>
      <c r="AR814" s="1" t="s">
        <v>799</v>
      </c>
      <c r="AS814" s="3" t="str">
        <f>HYPERLINK("https://icf.clappia.com/app/GMB253374/submission/KQS53460625/ICF247370-GMB253374-4hn8g0lk47pe00000000/SIG-20250630_1129151b92.jpeg", "SIG-20250630_1129151b92.jpeg")</f>
        <v>SIG-20250630_1129151b92.jpeg</v>
      </c>
      <c r="AT814" s="1" t="s">
        <v>4047</v>
      </c>
      <c r="AU814" s="3" t="str">
        <f>HYPERLINK("https://icf.clappia.com/app/GMB253374/submission/KQS53460625/ICF247370-GMB253374-l11k3gnbo4gg0000000/SIG-20250630_11323mkhj.jpeg", "SIG-20250630_11323mkhj.jpeg")</f>
        <v>SIG-20250630_11323mkhj.jpeg</v>
      </c>
      <c r="AV814" s="3" t="str">
        <f>HYPERLINK("https://www.google.com/maps/place/8.9621189%2C-11.9570966", "8.9621189,-11.9570966")</f>
        <v>8.9621189,-11.9570966</v>
      </c>
    </row>
    <row r="815" ht="15.75" customHeight="1">
      <c r="A815" s="1" t="s">
        <v>4048</v>
      </c>
      <c r="B815" s="1" t="s">
        <v>81</v>
      </c>
      <c r="C815" s="1" t="s">
        <v>4049</v>
      </c>
      <c r="D815" s="1" t="s">
        <v>4049</v>
      </c>
      <c r="E815" s="1" t="s">
        <v>4050</v>
      </c>
      <c r="F815" s="1" t="s">
        <v>64</v>
      </c>
      <c r="G815" s="1">
        <v>181.0</v>
      </c>
      <c r="H815" s="1" t="s">
        <v>50</v>
      </c>
      <c r="I815" s="1">
        <v>55.0</v>
      </c>
      <c r="J815" s="1">
        <v>20.0</v>
      </c>
      <c r="K815" s="1">
        <v>20.0</v>
      </c>
      <c r="L815" s="1">
        <v>35.0</v>
      </c>
      <c r="M815" s="1">
        <v>35.0</v>
      </c>
      <c r="N815" s="1" t="s">
        <v>51</v>
      </c>
      <c r="O815" s="1">
        <v>38.0</v>
      </c>
      <c r="P815" s="1">
        <v>14.0</v>
      </c>
      <c r="Q815" s="1">
        <v>14.0</v>
      </c>
      <c r="R815" s="1">
        <v>24.0</v>
      </c>
      <c r="S815" s="1">
        <v>24.0</v>
      </c>
      <c r="T815" s="1" t="s">
        <v>52</v>
      </c>
      <c r="U815" s="1">
        <v>30.0</v>
      </c>
      <c r="V815" s="1">
        <v>14.0</v>
      </c>
      <c r="W815" s="1">
        <v>14.0</v>
      </c>
      <c r="X815" s="1">
        <v>16.0</v>
      </c>
      <c r="Y815" s="1">
        <v>16.0</v>
      </c>
      <c r="Z815" s="1" t="s">
        <v>53</v>
      </c>
      <c r="AA815" s="1">
        <v>30.0</v>
      </c>
      <c r="AB815" s="1">
        <v>12.0</v>
      </c>
      <c r="AC815" s="1">
        <v>12.0</v>
      </c>
      <c r="AD815" s="1">
        <v>18.0</v>
      </c>
      <c r="AE815" s="1">
        <v>18.0</v>
      </c>
      <c r="AF815" s="1" t="s">
        <v>54</v>
      </c>
      <c r="AG815" s="1">
        <v>28.0</v>
      </c>
      <c r="AH815" s="1">
        <v>12.0</v>
      </c>
      <c r="AI815" s="1">
        <v>12.0</v>
      </c>
      <c r="AJ815" s="1">
        <v>16.0</v>
      </c>
      <c r="AK815" s="1">
        <v>16.0</v>
      </c>
      <c r="AL815" s="1">
        <v>181.0</v>
      </c>
      <c r="AM815" s="1" t="s">
        <v>55</v>
      </c>
      <c r="AN815" s="1" t="s">
        <v>55</v>
      </c>
      <c r="AO815" s="1" t="s">
        <v>55</v>
      </c>
      <c r="AP815" s="1" t="s">
        <v>4051</v>
      </c>
      <c r="AQ815" s="3" t="str">
        <f>HYPERLINK("https://icf.clappia.com/app/GMB253374/submission/KNF19188849/ICF247370-GMB253374-m5p8nc1ohipm0000000/SIG-20250630_1414abomg.jpeg", "SIG-20250630_1414abomg.jpeg")</f>
        <v>SIG-20250630_1414abomg.jpeg</v>
      </c>
      <c r="AR815" s="1" t="s">
        <v>4052</v>
      </c>
      <c r="AS815" s="3" t="str">
        <f>HYPERLINK("https://icf.clappia.com/app/GMB253374/submission/KNF19188849/ICF247370-GMB253374-d9cjkkl000fi0000000/SIG-20250630_1415mg3m4.jpeg", "SIG-20250630_1415mg3m4.jpeg")</f>
        <v>SIG-20250630_1415mg3m4.jpeg</v>
      </c>
      <c r="AT815" s="1" t="s">
        <v>4053</v>
      </c>
      <c r="AU815" s="3" t="str">
        <f>HYPERLINK("https://icf.clappia.com/app/GMB253374/submission/KNF19188849/ICF247370-GMB253374-adnb9ci9gc0o0000000/SIG-20250630_141518c4m4.jpeg", "SIG-20250630_141518c4m4.jpeg")</f>
        <v>SIG-20250630_141518c4m4.jpeg</v>
      </c>
      <c r="AV815" s="3" t="str">
        <f>HYPERLINK("https://www.google.com/maps/place/7.9751275%2C-11.7393928", "7.9751275,-11.7393928")</f>
        <v>7.9751275,-11.7393928</v>
      </c>
    </row>
    <row r="816" ht="15.75" customHeight="1">
      <c r="A816" s="1" t="s">
        <v>4054</v>
      </c>
      <c r="B816" s="1" t="s">
        <v>189</v>
      </c>
      <c r="C816" s="1" t="s">
        <v>4055</v>
      </c>
      <c r="D816" s="1" t="s">
        <v>4055</v>
      </c>
      <c r="E816" s="1" t="s">
        <v>4056</v>
      </c>
      <c r="F816" s="1" t="s">
        <v>64</v>
      </c>
      <c r="G816" s="1">
        <v>442.0</v>
      </c>
      <c r="H816" s="1" t="s">
        <v>50</v>
      </c>
      <c r="I816" s="1">
        <v>83.0</v>
      </c>
      <c r="J816" s="1">
        <v>42.0</v>
      </c>
      <c r="K816" s="1">
        <v>42.0</v>
      </c>
      <c r="L816" s="1">
        <v>41.0</v>
      </c>
      <c r="M816" s="1">
        <v>39.0</v>
      </c>
      <c r="N816" s="1" t="s">
        <v>51</v>
      </c>
      <c r="O816" s="1">
        <v>85.0</v>
      </c>
      <c r="P816" s="1">
        <v>40.0</v>
      </c>
      <c r="Q816" s="1">
        <v>40.0</v>
      </c>
      <c r="R816" s="1">
        <v>44.0</v>
      </c>
      <c r="S816" s="1">
        <v>44.0</v>
      </c>
      <c r="T816" s="1" t="s">
        <v>52</v>
      </c>
      <c r="U816" s="1">
        <v>90.0</v>
      </c>
      <c r="V816" s="1">
        <v>47.0</v>
      </c>
      <c r="W816" s="1">
        <v>47.0</v>
      </c>
      <c r="X816" s="1">
        <v>43.0</v>
      </c>
      <c r="Y816" s="1">
        <v>43.0</v>
      </c>
      <c r="Z816" s="1" t="s">
        <v>53</v>
      </c>
      <c r="AA816" s="1">
        <v>85.0</v>
      </c>
      <c r="AB816" s="1">
        <v>48.0</v>
      </c>
      <c r="AC816" s="1">
        <v>42.0</v>
      </c>
      <c r="AD816" s="1">
        <v>37.0</v>
      </c>
      <c r="AE816" s="1">
        <v>37.0</v>
      </c>
      <c r="AF816" s="1" t="s">
        <v>54</v>
      </c>
      <c r="AG816" s="1">
        <v>89.0</v>
      </c>
      <c r="AH816" s="1">
        <v>50.0</v>
      </c>
      <c r="AI816" s="1">
        <v>50.0</v>
      </c>
      <c r="AJ816" s="1">
        <v>38.0</v>
      </c>
      <c r="AK816" s="1">
        <v>36.0</v>
      </c>
      <c r="AL816" s="1">
        <v>420.0</v>
      </c>
      <c r="AM816" s="1">
        <v>10.0</v>
      </c>
      <c r="AN816" s="1">
        <v>12.0</v>
      </c>
      <c r="AO816" s="1">
        <v>12.0</v>
      </c>
      <c r="AP816" s="1" t="s">
        <v>4057</v>
      </c>
      <c r="AQ816" s="3" t="str">
        <f>HYPERLINK("https://icf.clappia.com/app/GMB253374/submission/OJE56801233/ICF247370-GMB253374-4jagfanmeojk00000000/SIG-20250630_1534pi512.jpeg", "SIG-20250630_1534pi512.jpeg")</f>
        <v>SIG-20250630_1534pi512.jpeg</v>
      </c>
      <c r="AR816" s="1" t="s">
        <v>1037</v>
      </c>
      <c r="AS816" s="3" t="str">
        <f>HYPERLINK("https://icf.clappia.com/app/GMB253374/submission/OJE56801233/ICF247370-GMB253374-5in2420di87m00000000/SIG-20250630_1534188jgp.jpeg", "SIG-20250630_1534188jgp.jpeg")</f>
        <v>SIG-20250630_1534188jgp.jpeg</v>
      </c>
      <c r="AT816" s="1" t="s">
        <v>4058</v>
      </c>
      <c r="AU816" s="3" t="str">
        <f>HYPERLINK("https://icf.clappia.com/app/GMB253374/submission/OJE56801233/ICF247370-GMB253374-2nica9en629e00000000/SIG-20250630_153416545p.jpeg", "SIG-20250630_153416545p.jpeg")</f>
        <v>SIG-20250630_153416545p.jpeg</v>
      </c>
      <c r="AV816" s="3" t="str">
        <f>HYPERLINK("https://www.google.com/maps/place/8.8710983%2C-12.0288217", "8.8710983,-12.0288217")</f>
        <v>8.8710983,-12.0288217</v>
      </c>
    </row>
    <row r="817" ht="15.75" customHeight="1">
      <c r="A817" s="1" t="s">
        <v>4059</v>
      </c>
      <c r="B817" s="1" t="s">
        <v>438</v>
      </c>
      <c r="C817" s="1" t="s">
        <v>4055</v>
      </c>
      <c r="D817" s="1" t="s">
        <v>4055</v>
      </c>
      <c r="E817" s="1" t="s">
        <v>4060</v>
      </c>
      <c r="F817" s="1" t="s">
        <v>64</v>
      </c>
      <c r="G817" s="1">
        <v>250.0</v>
      </c>
      <c r="H817" s="1" t="s">
        <v>50</v>
      </c>
      <c r="I817" s="1">
        <v>89.0</v>
      </c>
      <c r="J817" s="1">
        <v>41.0</v>
      </c>
      <c r="K817" s="1">
        <v>41.0</v>
      </c>
      <c r="L817" s="1">
        <v>48.0</v>
      </c>
      <c r="M817" s="1">
        <v>48.0</v>
      </c>
      <c r="N817" s="1" t="s">
        <v>51</v>
      </c>
      <c r="O817" s="1">
        <v>76.0</v>
      </c>
      <c r="P817" s="1">
        <v>39.0</v>
      </c>
      <c r="Q817" s="1">
        <v>39.0</v>
      </c>
      <c r="R817" s="1">
        <v>37.0</v>
      </c>
      <c r="S817" s="1">
        <v>37.0</v>
      </c>
      <c r="T817" s="1" t="s">
        <v>52</v>
      </c>
      <c r="U817" s="1">
        <v>79.0</v>
      </c>
      <c r="V817" s="1">
        <v>38.0</v>
      </c>
      <c r="W817" s="1">
        <v>38.0</v>
      </c>
      <c r="X817" s="1">
        <v>41.0</v>
      </c>
      <c r="Y817" s="1">
        <v>41.0</v>
      </c>
      <c r="Z817" s="1" t="s">
        <v>53</v>
      </c>
      <c r="AA817" s="1" t="s">
        <v>55</v>
      </c>
      <c r="AB817" s="1" t="s">
        <v>55</v>
      </c>
      <c r="AC817" s="1" t="s">
        <v>55</v>
      </c>
      <c r="AD817" s="1" t="s">
        <v>55</v>
      </c>
      <c r="AE817" s="1" t="s">
        <v>55</v>
      </c>
      <c r="AF817" s="1" t="s">
        <v>54</v>
      </c>
      <c r="AG817" s="1" t="s">
        <v>55</v>
      </c>
      <c r="AH817" s="1" t="s">
        <v>55</v>
      </c>
      <c r="AI817" s="1" t="s">
        <v>55</v>
      </c>
      <c r="AJ817" s="1" t="s">
        <v>55</v>
      </c>
      <c r="AK817" s="1" t="s">
        <v>55</v>
      </c>
      <c r="AL817" s="1">
        <v>244.0</v>
      </c>
      <c r="AM817" s="1" t="s">
        <v>55</v>
      </c>
      <c r="AN817" s="1">
        <v>6.0</v>
      </c>
      <c r="AO817" s="1">
        <v>6.0</v>
      </c>
      <c r="AP817" s="1" t="s">
        <v>4061</v>
      </c>
      <c r="AQ817" s="3" t="str">
        <f>HYPERLINK("https://icf.clappia.com/app/GMB253374/submission/WFS71389166/ICF247370-GMB253374-1aaocagifhjkk0000000/SIG-20250630_1525m73ga.jpeg", "SIG-20250630_1525m73ga.jpeg")</f>
        <v>SIG-20250630_1525m73ga.jpeg</v>
      </c>
      <c r="AR817" s="1" t="s">
        <v>4062</v>
      </c>
      <c r="AS817" s="3" t="str">
        <f>HYPERLINK("https://icf.clappia.com/app/GMB253374/submission/WFS71389166/ICF247370-GMB253374-21e59cbfek3840000000/SIG-20250630_1526nn466.jpeg", "SIG-20250630_1526nn466.jpeg")</f>
        <v>SIG-20250630_1526nn466.jpeg</v>
      </c>
      <c r="AT817" s="1" t="s">
        <v>4063</v>
      </c>
      <c r="AU817" s="3" t="str">
        <f>HYPERLINK("https://icf.clappia.com/app/GMB253374/submission/WFS71389166/ICF247370-GMB253374-je2aa1o1ba000000000/SIG-20250630_1527f9lma.jpeg", "SIG-20250630_1527f9lma.jpeg")</f>
        <v>SIG-20250630_1527f9lma.jpeg</v>
      </c>
      <c r="AV817" s="3" t="str">
        <f>HYPERLINK("https://www.google.com/maps/place/7.6308676%2C-11.8070431", "7.6308676,-11.8070431")</f>
        <v>7.6308676,-11.8070431</v>
      </c>
    </row>
    <row r="818" ht="15.75" customHeight="1">
      <c r="A818" s="1" t="s">
        <v>4064</v>
      </c>
      <c r="B818" s="1" t="s">
        <v>81</v>
      </c>
      <c r="C818" s="1" t="s">
        <v>4065</v>
      </c>
      <c r="D818" s="1" t="s">
        <v>4065</v>
      </c>
      <c r="E818" s="1" t="s">
        <v>4066</v>
      </c>
      <c r="F818" s="1" t="s">
        <v>64</v>
      </c>
      <c r="G818" s="1">
        <v>182.0</v>
      </c>
      <c r="H818" s="1" t="s">
        <v>50</v>
      </c>
      <c r="I818" s="1">
        <v>35.0</v>
      </c>
      <c r="J818" s="1">
        <v>15.0</v>
      </c>
      <c r="K818" s="1">
        <v>15.0</v>
      </c>
      <c r="L818" s="1">
        <v>20.0</v>
      </c>
      <c r="M818" s="1">
        <v>15.0</v>
      </c>
      <c r="N818" s="1" t="s">
        <v>51</v>
      </c>
      <c r="O818" s="1">
        <v>29.0</v>
      </c>
      <c r="P818" s="1">
        <v>13.0</v>
      </c>
      <c r="Q818" s="1">
        <v>13.0</v>
      </c>
      <c r="R818" s="1">
        <v>16.0</v>
      </c>
      <c r="S818" s="1">
        <v>16.0</v>
      </c>
      <c r="T818" s="1" t="s">
        <v>52</v>
      </c>
      <c r="U818" s="1">
        <v>46.0</v>
      </c>
      <c r="V818" s="1">
        <v>21.0</v>
      </c>
      <c r="W818" s="1">
        <v>21.0</v>
      </c>
      <c r="X818" s="1">
        <v>25.0</v>
      </c>
      <c r="Y818" s="1">
        <v>25.0</v>
      </c>
      <c r="Z818" s="1" t="s">
        <v>53</v>
      </c>
      <c r="AA818" s="1">
        <v>45.0</v>
      </c>
      <c r="AB818" s="1">
        <v>19.0</v>
      </c>
      <c r="AC818" s="1">
        <v>19.0</v>
      </c>
      <c r="AD818" s="1">
        <v>26.0</v>
      </c>
      <c r="AE818" s="1">
        <v>26.0</v>
      </c>
      <c r="AF818" s="1" t="s">
        <v>54</v>
      </c>
      <c r="AG818" s="1">
        <v>27.0</v>
      </c>
      <c r="AH818" s="1">
        <v>15.0</v>
      </c>
      <c r="AI818" s="1">
        <v>15.0</v>
      </c>
      <c r="AJ818" s="1">
        <v>12.0</v>
      </c>
      <c r="AK818" s="1">
        <v>12.0</v>
      </c>
      <c r="AL818" s="1">
        <v>177.0</v>
      </c>
      <c r="AM818" s="1">
        <v>5.0</v>
      </c>
      <c r="AN818" s="1" t="s">
        <v>55</v>
      </c>
      <c r="AO818" s="1" t="s">
        <v>55</v>
      </c>
      <c r="AP818" s="1" t="s">
        <v>2831</v>
      </c>
      <c r="AQ818" s="3" t="str">
        <f>HYPERLINK("https://icf.clappia.com/app/GMB253374/submission/GNZ57999784/ICF247370-GMB253374-5n9epi8el3m200000000/SIG-20250630_1529114ibc.jpeg", "SIG-20250630_1529114ibc.jpeg")</f>
        <v>SIG-20250630_1529114ibc.jpeg</v>
      </c>
      <c r="AR818" s="1" t="s">
        <v>4067</v>
      </c>
      <c r="AS818" s="3" t="str">
        <f>HYPERLINK("https://icf.clappia.com/app/GMB253374/submission/GNZ57999784/ICF247370-GMB253374-587oijc1h5l200000000/SIG-20250630_1529874e4.jpeg", "SIG-20250630_1529874e4.jpeg")</f>
        <v>SIG-20250630_1529874e4.jpeg</v>
      </c>
      <c r="AT818" s="1" t="s">
        <v>4068</v>
      </c>
      <c r="AU818" s="3" t="str">
        <f>HYPERLINK("https://icf.clappia.com/app/GMB253374/submission/GNZ57999784/ICF247370-GMB253374-4cjm83gna4kg00000000/SIG-20250630_1530h61nk.jpeg", "SIG-20250630_1530h61nk.jpeg")</f>
        <v>SIG-20250630_1530h61nk.jpeg</v>
      </c>
      <c r="AV818" s="3" t="str">
        <f>HYPERLINK("https://www.google.com/maps/place/7.9562583%2C-11.7607517", "7.9562583,-11.7607517")</f>
        <v>7.9562583,-11.7607517</v>
      </c>
    </row>
    <row r="819" ht="15.75" customHeight="1">
      <c r="A819" s="1" t="s">
        <v>4069</v>
      </c>
      <c r="B819" s="1" t="s">
        <v>248</v>
      </c>
      <c r="C819" s="1" t="s">
        <v>4070</v>
      </c>
      <c r="D819" s="1" t="s">
        <v>4070</v>
      </c>
      <c r="E819" s="1" t="s">
        <v>4071</v>
      </c>
      <c r="F819" s="1" t="s">
        <v>64</v>
      </c>
      <c r="G819" s="1">
        <v>350.0</v>
      </c>
      <c r="H819" s="1" t="s">
        <v>50</v>
      </c>
      <c r="I819" s="1">
        <v>71.0</v>
      </c>
      <c r="J819" s="1" t="s">
        <v>55</v>
      </c>
      <c r="K819" s="1" t="s">
        <v>55</v>
      </c>
      <c r="L819" s="1">
        <v>71.0</v>
      </c>
      <c r="M819" s="1">
        <v>71.0</v>
      </c>
      <c r="N819" s="1" t="s">
        <v>51</v>
      </c>
      <c r="O819" s="1">
        <v>65.0</v>
      </c>
      <c r="P819" s="1" t="s">
        <v>55</v>
      </c>
      <c r="Q819" s="1" t="s">
        <v>55</v>
      </c>
      <c r="R819" s="1">
        <v>65.0</v>
      </c>
      <c r="S819" s="1">
        <v>65.0</v>
      </c>
      <c r="T819" s="1" t="s">
        <v>52</v>
      </c>
      <c r="U819" s="1">
        <v>68.0</v>
      </c>
      <c r="V819" s="1" t="s">
        <v>55</v>
      </c>
      <c r="W819" s="1" t="s">
        <v>55</v>
      </c>
      <c r="X819" s="1">
        <v>68.0</v>
      </c>
      <c r="Y819" s="1">
        <v>68.0</v>
      </c>
      <c r="Z819" s="1" t="s">
        <v>53</v>
      </c>
      <c r="AA819" s="1" t="s">
        <v>55</v>
      </c>
      <c r="AB819" s="1" t="s">
        <v>55</v>
      </c>
      <c r="AC819" s="1" t="s">
        <v>55</v>
      </c>
      <c r="AD819" s="1" t="s">
        <v>55</v>
      </c>
      <c r="AE819" s="1" t="s">
        <v>55</v>
      </c>
      <c r="AF819" s="1" t="s">
        <v>54</v>
      </c>
      <c r="AG819" s="1" t="s">
        <v>55</v>
      </c>
      <c r="AH819" s="1" t="s">
        <v>55</v>
      </c>
      <c r="AI819" s="1" t="s">
        <v>55</v>
      </c>
      <c r="AJ819" s="1" t="s">
        <v>55</v>
      </c>
      <c r="AK819" s="1" t="s">
        <v>55</v>
      </c>
      <c r="AL819" s="1">
        <v>204.0</v>
      </c>
      <c r="AM819" s="1" t="s">
        <v>55</v>
      </c>
      <c r="AN819" s="1">
        <v>146.0</v>
      </c>
      <c r="AO819" s="1">
        <v>146.0</v>
      </c>
      <c r="AP819" s="1" t="s">
        <v>4072</v>
      </c>
      <c r="AQ819" s="3" t="str">
        <f>HYPERLINK("https://icf.clappia.com/app/GMB253374/submission/KCU17181476/ICF247370-GMB253374-5ial0f3n2ce000000000/SIG-20250630_11121a8dml.jpeg", "SIG-20250630_11121a8dml.jpeg")</f>
        <v>SIG-20250630_11121a8dml.jpeg</v>
      </c>
      <c r="AR819" s="1" t="s">
        <v>4073</v>
      </c>
      <c r="AS819" s="3" t="str">
        <f>HYPERLINK("https://icf.clappia.com/app/GMB253374/submission/KCU17181476/ICF247370-GMB253374-4i25bmcl41b200000000/SIG-20250630_111375nd8.jpeg", "SIG-20250630_111375nd8.jpeg")</f>
        <v>SIG-20250630_111375nd8.jpeg</v>
      </c>
      <c r="AT819" s="1" t="s">
        <v>4074</v>
      </c>
      <c r="AU819" s="3" t="str">
        <f>HYPERLINK("https://icf.clappia.com/app/GMB253374/submission/KCU17181476/ICF247370-GMB253374-55m3m298flim00000000/SIG-20250630_111418d282.jpeg", "SIG-20250630_111418d282.jpeg")</f>
        <v>SIG-20250630_111418d282.jpeg</v>
      </c>
      <c r="AV819" s="3" t="str">
        <f>HYPERLINK("https://www.google.com/maps/place/7.9299644%2C-11.5857406", "7.9299644,-11.5857406")</f>
        <v>7.9299644,-11.5857406</v>
      </c>
    </row>
    <row r="820" ht="15.75" customHeight="1">
      <c r="A820" s="1" t="s">
        <v>4075</v>
      </c>
      <c r="B820" s="1" t="s">
        <v>94</v>
      </c>
      <c r="C820" s="1" t="s">
        <v>4070</v>
      </c>
      <c r="D820" s="1" t="s">
        <v>4070</v>
      </c>
      <c r="E820" s="1" t="s">
        <v>4076</v>
      </c>
      <c r="F820" s="1" t="s">
        <v>64</v>
      </c>
      <c r="G820" s="1">
        <v>198.0</v>
      </c>
      <c r="H820" s="1" t="s">
        <v>50</v>
      </c>
      <c r="I820" s="1">
        <v>63.0</v>
      </c>
      <c r="J820" s="1">
        <v>25.0</v>
      </c>
      <c r="K820" s="1">
        <v>23.0</v>
      </c>
      <c r="L820" s="1">
        <v>38.0</v>
      </c>
      <c r="M820" s="1">
        <v>35.0</v>
      </c>
      <c r="N820" s="1" t="s">
        <v>51</v>
      </c>
      <c r="O820" s="1">
        <v>36.0</v>
      </c>
      <c r="P820" s="1">
        <v>15.0</v>
      </c>
      <c r="Q820" s="1">
        <v>13.0</v>
      </c>
      <c r="R820" s="1">
        <v>21.0</v>
      </c>
      <c r="S820" s="1">
        <v>20.0</v>
      </c>
      <c r="T820" s="1" t="s">
        <v>52</v>
      </c>
      <c r="U820" s="1">
        <v>45.0</v>
      </c>
      <c r="V820" s="1">
        <v>28.0</v>
      </c>
      <c r="W820" s="1">
        <v>28.0</v>
      </c>
      <c r="X820" s="1">
        <v>17.0</v>
      </c>
      <c r="Y820" s="1">
        <v>17.0</v>
      </c>
      <c r="Z820" s="1" t="s">
        <v>53</v>
      </c>
      <c r="AA820" s="1">
        <v>34.0</v>
      </c>
      <c r="AB820" s="1">
        <v>15.0</v>
      </c>
      <c r="AC820" s="1">
        <v>11.0</v>
      </c>
      <c r="AD820" s="1">
        <v>19.0</v>
      </c>
      <c r="AE820" s="1">
        <v>17.0</v>
      </c>
      <c r="AF820" s="1" t="s">
        <v>54</v>
      </c>
      <c r="AG820" s="1">
        <v>43.0</v>
      </c>
      <c r="AH820" s="1">
        <v>21.0</v>
      </c>
      <c r="AI820" s="1">
        <v>13.0</v>
      </c>
      <c r="AJ820" s="1">
        <v>22.0</v>
      </c>
      <c r="AK820" s="1">
        <v>8.0</v>
      </c>
      <c r="AL820" s="1">
        <v>185.0</v>
      </c>
      <c r="AM820" s="1" t="s">
        <v>55</v>
      </c>
      <c r="AN820" s="1">
        <v>13.0</v>
      </c>
      <c r="AO820" s="1">
        <v>13.0</v>
      </c>
      <c r="AP820" s="1" t="s">
        <v>1791</v>
      </c>
      <c r="AQ820" s="3" t="str">
        <f>HYPERLINK("https://icf.clappia.com/app/GMB253374/submission/TDM41196191/ICF247370-GMB253374-1g23g0na7c86k000000/SIG-20250630_120819ffp8.jpeg", "SIG-20250630_120819ffp8.jpeg")</f>
        <v>SIG-20250630_120819ffp8.jpeg</v>
      </c>
      <c r="AR820" s="1" t="s">
        <v>55</v>
      </c>
      <c r="AS820" s="3" t="str">
        <f>HYPERLINK("https://icf.clappia.com/app/GMB253374/submission/TDM41196191/ICF247370-GMB253374-5o3bl6f0fhek00000000/SIG-20250630_152950424.jpeg", "SIG-20250630_152950424.jpeg")</f>
        <v>SIG-20250630_152950424.jpeg</v>
      </c>
      <c r="AT820" s="1" t="s">
        <v>55</v>
      </c>
      <c r="AU820" s="3" t="str">
        <f>HYPERLINK("https://icf.clappia.com/app/GMB253374/submission/TDM41196191/ICF247370-GMB253374-1c34ic2iai6ik0000000/SIG-20250630_1529117g0d.jpeg", "SIG-20250630_1529117g0d.jpeg")</f>
        <v>SIG-20250630_1529117g0d.jpeg</v>
      </c>
      <c r="AV820" s="3" t="str">
        <f>HYPERLINK("https://www.google.com/maps/place/7.6806783%2C-11.9209083", "7.6806783,-11.9209083")</f>
        <v>7.6806783,-11.9209083</v>
      </c>
    </row>
    <row r="821" ht="15.75" customHeight="1">
      <c r="A821" s="1" t="s">
        <v>4077</v>
      </c>
      <c r="B821" s="1" t="s">
        <v>438</v>
      </c>
      <c r="C821" s="1" t="s">
        <v>4078</v>
      </c>
      <c r="D821" s="1" t="s">
        <v>4078</v>
      </c>
      <c r="E821" s="1" t="s">
        <v>4079</v>
      </c>
      <c r="F821" s="1" t="s">
        <v>64</v>
      </c>
      <c r="G821" s="1">
        <v>250.0</v>
      </c>
      <c r="H821" s="1" t="s">
        <v>50</v>
      </c>
      <c r="I821" s="1">
        <v>116.0</v>
      </c>
      <c r="J821" s="1">
        <v>60.0</v>
      </c>
      <c r="K821" s="1">
        <v>60.0</v>
      </c>
      <c r="L821" s="1">
        <v>56.0</v>
      </c>
      <c r="M821" s="1">
        <v>56.0</v>
      </c>
      <c r="N821" s="1" t="s">
        <v>51</v>
      </c>
      <c r="O821" s="1">
        <v>67.0</v>
      </c>
      <c r="P821" s="1">
        <v>36.0</v>
      </c>
      <c r="Q821" s="1">
        <v>36.0</v>
      </c>
      <c r="R821" s="1">
        <v>31.0</v>
      </c>
      <c r="S821" s="1">
        <v>31.0</v>
      </c>
      <c r="T821" s="1" t="s">
        <v>52</v>
      </c>
      <c r="U821" s="1">
        <v>64.0</v>
      </c>
      <c r="V821" s="1">
        <v>38.0</v>
      </c>
      <c r="W821" s="1">
        <v>38.0</v>
      </c>
      <c r="X821" s="1">
        <v>26.0</v>
      </c>
      <c r="Y821" s="1">
        <v>26.0</v>
      </c>
      <c r="Z821" s="1" t="s">
        <v>53</v>
      </c>
      <c r="AA821" s="1">
        <v>50.0</v>
      </c>
      <c r="AB821" s="1">
        <v>22.0</v>
      </c>
      <c r="AC821" s="1" t="s">
        <v>55</v>
      </c>
      <c r="AD821" s="1">
        <v>28.0</v>
      </c>
      <c r="AE821" s="1" t="s">
        <v>55</v>
      </c>
      <c r="AF821" s="1" t="s">
        <v>54</v>
      </c>
      <c r="AG821" s="1">
        <v>28.0</v>
      </c>
      <c r="AH821" s="1">
        <v>23.0</v>
      </c>
      <c r="AI821" s="1" t="s">
        <v>55</v>
      </c>
      <c r="AJ821" s="1" t="s">
        <v>4080</v>
      </c>
      <c r="AK821" s="1" t="s">
        <v>55</v>
      </c>
      <c r="AL821" s="1">
        <v>247.0</v>
      </c>
      <c r="AM821" s="1" t="s">
        <v>55</v>
      </c>
      <c r="AN821" s="1">
        <v>3.0</v>
      </c>
      <c r="AO821" s="1">
        <v>3.0</v>
      </c>
      <c r="AP821" s="1" t="s">
        <v>4081</v>
      </c>
      <c r="AQ821" s="3" t="str">
        <f>HYPERLINK("https://icf.clappia.com/app/GMB253374/submission/GNA16808268/ICF247370-GMB253374-5phakh3h2ji600000000/SIG-20250630_1232ilecb.jpeg", "SIG-20250630_1232ilecb.jpeg")</f>
        <v>SIG-20250630_1232ilecb.jpeg</v>
      </c>
      <c r="AR821" s="1" t="s">
        <v>4082</v>
      </c>
      <c r="AS821" s="3" t="str">
        <f>HYPERLINK("https://icf.clappia.com/app/GMB253374/submission/GNA16808268/ICF247370-GMB253374-1d9ajd1do38mc0000000/SIG-20250630_1234eni63.jpeg", "SIG-20250630_1234eni63.jpeg")</f>
        <v>SIG-20250630_1234eni63.jpeg</v>
      </c>
      <c r="AT821" s="1" t="s">
        <v>4083</v>
      </c>
      <c r="AU821" s="3" t="str">
        <f>HYPERLINK("https://icf.clappia.com/app/GMB253374/submission/GNA16808268/ICF247370-GMB253374-1612ok1419i480000000/SIG-20250630_1235jbjb9.jpeg", "SIG-20250630_1235jbjb9.jpeg")</f>
        <v>SIG-20250630_1235jbjb9.jpeg</v>
      </c>
      <c r="AV821" s="3" t="str">
        <f>HYPERLINK("https://www.google.com/maps/place/7.5541522%2C-11.9239312", "7.5541522,-11.9239312")</f>
        <v>7.5541522,-11.9239312</v>
      </c>
    </row>
    <row r="822" ht="15.75" customHeight="1">
      <c r="A822" s="1" t="s">
        <v>4084</v>
      </c>
      <c r="B822" s="1" t="s">
        <v>438</v>
      </c>
      <c r="C822" s="1" t="s">
        <v>4078</v>
      </c>
      <c r="D822" s="1" t="s">
        <v>4078</v>
      </c>
      <c r="E822" s="1" t="s">
        <v>4085</v>
      </c>
      <c r="F822" s="1" t="s">
        <v>64</v>
      </c>
      <c r="G822" s="1">
        <v>200.0</v>
      </c>
      <c r="H822" s="1" t="s">
        <v>50</v>
      </c>
      <c r="I822" s="1">
        <v>65.0</v>
      </c>
      <c r="J822" s="1">
        <v>31.0</v>
      </c>
      <c r="K822" s="1">
        <v>31.0</v>
      </c>
      <c r="L822" s="1">
        <v>34.0</v>
      </c>
      <c r="M822" s="1">
        <v>34.0</v>
      </c>
      <c r="N822" s="1" t="s">
        <v>51</v>
      </c>
      <c r="O822" s="1">
        <v>54.0</v>
      </c>
      <c r="P822" s="1">
        <v>29.0</v>
      </c>
      <c r="Q822" s="1">
        <v>29.0</v>
      </c>
      <c r="R822" s="1">
        <v>25.0</v>
      </c>
      <c r="S822" s="1">
        <v>25.0</v>
      </c>
      <c r="T822" s="1" t="s">
        <v>52</v>
      </c>
      <c r="U822" s="1">
        <v>62.0</v>
      </c>
      <c r="V822" s="1">
        <v>30.0</v>
      </c>
      <c r="W822" s="1">
        <v>30.0</v>
      </c>
      <c r="X822" s="1">
        <v>32.0</v>
      </c>
      <c r="Y822" s="1">
        <v>32.0</v>
      </c>
      <c r="Z822" s="1" t="s">
        <v>53</v>
      </c>
      <c r="AA822" s="1" t="s">
        <v>55</v>
      </c>
      <c r="AB822" s="1" t="s">
        <v>55</v>
      </c>
      <c r="AC822" s="1" t="s">
        <v>55</v>
      </c>
      <c r="AD822" s="1" t="s">
        <v>55</v>
      </c>
      <c r="AE822" s="1" t="s">
        <v>55</v>
      </c>
      <c r="AF822" s="1" t="s">
        <v>54</v>
      </c>
      <c r="AG822" s="1" t="s">
        <v>55</v>
      </c>
      <c r="AH822" s="1" t="s">
        <v>55</v>
      </c>
      <c r="AI822" s="1" t="s">
        <v>55</v>
      </c>
      <c r="AJ822" s="1" t="s">
        <v>55</v>
      </c>
      <c r="AK822" s="1" t="s">
        <v>55</v>
      </c>
      <c r="AL822" s="1">
        <v>181.0</v>
      </c>
      <c r="AM822" s="1" t="s">
        <v>55</v>
      </c>
      <c r="AN822" s="1">
        <v>19.0</v>
      </c>
      <c r="AO822" s="1">
        <v>19.0</v>
      </c>
      <c r="AP822" s="1" t="s">
        <v>4086</v>
      </c>
      <c r="AQ822" s="3" t="str">
        <f>HYPERLINK("https://icf.clappia.com/app/GMB253374/submission/VQJ46134725/ICF247370-GMB253374-5hl6anl1inm000000000/SIG-20250630_11535o9k4.jpeg", "SIG-20250630_11535o9k4.jpeg")</f>
        <v>SIG-20250630_11535o9k4.jpeg</v>
      </c>
      <c r="AR822" s="1" t="s">
        <v>4087</v>
      </c>
      <c r="AS822" s="3" t="str">
        <f>HYPERLINK("https://icf.clappia.com/app/GMB253374/submission/VQJ46134725/ICF247370-GMB253374-58op09ko5g8600000000/SIG-20250630_115318d1l2.jpeg", "SIG-20250630_115318d1l2.jpeg")</f>
        <v>SIG-20250630_115318d1l2.jpeg</v>
      </c>
      <c r="AT822" s="1" t="s">
        <v>4088</v>
      </c>
      <c r="AU822" s="3" t="str">
        <f>HYPERLINK("https://icf.clappia.com/app/GMB253374/submission/VQJ46134725/ICF247370-GMB253374-5bigh67nc66g00000000/SIG-20250630_1155c2g23.jpeg", "SIG-20250630_1155c2g23.jpeg")</f>
        <v>SIG-20250630_1155c2g23.jpeg</v>
      </c>
      <c r="AV822" s="3" t="str">
        <f>HYPERLINK("https://www.google.com/maps/place/7.6431183%2C-11.792485", "7.6431183,-11.792485")</f>
        <v>7.6431183,-11.792485</v>
      </c>
    </row>
    <row r="823" ht="15.75" customHeight="1">
      <c r="A823" s="1" t="s">
        <v>4089</v>
      </c>
      <c r="B823" s="1" t="s">
        <v>1521</v>
      </c>
      <c r="C823" s="1" t="s">
        <v>4078</v>
      </c>
      <c r="D823" s="1" t="s">
        <v>4078</v>
      </c>
      <c r="E823" s="1" t="s">
        <v>4090</v>
      </c>
      <c r="F823" s="1" t="s">
        <v>64</v>
      </c>
      <c r="G823" s="1">
        <v>300.0</v>
      </c>
      <c r="H823" s="1" t="s">
        <v>50</v>
      </c>
      <c r="I823" s="1">
        <v>73.0</v>
      </c>
      <c r="J823" s="1">
        <v>33.0</v>
      </c>
      <c r="K823" s="1">
        <v>31.0</v>
      </c>
      <c r="L823" s="1">
        <v>40.0</v>
      </c>
      <c r="M823" s="1">
        <v>38.0</v>
      </c>
      <c r="N823" s="1" t="s">
        <v>51</v>
      </c>
      <c r="O823" s="1">
        <v>56.0</v>
      </c>
      <c r="P823" s="1">
        <v>26.0</v>
      </c>
      <c r="Q823" s="1">
        <v>24.0</v>
      </c>
      <c r="R823" s="1">
        <v>30.0</v>
      </c>
      <c r="S823" s="1">
        <v>27.0</v>
      </c>
      <c r="T823" s="1" t="s">
        <v>52</v>
      </c>
      <c r="U823" s="1">
        <v>50.0</v>
      </c>
      <c r="V823" s="1">
        <v>19.0</v>
      </c>
      <c r="W823" s="1">
        <v>17.0</v>
      </c>
      <c r="X823" s="1">
        <v>31.0</v>
      </c>
      <c r="Y823" s="1">
        <v>29.0</v>
      </c>
      <c r="Z823" s="1" t="s">
        <v>53</v>
      </c>
      <c r="AA823" s="1">
        <v>29.0</v>
      </c>
      <c r="AB823" s="1">
        <v>21.0</v>
      </c>
      <c r="AC823" s="1">
        <v>18.0</v>
      </c>
      <c r="AD823" s="1">
        <v>8.0</v>
      </c>
      <c r="AE823" s="1">
        <v>8.0</v>
      </c>
      <c r="AF823" s="1" t="s">
        <v>54</v>
      </c>
      <c r="AG823" s="1">
        <v>25.0</v>
      </c>
      <c r="AH823" s="1">
        <v>14.0</v>
      </c>
      <c r="AI823" s="1">
        <v>14.0</v>
      </c>
      <c r="AJ823" s="1">
        <v>11.0</v>
      </c>
      <c r="AK823" s="1">
        <v>11.0</v>
      </c>
      <c r="AL823" s="1">
        <v>217.0</v>
      </c>
      <c r="AM823" s="1" t="s">
        <v>55</v>
      </c>
      <c r="AN823" s="1">
        <v>83.0</v>
      </c>
      <c r="AO823" s="1">
        <v>83.0</v>
      </c>
      <c r="AP823" s="1" t="s">
        <v>4091</v>
      </c>
      <c r="AQ823" s="3" t="str">
        <f>HYPERLINK("https://icf.clappia.com/app/GMB253374/submission/PSV31572533/ICF247370-GMB253374-4nheocnfn00800000000/SIG-20250630_1521hdnm4.jpeg", "SIG-20250630_1521hdnm4.jpeg")</f>
        <v>SIG-20250630_1521hdnm4.jpeg</v>
      </c>
      <c r="AR823" s="1" t="s">
        <v>4092</v>
      </c>
      <c r="AS823" s="3" t="str">
        <f>HYPERLINK("https://icf.clappia.com/app/GMB253374/submission/PSV31572533/ICF247370-GMB253374-1j2eha6771mo00000000/SIG-20250630_1522on8e3.jpeg", "SIG-20250630_1522on8e3.jpeg")</f>
        <v>SIG-20250630_1522on8e3.jpeg</v>
      </c>
      <c r="AT823" s="1" t="s">
        <v>1526</v>
      </c>
      <c r="AU823" s="3" t="str">
        <f>HYPERLINK("https://icf.clappia.com/app/GMB253374/submission/PSV31572533/ICF247370-GMB253374-1f07o9d13d86c0000000/SIG-20250630_1523a606g.jpeg", "SIG-20250630_1523a606g.jpeg")</f>
        <v>SIG-20250630_1523a606g.jpeg</v>
      </c>
      <c r="AV823" s="3" t="str">
        <f>HYPERLINK("https://www.google.com/maps/place/8.0708742%2C-11.8202222", "8.0708742,-11.8202222")</f>
        <v>8.0708742,-11.8202222</v>
      </c>
    </row>
    <row r="824" ht="15.75" customHeight="1">
      <c r="A824" s="1" t="s">
        <v>4093</v>
      </c>
      <c r="B824" s="1" t="s">
        <v>778</v>
      </c>
      <c r="C824" s="1" t="s">
        <v>4094</v>
      </c>
      <c r="D824" s="1" t="s">
        <v>4094</v>
      </c>
      <c r="E824" s="1" t="s">
        <v>4095</v>
      </c>
      <c r="F824" s="1" t="s">
        <v>64</v>
      </c>
      <c r="G824" s="1">
        <v>150.0</v>
      </c>
      <c r="H824" s="1" t="s">
        <v>50</v>
      </c>
      <c r="I824" s="1">
        <v>45.0</v>
      </c>
      <c r="J824" s="1">
        <v>25.0</v>
      </c>
      <c r="K824" s="1">
        <v>18.0</v>
      </c>
      <c r="L824" s="1">
        <v>20.0</v>
      </c>
      <c r="M824" s="1">
        <v>17.0</v>
      </c>
      <c r="N824" s="1" t="s">
        <v>51</v>
      </c>
      <c r="O824" s="1">
        <v>34.0</v>
      </c>
      <c r="P824" s="1">
        <v>18.0</v>
      </c>
      <c r="Q824" s="1">
        <v>14.0</v>
      </c>
      <c r="R824" s="1">
        <v>16.0</v>
      </c>
      <c r="S824" s="1">
        <v>11.0</v>
      </c>
      <c r="T824" s="1" t="s">
        <v>52</v>
      </c>
      <c r="U824" s="1">
        <v>29.0</v>
      </c>
      <c r="V824" s="1">
        <v>15.0</v>
      </c>
      <c r="W824" s="1">
        <v>12.0</v>
      </c>
      <c r="X824" s="1">
        <v>14.0</v>
      </c>
      <c r="Y824" s="1">
        <v>13.0</v>
      </c>
      <c r="Z824" s="1" t="s">
        <v>53</v>
      </c>
      <c r="AA824" s="1">
        <v>21.0</v>
      </c>
      <c r="AB824" s="1">
        <v>10.0</v>
      </c>
      <c r="AC824" s="1">
        <v>9.0</v>
      </c>
      <c r="AD824" s="1">
        <v>11.0</v>
      </c>
      <c r="AE824" s="1">
        <v>9.0</v>
      </c>
      <c r="AF824" s="1" t="s">
        <v>54</v>
      </c>
      <c r="AG824" s="1">
        <v>19.0</v>
      </c>
      <c r="AH824" s="1">
        <v>9.0</v>
      </c>
      <c r="AI824" s="1">
        <v>7.0</v>
      </c>
      <c r="AJ824" s="1">
        <v>10.0</v>
      </c>
      <c r="AK824" s="1">
        <v>6.0</v>
      </c>
      <c r="AL824" s="1">
        <v>116.0</v>
      </c>
      <c r="AM824" s="1" t="s">
        <v>55</v>
      </c>
      <c r="AN824" s="1">
        <v>34.0</v>
      </c>
      <c r="AO824" s="1">
        <v>34.0</v>
      </c>
      <c r="AP824" s="1" t="s">
        <v>1764</v>
      </c>
      <c r="AQ824" s="3" t="str">
        <f>HYPERLINK("https://icf.clappia.com/app/GMB253374/submission/PKA26662408/ICF247370-GMB253374-g86np2n59loc0000000/SIG-20250630_1453lp4h5.jpeg", "SIG-20250630_1453lp4h5.jpeg")</f>
        <v>SIG-20250630_1453lp4h5.jpeg</v>
      </c>
      <c r="AR824" s="1" t="s">
        <v>1765</v>
      </c>
      <c r="AS824" s="3" t="str">
        <f>HYPERLINK("https://icf.clappia.com/app/GMB253374/submission/PKA26662408/ICF247370-GMB253374-58ipnfodd91e00000000/SIG-20250630_145413ghbn.jpeg", "SIG-20250630_145413ghbn.jpeg")</f>
        <v>SIG-20250630_145413ghbn.jpeg</v>
      </c>
      <c r="AT824" s="1" t="s">
        <v>4096</v>
      </c>
      <c r="AU824" s="3" t="str">
        <f>HYPERLINK("https://icf.clappia.com/app/GMB253374/submission/PKA26662408/ICF247370-GMB253374-l15dj6e97feg0000000/SIG-20250630_145519ebg2.jpeg", "SIG-20250630_145519ebg2.jpeg")</f>
        <v>SIG-20250630_145519ebg2.jpeg</v>
      </c>
      <c r="AV824" s="3" t="str">
        <f>HYPERLINK("https://www.google.com/maps/place/7.8171827%2C-11.6273322", "7.8171827,-11.6273322")</f>
        <v>7.8171827,-11.6273322</v>
      </c>
    </row>
    <row r="825" ht="15.75" customHeight="1">
      <c r="A825" s="1" t="s">
        <v>4097</v>
      </c>
      <c r="B825" s="1" t="s">
        <v>167</v>
      </c>
      <c r="C825" s="1" t="s">
        <v>3864</v>
      </c>
      <c r="D825" s="1" t="s">
        <v>3864</v>
      </c>
      <c r="E825" s="1" t="s">
        <v>4098</v>
      </c>
      <c r="F825" s="1" t="s">
        <v>64</v>
      </c>
      <c r="G825" s="1">
        <v>150.0</v>
      </c>
      <c r="H825" s="1" t="s">
        <v>50</v>
      </c>
      <c r="I825" s="1">
        <v>52.0</v>
      </c>
      <c r="J825" s="1">
        <v>25.0</v>
      </c>
      <c r="K825" s="1">
        <v>25.0</v>
      </c>
      <c r="L825" s="1">
        <v>27.0</v>
      </c>
      <c r="M825" s="1">
        <v>27.0</v>
      </c>
      <c r="N825" s="1" t="s">
        <v>51</v>
      </c>
      <c r="O825" s="1">
        <v>24.0</v>
      </c>
      <c r="P825" s="1">
        <v>11.0</v>
      </c>
      <c r="Q825" s="1">
        <v>11.0</v>
      </c>
      <c r="R825" s="1">
        <v>13.0</v>
      </c>
      <c r="S825" s="1">
        <v>13.0</v>
      </c>
      <c r="T825" s="1" t="s">
        <v>52</v>
      </c>
      <c r="U825" s="1">
        <v>26.0</v>
      </c>
      <c r="V825" s="1">
        <v>12.0</v>
      </c>
      <c r="W825" s="1">
        <v>12.0</v>
      </c>
      <c r="X825" s="1">
        <v>14.0</v>
      </c>
      <c r="Y825" s="1">
        <v>14.0</v>
      </c>
      <c r="Z825" s="1" t="s">
        <v>53</v>
      </c>
      <c r="AA825" s="1">
        <v>24.0</v>
      </c>
      <c r="AB825" s="1">
        <v>14.0</v>
      </c>
      <c r="AC825" s="1">
        <v>14.0</v>
      </c>
      <c r="AD825" s="1">
        <v>10.0</v>
      </c>
      <c r="AE825" s="1">
        <v>10.0</v>
      </c>
      <c r="AF825" s="1" t="s">
        <v>54</v>
      </c>
      <c r="AG825" s="1">
        <v>15.0</v>
      </c>
      <c r="AH825" s="1">
        <v>10.0</v>
      </c>
      <c r="AI825" s="1">
        <v>10.0</v>
      </c>
      <c r="AJ825" s="1">
        <v>5.0</v>
      </c>
      <c r="AK825" s="1">
        <v>5.0</v>
      </c>
      <c r="AL825" s="1">
        <v>141.0</v>
      </c>
      <c r="AM825" s="1" t="s">
        <v>55</v>
      </c>
      <c r="AN825" s="1">
        <v>9.0</v>
      </c>
      <c r="AO825" s="1">
        <v>-141.0</v>
      </c>
      <c r="AP825" s="1" t="s">
        <v>1428</v>
      </c>
      <c r="AQ825" s="3" t="str">
        <f>HYPERLINK("https://icf.clappia.com/app/GMB253374/submission/JEI94758272/ICF247370-GMB253374-5a5mlbk7hioi0000000/SIG-20250630_15131adgmg.jpeg", "SIG-20250630_15131adgmg.jpeg")</f>
        <v>SIG-20250630_15131adgmg.jpeg</v>
      </c>
      <c r="AR825" s="1" t="s">
        <v>3066</v>
      </c>
      <c r="AS825" s="3" t="str">
        <f>HYPERLINK("https://icf.clappia.com/app/GMB253374/submission/JEI94758272/ICF247370-GMB253374-3neaade34lf400000000/SIG-20250630_1513f2e36.jpeg", "SIG-20250630_1513f2e36.jpeg")</f>
        <v>SIG-20250630_1513f2e36.jpeg</v>
      </c>
      <c r="AT825" s="1" t="s">
        <v>3067</v>
      </c>
      <c r="AU825" s="3" t="str">
        <f>HYPERLINK("https://icf.clappia.com/app/GMB253374/submission/JEI94758272/ICF247370-GMB253374-4nf9ggk6gok200000000/SIG-20250630_1514ik6je.jpeg", "SIG-20250630_1514ik6je.jpeg")</f>
        <v>SIG-20250630_1514ik6je.jpeg</v>
      </c>
      <c r="AV825" s="3" t="str">
        <f>HYPERLINK("https://www.google.com/maps/place/7.7802467%2C-11.7243233", "7.7802467,-11.7243233")</f>
        <v>7.7802467,-11.7243233</v>
      </c>
    </row>
    <row r="826" ht="15.75" customHeight="1">
      <c r="A826" s="1" t="s">
        <v>4099</v>
      </c>
      <c r="B826" s="1" t="s">
        <v>69</v>
      </c>
      <c r="C826" s="1" t="s">
        <v>4100</v>
      </c>
      <c r="D826" s="1" t="s">
        <v>4100</v>
      </c>
      <c r="E826" s="1" t="s">
        <v>4101</v>
      </c>
      <c r="F826" s="1" t="s">
        <v>64</v>
      </c>
      <c r="G826" s="1">
        <v>300.0</v>
      </c>
      <c r="H826" s="1" t="s">
        <v>50</v>
      </c>
      <c r="I826" s="1">
        <v>77.0</v>
      </c>
      <c r="J826" s="1">
        <v>37.0</v>
      </c>
      <c r="K826" s="1">
        <v>34.0</v>
      </c>
      <c r="L826" s="1">
        <v>39.0</v>
      </c>
      <c r="M826" s="1">
        <v>36.0</v>
      </c>
      <c r="N826" s="1" t="s">
        <v>51</v>
      </c>
      <c r="O826" s="1">
        <v>56.0</v>
      </c>
      <c r="P826" s="1">
        <v>25.0</v>
      </c>
      <c r="Q826" s="1">
        <v>24.0</v>
      </c>
      <c r="R826" s="1">
        <v>31.0</v>
      </c>
      <c r="S826" s="1">
        <v>30.0</v>
      </c>
      <c r="T826" s="1" t="s">
        <v>52</v>
      </c>
      <c r="U826" s="1">
        <v>62.0</v>
      </c>
      <c r="V826" s="1">
        <v>30.0</v>
      </c>
      <c r="W826" s="1">
        <v>26.0</v>
      </c>
      <c r="X826" s="1">
        <v>32.0</v>
      </c>
      <c r="Y826" s="1">
        <v>30.0</v>
      </c>
      <c r="Z826" s="1" t="s">
        <v>53</v>
      </c>
      <c r="AA826" s="1">
        <v>61.0</v>
      </c>
      <c r="AB826" s="1">
        <v>30.0</v>
      </c>
      <c r="AC826" s="1">
        <v>28.0</v>
      </c>
      <c r="AD826" s="1">
        <v>30.0</v>
      </c>
      <c r="AE826" s="1">
        <v>30.0</v>
      </c>
      <c r="AF826" s="1" t="s">
        <v>54</v>
      </c>
      <c r="AG826" s="1">
        <v>54.0</v>
      </c>
      <c r="AH826" s="1">
        <v>25.0</v>
      </c>
      <c r="AI826" s="1">
        <v>24.0</v>
      </c>
      <c r="AJ826" s="1">
        <v>28.0</v>
      </c>
      <c r="AK826" s="1">
        <v>28.0</v>
      </c>
      <c r="AL826" s="1">
        <v>290.0</v>
      </c>
      <c r="AM826" s="1">
        <v>10.0</v>
      </c>
      <c r="AN826" s="1" t="s">
        <v>55</v>
      </c>
      <c r="AO826" s="1" t="s">
        <v>55</v>
      </c>
      <c r="AP826" s="1" t="s">
        <v>4102</v>
      </c>
      <c r="AQ826" s="3" t="str">
        <f>HYPERLINK("https://icf.clappia.com/app/GMB253374/submission/BEX11182175/ICF247370-GMB253374-56i5c095n72i00000000/SIG-20250630_150919if00.jpeg", "SIG-20250630_150919if00.jpeg")</f>
        <v>SIG-20250630_150919if00.jpeg</v>
      </c>
      <c r="AR826" s="1" t="s">
        <v>4103</v>
      </c>
      <c r="AS826" s="3" t="str">
        <f>HYPERLINK("https://icf.clappia.com/app/GMB253374/submission/BEX11182175/ICF247370-GMB253374-lp2dpen7825m000000/SIG-20250630_1511nijp3.jpeg", "SIG-20250630_1511nijp3.jpeg")</f>
        <v>SIG-20250630_1511nijp3.jpeg</v>
      </c>
      <c r="AT826" s="1" t="s">
        <v>4104</v>
      </c>
      <c r="AU826" s="3" t="str">
        <f>HYPERLINK("https://icf.clappia.com/app/GMB253374/submission/BEX11182175/ICF247370-GMB253374-f2ngj376gg140000000/SIG-20250630_1512cngep.jpeg", "SIG-20250630_1512cngep.jpeg")</f>
        <v>SIG-20250630_1512cngep.jpeg</v>
      </c>
      <c r="AV826" s="3" t="str">
        <f>HYPERLINK("https://www.google.com/maps/place/8.8655048%2C-12.1263025", "8.8655048,-12.1263025")</f>
        <v>8.8655048,-12.1263025</v>
      </c>
    </row>
    <row r="827" ht="15.75" customHeight="1">
      <c r="A827" s="1" t="s">
        <v>4105</v>
      </c>
      <c r="B827" s="1" t="s">
        <v>161</v>
      </c>
      <c r="C827" s="1" t="s">
        <v>4106</v>
      </c>
      <c r="D827" s="1" t="s">
        <v>4106</v>
      </c>
      <c r="E827" s="1" t="s">
        <v>4107</v>
      </c>
      <c r="F827" s="1" t="s">
        <v>64</v>
      </c>
      <c r="G827" s="1">
        <v>250.0</v>
      </c>
      <c r="H827" s="1" t="s">
        <v>50</v>
      </c>
      <c r="I827" s="1">
        <v>55.0</v>
      </c>
      <c r="J827" s="1">
        <v>25.0</v>
      </c>
      <c r="K827" s="1">
        <v>25.0</v>
      </c>
      <c r="L827" s="1">
        <v>30.0</v>
      </c>
      <c r="M827" s="1">
        <v>20.0</v>
      </c>
      <c r="N827" s="1" t="s">
        <v>51</v>
      </c>
      <c r="O827" s="1">
        <v>52.0</v>
      </c>
      <c r="P827" s="1">
        <v>15.0</v>
      </c>
      <c r="Q827" s="1">
        <v>15.0</v>
      </c>
      <c r="R827" s="1">
        <v>37.0</v>
      </c>
      <c r="S827" s="1">
        <v>25.0</v>
      </c>
      <c r="T827" s="1" t="s">
        <v>52</v>
      </c>
      <c r="U827" s="1">
        <v>49.0</v>
      </c>
      <c r="V827" s="1">
        <v>22.0</v>
      </c>
      <c r="W827" s="1">
        <v>14.0</v>
      </c>
      <c r="X827" s="1">
        <v>27.0</v>
      </c>
      <c r="Y827" s="1">
        <v>19.0</v>
      </c>
      <c r="Z827" s="1" t="s">
        <v>53</v>
      </c>
      <c r="AA827" s="1">
        <v>48.0</v>
      </c>
      <c r="AB827" s="1">
        <v>20.0</v>
      </c>
      <c r="AC827" s="1">
        <v>13.0</v>
      </c>
      <c r="AD827" s="1">
        <v>28.0</v>
      </c>
      <c r="AE827" s="1">
        <v>10.0</v>
      </c>
      <c r="AF827" s="1" t="s">
        <v>54</v>
      </c>
      <c r="AG827" s="1">
        <v>46.0</v>
      </c>
      <c r="AH827" s="1">
        <v>20.0</v>
      </c>
      <c r="AI827" s="1">
        <v>9.0</v>
      </c>
      <c r="AJ827" s="1">
        <v>26.0</v>
      </c>
      <c r="AK827" s="1">
        <v>10.0</v>
      </c>
      <c r="AL827" s="1">
        <v>160.0</v>
      </c>
      <c r="AM827" s="1">
        <v>10.0</v>
      </c>
      <c r="AN827" s="1">
        <v>80.0</v>
      </c>
      <c r="AO827" s="1">
        <v>80.0</v>
      </c>
      <c r="AP827" s="1" t="s">
        <v>3245</v>
      </c>
      <c r="AQ827" s="3" t="str">
        <f>HYPERLINK("https://icf.clappia.com/app/GMB253374/submission/NWP49758471/ICF247370-GMB253374-ehc0g5pj92b20000000/SIG-20250630_15119kif1.jpeg", "SIG-20250630_15119kif1.jpeg")</f>
        <v>SIG-20250630_15119kif1.jpeg</v>
      </c>
      <c r="AR827" s="1" t="s">
        <v>1065</v>
      </c>
      <c r="AS827" s="3" t="str">
        <f>HYPERLINK("https://icf.clappia.com/app/GMB253374/submission/NWP49758471/ICF247370-GMB253374-28b2dfl4dc4160000000/SIG-20250630_15114lim0.jpeg", "SIG-20250630_15114lim0.jpeg")</f>
        <v>SIG-20250630_15114lim0.jpeg</v>
      </c>
      <c r="AT827" s="1" t="s">
        <v>1064</v>
      </c>
      <c r="AU827" s="3" t="str">
        <f>HYPERLINK("https://icf.clappia.com/app/GMB253374/submission/NWP49758471/ICF247370-GMB253374-4h094573of7800000000/SIG-20250630_151217gi7b.jpeg", "SIG-20250630_151217gi7b.jpeg")</f>
        <v>SIG-20250630_151217gi7b.jpeg</v>
      </c>
      <c r="AV827" s="3" t="str">
        <f>HYPERLINK("https://www.google.com/maps/place/7.9418674%2C-11.6856597", "7.9418674,-11.6856597")</f>
        <v>7.9418674,-11.6856597</v>
      </c>
    </row>
    <row r="828" ht="15.75" customHeight="1">
      <c r="A828" s="1" t="s">
        <v>4108</v>
      </c>
      <c r="B828" s="1" t="s">
        <v>580</v>
      </c>
      <c r="C828" s="1" t="s">
        <v>4109</v>
      </c>
      <c r="D828" s="1" t="s">
        <v>4109</v>
      </c>
      <c r="E828" s="1" t="s">
        <v>4110</v>
      </c>
      <c r="F828" s="1" t="s">
        <v>64</v>
      </c>
      <c r="G828" s="1">
        <v>151.0</v>
      </c>
      <c r="H828" s="1" t="s">
        <v>50</v>
      </c>
      <c r="I828" s="1">
        <v>62.0</v>
      </c>
      <c r="J828" s="1">
        <v>30.0</v>
      </c>
      <c r="K828" s="1">
        <v>30.0</v>
      </c>
      <c r="L828" s="1">
        <v>32.0</v>
      </c>
      <c r="M828" s="1">
        <v>32.0</v>
      </c>
      <c r="N828" s="1" t="s">
        <v>51</v>
      </c>
      <c r="O828" s="1">
        <v>22.0</v>
      </c>
      <c r="P828" s="1">
        <v>11.0</v>
      </c>
      <c r="Q828" s="1">
        <v>11.0</v>
      </c>
      <c r="R828" s="1">
        <v>11.0</v>
      </c>
      <c r="S828" s="1">
        <v>11.0</v>
      </c>
      <c r="T828" s="1" t="s">
        <v>52</v>
      </c>
      <c r="U828" s="1">
        <v>23.0</v>
      </c>
      <c r="V828" s="1">
        <v>12.0</v>
      </c>
      <c r="W828" s="1">
        <v>12.0</v>
      </c>
      <c r="X828" s="1">
        <v>11.0</v>
      </c>
      <c r="Y828" s="1">
        <v>11.0</v>
      </c>
      <c r="Z828" s="1" t="s">
        <v>53</v>
      </c>
      <c r="AA828" s="1">
        <v>21.0</v>
      </c>
      <c r="AB828" s="1">
        <v>11.0</v>
      </c>
      <c r="AC828" s="1">
        <v>11.0</v>
      </c>
      <c r="AD828" s="1">
        <v>10.0</v>
      </c>
      <c r="AE828" s="1">
        <v>10.0</v>
      </c>
      <c r="AF828" s="1" t="s">
        <v>54</v>
      </c>
      <c r="AG828" s="1">
        <v>23.0</v>
      </c>
      <c r="AH828" s="1">
        <v>10.0</v>
      </c>
      <c r="AI828" s="1">
        <v>10.0</v>
      </c>
      <c r="AJ828" s="1">
        <v>13.0</v>
      </c>
      <c r="AK828" s="1">
        <v>13.0</v>
      </c>
      <c r="AL828" s="1">
        <v>151.0</v>
      </c>
      <c r="AM828" s="1" t="s">
        <v>55</v>
      </c>
      <c r="AN828" s="1" t="s">
        <v>55</v>
      </c>
      <c r="AO828" s="1" t="s">
        <v>55</v>
      </c>
      <c r="AP828" s="1" t="s">
        <v>3334</v>
      </c>
      <c r="AQ828" s="3" t="str">
        <f>HYPERLINK("https://icf.clappia.com/app/GMB253374/submission/BHK22612557/ICF247370-GMB253374-3ecaf8okpi8i00000000/SIG-20250630_1506136f8i.jpeg", "SIG-20250630_1506136f8i.jpeg")</f>
        <v>SIG-20250630_1506136f8i.jpeg</v>
      </c>
      <c r="AR828" s="1" t="s">
        <v>4111</v>
      </c>
      <c r="AS828" s="3" t="str">
        <f>HYPERLINK("https://icf.clappia.com/app/GMB253374/submission/BHK22612557/ICF247370-GMB253374-6224ec3hdh9m00000000/SIG-20250630_15081825ko.jpeg", "SIG-20250630_15081825ko.jpeg")</f>
        <v>SIG-20250630_15081825ko.jpeg</v>
      </c>
      <c r="AT828" s="1" t="s">
        <v>4112</v>
      </c>
      <c r="AU828" s="3" t="str">
        <f>HYPERLINK("https://icf.clappia.com/app/GMB253374/submission/BHK22612557/ICF247370-GMB253374-45850e68j2pe00000000/SIG-20250630_151029f98.jpeg", "SIG-20250630_151029f98.jpeg")</f>
        <v>SIG-20250630_151029f98.jpeg</v>
      </c>
      <c r="AV828" s="3" t="str">
        <f>HYPERLINK("https://www.google.com/maps/place/8.0476499%2C-11.5793433", "8.0476499,-11.5793433")</f>
        <v>8.0476499,-11.5793433</v>
      </c>
    </row>
    <row r="829" ht="15.75" customHeight="1">
      <c r="A829" s="1" t="s">
        <v>4113</v>
      </c>
      <c r="B829" s="1" t="s">
        <v>2054</v>
      </c>
      <c r="C829" s="1" t="s">
        <v>4114</v>
      </c>
      <c r="D829" s="1" t="s">
        <v>4114</v>
      </c>
      <c r="E829" s="1" t="s">
        <v>4115</v>
      </c>
      <c r="F829" s="1" t="s">
        <v>64</v>
      </c>
      <c r="G829" s="1">
        <v>100.0</v>
      </c>
      <c r="H829" s="1" t="s">
        <v>50</v>
      </c>
      <c r="I829" s="1">
        <v>66.0</v>
      </c>
      <c r="J829" s="1">
        <v>30.0</v>
      </c>
      <c r="K829" s="1">
        <v>20.0</v>
      </c>
      <c r="L829" s="1">
        <v>36.0</v>
      </c>
      <c r="M829" s="1">
        <v>15.0</v>
      </c>
      <c r="N829" s="1" t="s">
        <v>51</v>
      </c>
      <c r="O829" s="1">
        <v>31.0</v>
      </c>
      <c r="P829" s="1">
        <v>15.0</v>
      </c>
      <c r="Q829" s="1">
        <v>8.0</v>
      </c>
      <c r="R829" s="1">
        <v>16.0</v>
      </c>
      <c r="S829" s="1">
        <v>9.0</v>
      </c>
      <c r="T829" s="1" t="s">
        <v>52</v>
      </c>
      <c r="U829" s="1">
        <v>32.0</v>
      </c>
      <c r="V829" s="1">
        <v>14.0</v>
      </c>
      <c r="W829" s="1">
        <v>10.0</v>
      </c>
      <c r="X829" s="1">
        <v>18.0</v>
      </c>
      <c r="Y829" s="1">
        <v>13.0</v>
      </c>
      <c r="Z829" s="1" t="s">
        <v>53</v>
      </c>
      <c r="AA829" s="1">
        <v>18.0</v>
      </c>
      <c r="AB829" s="1">
        <v>8.0</v>
      </c>
      <c r="AC829" s="1">
        <v>5.0</v>
      </c>
      <c r="AD829" s="1">
        <v>10.0</v>
      </c>
      <c r="AE829" s="1">
        <v>7.0</v>
      </c>
      <c r="AF829" s="1" t="s">
        <v>54</v>
      </c>
      <c r="AG829" s="1">
        <v>21.0</v>
      </c>
      <c r="AH829" s="1">
        <v>7.0</v>
      </c>
      <c r="AI829" s="1">
        <v>7.0</v>
      </c>
      <c r="AJ829" s="1">
        <v>14.0</v>
      </c>
      <c r="AK829" s="1">
        <v>2.0</v>
      </c>
      <c r="AL829" s="1">
        <v>96.0</v>
      </c>
      <c r="AM829" s="1">
        <v>4.0</v>
      </c>
      <c r="AN829" s="1" t="s">
        <v>55</v>
      </c>
      <c r="AO829" s="1" t="s">
        <v>55</v>
      </c>
      <c r="AP829" s="1" t="s">
        <v>4116</v>
      </c>
      <c r="AQ829" s="3" t="str">
        <f>HYPERLINK("https://icf.clappia.com/app/GMB253374/submission/DHZ53855789/ICF247370-GMB253374-1n3im0lea1gc00000000/SIG-20250630_13401mmab.jpeg", "SIG-20250630_13401mmab.jpeg")</f>
        <v>SIG-20250630_13401mmab.jpeg</v>
      </c>
      <c r="AR829" s="1" t="s">
        <v>4117</v>
      </c>
      <c r="AS829" s="3" t="str">
        <f>HYPERLINK("https://icf.clappia.com/app/GMB253374/submission/DHZ53855789/ICF247370-GMB253374-5pk73lkj2fpm00000000/SIG-20250630_1341ei3b0.jpeg", "SIG-20250630_1341ei3b0.jpeg")</f>
        <v>SIG-20250630_1341ei3b0.jpeg</v>
      </c>
      <c r="AT829" s="1" t="s">
        <v>4118</v>
      </c>
      <c r="AU829" s="3" t="str">
        <f>HYPERLINK("https://icf.clappia.com/app/GMB253374/submission/DHZ53855789/ICF247370-GMB253374-281aoa9ekje480000000/SIG-20250630_1342ph89d.jpeg", "SIG-20250630_1342ph89d.jpeg")</f>
        <v>SIG-20250630_1342ph89d.jpeg</v>
      </c>
      <c r="AV829" s="3" t="str">
        <f>HYPERLINK("https://www.google.com/maps/place/8.2460233%2C-11.5197267", "8.2460233,-11.5197267")</f>
        <v>8.2460233,-11.5197267</v>
      </c>
    </row>
    <row r="830" ht="15.75" customHeight="1">
      <c r="A830" s="1" t="s">
        <v>4119</v>
      </c>
      <c r="B830" s="1" t="s">
        <v>155</v>
      </c>
      <c r="C830" s="1" t="s">
        <v>4120</v>
      </c>
      <c r="D830" s="1" t="s">
        <v>4120</v>
      </c>
      <c r="E830" s="1" t="s">
        <v>4121</v>
      </c>
      <c r="F830" s="1" t="s">
        <v>64</v>
      </c>
      <c r="G830" s="1">
        <v>250.0</v>
      </c>
      <c r="H830" s="1" t="s">
        <v>50</v>
      </c>
      <c r="I830" s="1">
        <v>52.0</v>
      </c>
      <c r="J830" s="1">
        <v>29.0</v>
      </c>
      <c r="K830" s="1">
        <v>25.0</v>
      </c>
      <c r="L830" s="1">
        <v>23.0</v>
      </c>
      <c r="M830" s="1">
        <v>19.0</v>
      </c>
      <c r="N830" s="1" t="s">
        <v>51</v>
      </c>
      <c r="O830" s="1">
        <v>31.0</v>
      </c>
      <c r="P830" s="1">
        <v>16.0</v>
      </c>
      <c r="Q830" s="1">
        <v>16.0</v>
      </c>
      <c r="R830" s="1">
        <v>15.0</v>
      </c>
      <c r="S830" s="1">
        <v>15.0</v>
      </c>
      <c r="T830" s="1" t="s">
        <v>52</v>
      </c>
      <c r="U830" s="1">
        <v>46.0</v>
      </c>
      <c r="V830" s="1">
        <v>26.0</v>
      </c>
      <c r="W830" s="1">
        <v>24.0</v>
      </c>
      <c r="X830" s="1">
        <v>20.0</v>
      </c>
      <c r="Y830" s="1">
        <v>7.0</v>
      </c>
      <c r="Z830" s="1" t="s">
        <v>53</v>
      </c>
      <c r="AA830" s="1">
        <v>53.0</v>
      </c>
      <c r="AB830" s="1">
        <v>27.0</v>
      </c>
      <c r="AC830" s="1">
        <v>17.0</v>
      </c>
      <c r="AD830" s="1">
        <v>26.0</v>
      </c>
      <c r="AE830" s="1">
        <v>18.0</v>
      </c>
      <c r="AF830" s="1" t="s">
        <v>54</v>
      </c>
      <c r="AG830" s="1">
        <v>36.0</v>
      </c>
      <c r="AH830" s="1">
        <v>19.0</v>
      </c>
      <c r="AI830" s="1">
        <v>17.0</v>
      </c>
      <c r="AJ830" s="1">
        <v>17.0</v>
      </c>
      <c r="AK830" s="1">
        <v>15.0</v>
      </c>
      <c r="AL830" s="1">
        <v>173.0</v>
      </c>
      <c r="AM830" s="1" t="s">
        <v>55</v>
      </c>
      <c r="AN830" s="1">
        <v>77.0</v>
      </c>
      <c r="AO830" s="1">
        <v>77.0</v>
      </c>
      <c r="AP830" s="1" t="s">
        <v>1999</v>
      </c>
      <c r="AQ830" s="3" t="str">
        <f>HYPERLINK("https://icf.clappia.com/app/GMB253374/submission/QLV53622238/ICF247370-GMB253374-2kmpg8fajdac00000000/SIG-20250630_1314ehj8p.jpeg", "SIG-20250630_1314ehj8p.jpeg")</f>
        <v>SIG-20250630_1314ehj8p.jpeg</v>
      </c>
      <c r="AR830" s="1" t="s">
        <v>4122</v>
      </c>
      <c r="AS830" s="3" t="str">
        <f>HYPERLINK("https://icf.clappia.com/app/GMB253374/submission/QLV53622238/ICF247370-GMB253374-4b2pl6j0gbi400000000/SIG-20250630_131513o0ng.jpeg", "SIG-20250630_131513o0ng.jpeg")</f>
        <v>SIG-20250630_131513o0ng.jpeg</v>
      </c>
      <c r="AT830" s="1" t="s">
        <v>1548</v>
      </c>
      <c r="AU830" s="3" t="str">
        <f>HYPERLINK("https://icf.clappia.com/app/GMB253374/submission/QLV53622238/ICF247370-GMB253374-5dg7kpceljda00000000/SIG-20250630_131616c66.jpeg", "SIG-20250630_131616c66.jpeg")</f>
        <v>SIG-20250630_131616c66.jpeg</v>
      </c>
      <c r="AV830" s="3" t="str">
        <f>HYPERLINK("https://www.google.com/maps/place/8.7249231%2C-11.9371248", "8.7249231,-11.9371248")</f>
        <v>8.7249231,-11.9371248</v>
      </c>
    </row>
    <row r="831" ht="15.75" customHeight="1">
      <c r="A831" s="1" t="s">
        <v>4123</v>
      </c>
      <c r="B831" s="1" t="s">
        <v>189</v>
      </c>
      <c r="C831" s="1" t="s">
        <v>4124</v>
      </c>
      <c r="D831" s="1" t="s">
        <v>4124</v>
      </c>
      <c r="E831" s="1" t="s">
        <v>4125</v>
      </c>
      <c r="F831" s="1" t="s">
        <v>64</v>
      </c>
      <c r="G831" s="1">
        <v>150.0</v>
      </c>
      <c r="H831" s="1" t="s">
        <v>50</v>
      </c>
      <c r="I831" s="1">
        <v>30.0</v>
      </c>
      <c r="J831" s="1">
        <v>13.0</v>
      </c>
      <c r="K831" s="1">
        <v>13.0</v>
      </c>
      <c r="L831" s="1">
        <v>17.0</v>
      </c>
      <c r="M831" s="1">
        <v>17.0</v>
      </c>
      <c r="N831" s="1" t="s">
        <v>51</v>
      </c>
      <c r="O831" s="1">
        <v>21.0</v>
      </c>
      <c r="P831" s="1">
        <v>11.0</v>
      </c>
      <c r="Q831" s="1">
        <v>11.0</v>
      </c>
      <c r="R831" s="1">
        <v>10.0</v>
      </c>
      <c r="S831" s="1">
        <v>10.0</v>
      </c>
      <c r="T831" s="1" t="s">
        <v>52</v>
      </c>
      <c r="U831" s="1">
        <v>25.0</v>
      </c>
      <c r="V831" s="1">
        <v>10.0</v>
      </c>
      <c r="W831" s="1">
        <v>10.0</v>
      </c>
      <c r="X831" s="1">
        <v>15.0</v>
      </c>
      <c r="Y831" s="1">
        <v>15.0</v>
      </c>
      <c r="Z831" s="1" t="s">
        <v>53</v>
      </c>
      <c r="AA831" s="1">
        <v>20.0</v>
      </c>
      <c r="AB831" s="1">
        <v>10.0</v>
      </c>
      <c r="AC831" s="1">
        <v>10.0</v>
      </c>
      <c r="AD831" s="1">
        <v>10.0</v>
      </c>
      <c r="AE831" s="1">
        <v>10.0</v>
      </c>
      <c r="AF831" s="1" t="s">
        <v>54</v>
      </c>
      <c r="AG831" s="1">
        <v>7.0</v>
      </c>
      <c r="AH831" s="1">
        <v>3.0</v>
      </c>
      <c r="AI831" s="1">
        <v>3.0</v>
      </c>
      <c r="AJ831" s="1">
        <v>4.0</v>
      </c>
      <c r="AK831" s="1">
        <v>4.0</v>
      </c>
      <c r="AL831" s="1">
        <v>103.0</v>
      </c>
      <c r="AM831" s="1" t="s">
        <v>55</v>
      </c>
      <c r="AN831" s="1">
        <v>47.0</v>
      </c>
      <c r="AO831" s="1">
        <v>47.0</v>
      </c>
      <c r="AP831" s="1" t="s">
        <v>3411</v>
      </c>
      <c r="AQ831" s="3" t="str">
        <f>HYPERLINK("https://icf.clappia.com/app/GMB253374/submission/DDI12530961/ICF247370-GMB253374-12ek1h1o46c160000000/SIG-20250630_1502pjff4.jpeg", "SIG-20250630_1502pjff4.jpeg")</f>
        <v>SIG-20250630_1502pjff4.jpeg</v>
      </c>
      <c r="AR831" s="1" t="s">
        <v>4126</v>
      </c>
      <c r="AS831" s="3" t="str">
        <f>HYPERLINK("https://icf.clappia.com/app/GMB253374/submission/DDI12530961/ICF247370-GMB253374-1hgf91ojeg1da0000000/SIG-20250630_1453nldm7.jpeg", "SIG-20250630_1453nldm7.jpeg")</f>
        <v>SIG-20250630_1453nldm7.jpeg</v>
      </c>
      <c r="AT831" s="1" t="s">
        <v>4127</v>
      </c>
      <c r="AU831" s="3" t="str">
        <f>HYPERLINK("https://icf.clappia.com/app/GMB253374/submission/DDI12530961/ICF247370-GMB253374-3ailm1pih6he00000000/SIG-20250630_1453mcbl9.jpeg", "SIG-20250630_1453mcbl9.jpeg")</f>
        <v>SIG-20250630_1453mcbl9.jpeg</v>
      </c>
      <c r="AV831" s="3" t="str">
        <f>HYPERLINK("https://www.google.com/maps/place/8.8710247%2C-12.0285668", "8.8710247,-12.0285668")</f>
        <v>8.8710247,-12.0285668</v>
      </c>
    </row>
    <row r="832" ht="15.75" customHeight="1">
      <c r="A832" s="1" t="s">
        <v>4128</v>
      </c>
      <c r="B832" s="1" t="s">
        <v>81</v>
      </c>
      <c r="C832" s="1" t="s">
        <v>4129</v>
      </c>
      <c r="D832" s="1" t="s">
        <v>4129</v>
      </c>
      <c r="E832" s="1" t="s">
        <v>4130</v>
      </c>
      <c r="F832" s="1" t="s">
        <v>64</v>
      </c>
      <c r="G832" s="1">
        <v>216.0</v>
      </c>
      <c r="H832" s="1" t="s">
        <v>50</v>
      </c>
      <c r="I832" s="1">
        <v>37.0</v>
      </c>
      <c r="J832" s="1">
        <v>16.0</v>
      </c>
      <c r="K832" s="1">
        <v>16.0</v>
      </c>
      <c r="L832" s="1">
        <v>21.0</v>
      </c>
      <c r="M832" s="1">
        <v>21.0</v>
      </c>
      <c r="N832" s="1" t="s">
        <v>51</v>
      </c>
      <c r="O832" s="1">
        <v>37.0</v>
      </c>
      <c r="P832" s="1">
        <v>16.0</v>
      </c>
      <c r="Q832" s="1">
        <v>16.0</v>
      </c>
      <c r="R832" s="1">
        <v>21.0</v>
      </c>
      <c r="S832" s="1">
        <v>21.0</v>
      </c>
      <c r="T832" s="1" t="s">
        <v>52</v>
      </c>
      <c r="U832" s="1">
        <v>35.0</v>
      </c>
      <c r="V832" s="1">
        <v>13.0</v>
      </c>
      <c r="W832" s="1">
        <v>13.0</v>
      </c>
      <c r="X832" s="1">
        <v>22.0</v>
      </c>
      <c r="Y832" s="1">
        <v>22.0</v>
      </c>
      <c r="Z832" s="1" t="s">
        <v>53</v>
      </c>
      <c r="AA832" s="1">
        <v>36.0</v>
      </c>
      <c r="AB832" s="1">
        <v>16.0</v>
      </c>
      <c r="AC832" s="1">
        <v>16.0</v>
      </c>
      <c r="AD832" s="1">
        <v>20.0</v>
      </c>
      <c r="AE832" s="1">
        <v>20.0</v>
      </c>
      <c r="AF832" s="1" t="s">
        <v>54</v>
      </c>
      <c r="AG832" s="1">
        <v>71.0</v>
      </c>
      <c r="AH832" s="1">
        <v>32.0</v>
      </c>
      <c r="AI832" s="1">
        <v>32.0</v>
      </c>
      <c r="AJ832" s="1">
        <v>39.0</v>
      </c>
      <c r="AK832" s="1">
        <v>39.0</v>
      </c>
      <c r="AL832" s="1">
        <v>216.0</v>
      </c>
      <c r="AM832" s="1" t="s">
        <v>55</v>
      </c>
      <c r="AN832" s="1" t="s">
        <v>55</v>
      </c>
      <c r="AO832" s="1" t="s">
        <v>55</v>
      </c>
      <c r="AP832" s="1" t="s">
        <v>4131</v>
      </c>
      <c r="AQ832" s="3" t="str">
        <f>HYPERLINK("https://icf.clappia.com/app/GMB253374/submission/DPU23020700/ICF247370-GMB253374-6ahf6nddodek00000000/SIG-20250630_1452ek9cm.jpeg", "SIG-20250630_1452ek9cm.jpeg")</f>
        <v>SIG-20250630_1452ek9cm.jpeg</v>
      </c>
      <c r="AR832" s="1" t="s">
        <v>898</v>
      </c>
      <c r="AS832" s="3" t="str">
        <f>HYPERLINK("https://icf.clappia.com/app/GMB253374/submission/DPU23020700/ICF247370-GMB253374-4pbp4ag5f08000000000/SIG-20250630_1453l69if.jpeg", "SIG-20250630_1453l69if.jpeg")</f>
        <v>SIG-20250630_1453l69if.jpeg</v>
      </c>
      <c r="AT832" s="1" t="s">
        <v>4132</v>
      </c>
      <c r="AU832" s="3" t="str">
        <f>HYPERLINK("https://icf.clappia.com/app/GMB253374/submission/DPU23020700/ICF247370-GMB253374-11k498pd9nlkc0000000/SIG-20250630_1455fhmoe.jpeg", "SIG-20250630_1455fhmoe.jpeg")</f>
        <v>SIG-20250630_1455fhmoe.jpeg</v>
      </c>
      <c r="AV832" s="3" t="str">
        <f>HYPERLINK("https://www.google.com/maps/place/7.9645623%2C-11.7418254", "7.9645623,-11.7418254")</f>
        <v>7.9645623,-11.7418254</v>
      </c>
    </row>
    <row r="833" ht="15.75" customHeight="1">
      <c r="A833" s="1" t="s">
        <v>4133</v>
      </c>
      <c r="B833" s="1" t="s">
        <v>102</v>
      </c>
      <c r="C833" s="1" t="s">
        <v>4134</v>
      </c>
      <c r="D833" s="1" t="s">
        <v>4134</v>
      </c>
      <c r="E833" s="1" t="s">
        <v>4135</v>
      </c>
      <c r="F833" s="1" t="s">
        <v>64</v>
      </c>
      <c r="G833" s="1">
        <v>100.0</v>
      </c>
      <c r="H833" s="1" t="s">
        <v>50</v>
      </c>
      <c r="I833" s="1">
        <v>18.0</v>
      </c>
      <c r="J833" s="1">
        <v>7.0</v>
      </c>
      <c r="K833" s="1">
        <v>7.0</v>
      </c>
      <c r="L833" s="1">
        <v>11.0</v>
      </c>
      <c r="M833" s="1">
        <v>11.0</v>
      </c>
      <c r="N833" s="1" t="s">
        <v>51</v>
      </c>
      <c r="O833" s="1">
        <v>20.0</v>
      </c>
      <c r="P833" s="1">
        <v>7.0</v>
      </c>
      <c r="Q833" s="1">
        <v>7.0</v>
      </c>
      <c r="R833" s="1">
        <v>13.0</v>
      </c>
      <c r="S833" s="1">
        <v>13.0</v>
      </c>
      <c r="T833" s="1" t="s">
        <v>52</v>
      </c>
      <c r="U833" s="1">
        <v>19.0</v>
      </c>
      <c r="V833" s="1">
        <v>4.0</v>
      </c>
      <c r="W833" s="1">
        <v>4.0</v>
      </c>
      <c r="X833" s="1">
        <v>5.0</v>
      </c>
      <c r="Y833" s="1">
        <v>5.0</v>
      </c>
      <c r="Z833" s="1" t="s">
        <v>53</v>
      </c>
      <c r="AA833" s="1">
        <v>5.0</v>
      </c>
      <c r="AB833" s="1">
        <v>2.0</v>
      </c>
      <c r="AC833" s="1">
        <v>2.0</v>
      </c>
      <c r="AD833" s="1">
        <v>3.0</v>
      </c>
      <c r="AE833" s="1">
        <v>3.0</v>
      </c>
      <c r="AF833" s="1" t="s">
        <v>54</v>
      </c>
      <c r="AG833" s="1">
        <v>5.0</v>
      </c>
      <c r="AH833" s="1">
        <v>1.0</v>
      </c>
      <c r="AI833" s="1">
        <v>1.0</v>
      </c>
      <c r="AJ833" s="1">
        <v>4.0</v>
      </c>
      <c r="AK833" s="1">
        <v>4.0</v>
      </c>
      <c r="AL833" s="1">
        <v>57.0</v>
      </c>
      <c r="AM833" s="1" t="s">
        <v>55</v>
      </c>
      <c r="AN833" s="1">
        <v>43.0</v>
      </c>
      <c r="AO833" s="1">
        <v>43.0</v>
      </c>
      <c r="AP833" s="1" t="s">
        <v>223</v>
      </c>
      <c r="AQ833" s="3" t="str">
        <f>HYPERLINK("https://icf.clappia.com/app/GMB253374/submission/ZME38482053/ICF247370-GMB253374-3ib8pj1e6cko00000000/SIG-20250630_1057mc77c.jpeg", "SIG-20250630_1057mc77c.jpeg")</f>
        <v>SIG-20250630_1057mc77c.jpeg</v>
      </c>
      <c r="AR833" s="1" t="s">
        <v>224</v>
      </c>
      <c r="AS833" s="3" t="str">
        <f>HYPERLINK("https://icf.clappia.com/app/GMB253374/submission/ZME38482053/ICF247370-GMB253374-5inhio9p4gio00000000/SIG-20250630_1058500j8.jpeg", "SIG-20250630_1058500j8.jpeg")</f>
        <v>SIG-20250630_1058500j8.jpeg</v>
      </c>
      <c r="AT833" s="1" t="s">
        <v>4136</v>
      </c>
      <c r="AU833" s="3" t="str">
        <f>HYPERLINK("https://icf.clappia.com/app/GMB253374/submission/ZME38482053/ICF247370-GMB253374-2f1m8cn4ghmc00000000/SIG-20250630_1458a2c3e.jpeg", "SIG-20250630_1458a2c3e.jpeg")</f>
        <v>SIG-20250630_1458a2c3e.jpeg</v>
      </c>
      <c r="AV833" s="3" t="str">
        <f>HYPERLINK("https://www.google.com/maps/place/9.1577658%2C-11.9603067", "9.1577658,-11.9603067")</f>
        <v>9.1577658,-11.9603067</v>
      </c>
    </row>
    <row r="834" ht="15.75" customHeight="1">
      <c r="A834" s="1" t="s">
        <v>4137</v>
      </c>
      <c r="B834" s="1" t="s">
        <v>248</v>
      </c>
      <c r="C834" s="1" t="s">
        <v>4138</v>
      </c>
      <c r="D834" s="1" t="s">
        <v>4138</v>
      </c>
      <c r="E834" s="1" t="s">
        <v>4139</v>
      </c>
      <c r="F834" s="1" t="s">
        <v>64</v>
      </c>
      <c r="G834" s="1">
        <v>93.0</v>
      </c>
      <c r="H834" s="1" t="s">
        <v>50</v>
      </c>
      <c r="I834" s="1">
        <v>93.0</v>
      </c>
      <c r="J834" s="1">
        <v>49.0</v>
      </c>
      <c r="K834" s="1">
        <v>49.0</v>
      </c>
      <c r="L834" s="1">
        <v>44.0</v>
      </c>
      <c r="M834" s="1">
        <v>42.0</v>
      </c>
      <c r="N834" s="1" t="s">
        <v>51</v>
      </c>
      <c r="O834" s="1" t="s">
        <v>55</v>
      </c>
      <c r="P834" s="1" t="s">
        <v>55</v>
      </c>
      <c r="Q834" s="1" t="s">
        <v>55</v>
      </c>
      <c r="R834" s="1" t="s">
        <v>55</v>
      </c>
      <c r="S834" s="1" t="s">
        <v>55</v>
      </c>
      <c r="T834" s="1" t="s">
        <v>52</v>
      </c>
      <c r="U834" s="1" t="s">
        <v>55</v>
      </c>
      <c r="V834" s="1" t="s">
        <v>55</v>
      </c>
      <c r="W834" s="1" t="s">
        <v>55</v>
      </c>
      <c r="X834" s="1" t="s">
        <v>55</v>
      </c>
      <c r="Y834" s="1" t="s">
        <v>55</v>
      </c>
      <c r="Z834" s="1" t="s">
        <v>53</v>
      </c>
      <c r="AA834" s="1" t="s">
        <v>55</v>
      </c>
      <c r="AB834" s="1" t="s">
        <v>55</v>
      </c>
      <c r="AC834" s="1" t="s">
        <v>55</v>
      </c>
      <c r="AD834" s="1" t="s">
        <v>55</v>
      </c>
      <c r="AE834" s="1" t="s">
        <v>55</v>
      </c>
      <c r="AF834" s="1" t="s">
        <v>54</v>
      </c>
      <c r="AG834" s="1" t="s">
        <v>55</v>
      </c>
      <c r="AH834" s="1" t="s">
        <v>55</v>
      </c>
      <c r="AI834" s="1" t="s">
        <v>55</v>
      </c>
      <c r="AJ834" s="1" t="s">
        <v>55</v>
      </c>
      <c r="AK834" s="1" t="s">
        <v>55</v>
      </c>
      <c r="AL834" s="1">
        <v>91.0</v>
      </c>
      <c r="AM834" s="1">
        <v>2.0</v>
      </c>
      <c r="AN834" s="1" t="s">
        <v>55</v>
      </c>
      <c r="AO834" s="1" t="s">
        <v>55</v>
      </c>
      <c r="AP834" s="1" t="s">
        <v>4140</v>
      </c>
      <c r="AQ834" s="3" t="str">
        <f>HYPERLINK("https://icf.clappia.com/app/GMB253374/submission/SPK20662674/ICF247370-GMB253374-5idoj00f97m800000000/SIG-20250630_1456bkiol.jpeg", "SIG-20250630_1456bkiol.jpeg")</f>
        <v>SIG-20250630_1456bkiol.jpeg</v>
      </c>
      <c r="AR834" s="1" t="s">
        <v>4141</v>
      </c>
      <c r="AS834" s="3" t="str">
        <f>HYPERLINK("https://icf.clappia.com/app/GMB253374/submission/SPK20662674/ICF247370-GMB253374-656609a89o4g00000000/SIG-20250630_145719ddfb.jpeg", "SIG-20250630_145719ddfb.jpeg")</f>
        <v>SIG-20250630_145719ddfb.jpeg</v>
      </c>
      <c r="AT834" s="1" t="s">
        <v>4142</v>
      </c>
      <c r="AU834" s="3" t="str">
        <f>HYPERLINK("https://icf.clappia.com/app/GMB253374/submission/SPK20662674/ICF247370-GMB253374-4b930b6j6jgg00000000/SIG-20250630_145716gpil.jpeg", "SIG-20250630_145716gpil.jpeg")</f>
        <v>SIG-20250630_145716gpil.jpeg</v>
      </c>
      <c r="AV834" s="3" t="str">
        <f>HYPERLINK("https://www.google.com/maps/place/7.8771433%2C-11.5354567", "7.8771433,-11.5354567")</f>
        <v>7.8771433,-11.5354567</v>
      </c>
    </row>
    <row r="835" ht="15.75" customHeight="1">
      <c r="A835" s="1" t="s">
        <v>4143</v>
      </c>
      <c r="B835" s="1" t="s">
        <v>690</v>
      </c>
      <c r="C835" s="1" t="s">
        <v>4144</v>
      </c>
      <c r="D835" s="1" t="s">
        <v>4144</v>
      </c>
      <c r="E835" s="1" t="s">
        <v>4145</v>
      </c>
      <c r="F835" s="1" t="s">
        <v>64</v>
      </c>
      <c r="G835" s="1">
        <v>371.0</v>
      </c>
      <c r="H835" s="1" t="s">
        <v>50</v>
      </c>
      <c r="I835" s="1">
        <v>70.0</v>
      </c>
      <c r="J835" s="1">
        <v>42.0</v>
      </c>
      <c r="K835" s="1">
        <v>40.0</v>
      </c>
      <c r="L835" s="1">
        <v>28.0</v>
      </c>
      <c r="M835" s="1">
        <v>28.0</v>
      </c>
      <c r="N835" s="1" t="s">
        <v>51</v>
      </c>
      <c r="O835" s="1">
        <v>75.0</v>
      </c>
      <c r="P835" s="1">
        <v>40.0</v>
      </c>
      <c r="Q835" s="1">
        <v>34.0</v>
      </c>
      <c r="R835" s="1">
        <v>35.0</v>
      </c>
      <c r="S835" s="1">
        <v>30.0</v>
      </c>
      <c r="T835" s="1" t="s">
        <v>52</v>
      </c>
      <c r="U835" s="1">
        <v>68.0</v>
      </c>
      <c r="V835" s="1">
        <v>32.0</v>
      </c>
      <c r="W835" s="1">
        <v>32.0</v>
      </c>
      <c r="X835" s="1">
        <v>36.0</v>
      </c>
      <c r="Y835" s="1">
        <v>36.0</v>
      </c>
      <c r="Z835" s="1" t="s">
        <v>53</v>
      </c>
      <c r="AA835" s="1">
        <v>68.0</v>
      </c>
      <c r="AB835" s="1">
        <v>29.0</v>
      </c>
      <c r="AC835" s="1">
        <v>27.0</v>
      </c>
      <c r="AD835" s="1">
        <v>39.0</v>
      </c>
      <c r="AE835" s="1">
        <v>36.0</v>
      </c>
      <c r="AF835" s="1" t="s">
        <v>54</v>
      </c>
      <c r="AG835" s="1">
        <v>80.0</v>
      </c>
      <c r="AH835" s="1">
        <v>38.0</v>
      </c>
      <c r="AI835" s="1">
        <v>36.0</v>
      </c>
      <c r="AJ835" s="1">
        <v>42.0</v>
      </c>
      <c r="AK835" s="1">
        <v>32.0</v>
      </c>
      <c r="AL835" s="1">
        <v>331.0</v>
      </c>
      <c r="AM835" s="1" t="s">
        <v>55</v>
      </c>
      <c r="AN835" s="1">
        <v>40.0</v>
      </c>
      <c r="AO835" s="1">
        <v>40.0</v>
      </c>
      <c r="AP835" s="1" t="s">
        <v>4146</v>
      </c>
      <c r="AQ835" s="3" t="str">
        <f>HYPERLINK("https://icf.clappia.com/app/GMB253374/submission/GRQ42621774/ICF247370-GMB253374-1l5lbme3754ec0000000/SIG-20250630_1452fm759.jpeg", "SIG-20250630_1452fm759.jpeg")</f>
        <v>SIG-20250630_1452fm759.jpeg</v>
      </c>
      <c r="AR835" s="1" t="s">
        <v>3419</v>
      </c>
      <c r="AS835" s="3" t="str">
        <f>HYPERLINK("https://icf.clappia.com/app/GMB253374/submission/GRQ42621774/ICF247370-GMB253374-30fjbfb83nek00000000/SIG-20250630_14039chec.jpeg", "SIG-20250630_14039chec.jpeg")</f>
        <v>SIG-20250630_14039chec.jpeg</v>
      </c>
      <c r="AT835" s="1" t="s">
        <v>3292</v>
      </c>
      <c r="AU835" s="3" t="str">
        <f>HYPERLINK("https://icf.clappia.com/app/GMB253374/submission/GRQ42621774/ICF247370-GMB253374-5kobmh3h974000000000/SIG-20250630_14533oih2.jpeg", "SIG-20250630_14533oih2.jpeg")</f>
        <v>SIG-20250630_14533oih2.jpeg</v>
      </c>
      <c r="AV835" s="3" t="str">
        <f>HYPERLINK("https://www.google.com/maps/place/8.8597667%2C-12.0534517", "8.8597667,-12.0534517")</f>
        <v>8.8597667,-12.0534517</v>
      </c>
    </row>
    <row r="836" ht="15.75" customHeight="1">
      <c r="A836" s="1" t="s">
        <v>4147</v>
      </c>
      <c r="B836" s="1" t="s">
        <v>342</v>
      </c>
      <c r="C836" s="1" t="s">
        <v>4148</v>
      </c>
      <c r="D836" s="1" t="s">
        <v>4148</v>
      </c>
      <c r="E836" s="1" t="s">
        <v>4149</v>
      </c>
      <c r="F836" s="1" t="s">
        <v>64</v>
      </c>
      <c r="G836" s="1">
        <v>300.0</v>
      </c>
      <c r="H836" s="1" t="s">
        <v>50</v>
      </c>
      <c r="I836" s="1">
        <v>52.0</v>
      </c>
      <c r="J836" s="1">
        <v>26.0</v>
      </c>
      <c r="K836" s="1">
        <v>26.0</v>
      </c>
      <c r="L836" s="1">
        <v>26.0</v>
      </c>
      <c r="M836" s="1">
        <v>26.0</v>
      </c>
      <c r="N836" s="1" t="s">
        <v>51</v>
      </c>
      <c r="O836" s="1">
        <v>59.0</v>
      </c>
      <c r="P836" s="1">
        <v>25.0</v>
      </c>
      <c r="Q836" s="1">
        <v>23.0</v>
      </c>
      <c r="R836" s="1">
        <v>34.0</v>
      </c>
      <c r="S836" s="1">
        <v>33.0</v>
      </c>
      <c r="T836" s="1" t="s">
        <v>52</v>
      </c>
      <c r="U836" s="1">
        <v>60.0</v>
      </c>
      <c r="V836" s="1">
        <v>27.0</v>
      </c>
      <c r="W836" s="1">
        <v>27.0</v>
      </c>
      <c r="X836" s="1">
        <v>33.0</v>
      </c>
      <c r="Y836" s="1">
        <v>32.0</v>
      </c>
      <c r="Z836" s="1" t="s">
        <v>53</v>
      </c>
      <c r="AA836" s="1">
        <v>64.0</v>
      </c>
      <c r="AB836" s="1">
        <v>34.0</v>
      </c>
      <c r="AC836" s="1">
        <v>34.0</v>
      </c>
      <c r="AD836" s="1">
        <v>30.0</v>
      </c>
      <c r="AE836" s="1">
        <v>29.0</v>
      </c>
      <c r="AF836" s="1" t="s">
        <v>54</v>
      </c>
      <c r="AG836" s="1">
        <v>65.0</v>
      </c>
      <c r="AH836" s="1">
        <v>31.0</v>
      </c>
      <c r="AI836" s="1">
        <v>28.0</v>
      </c>
      <c r="AJ836" s="1">
        <v>34.0</v>
      </c>
      <c r="AK836" s="1">
        <v>32.0</v>
      </c>
      <c r="AL836" s="1">
        <v>290.0</v>
      </c>
      <c r="AM836" s="1" t="s">
        <v>55</v>
      </c>
      <c r="AN836" s="1">
        <v>10.0</v>
      </c>
      <c r="AO836" s="1">
        <v>10.0</v>
      </c>
      <c r="AP836" s="1" t="s">
        <v>1469</v>
      </c>
      <c r="AQ836" s="3" t="str">
        <f>HYPERLINK("https://icf.clappia.com/app/GMB253374/submission/JTB53080273/ICF247370-GMB253374-1hdc75g6h74mi0000000/SIG-20250630_104117bpe2.jpeg", "SIG-20250630_104117bpe2.jpeg")</f>
        <v>SIG-20250630_104117bpe2.jpeg</v>
      </c>
      <c r="AR836" s="1" t="s">
        <v>732</v>
      </c>
      <c r="AS836" s="3" t="str">
        <f>HYPERLINK("https://icf.clappia.com/app/GMB253374/submission/JTB53080273/ICF247370-GMB253374-2acmfdf93kmak0000000/SIG-20250630_10451a6min.jpeg", "SIG-20250630_10451a6min.jpeg")</f>
        <v>SIG-20250630_10451a6min.jpeg</v>
      </c>
      <c r="AT836" s="1" t="s">
        <v>4150</v>
      </c>
      <c r="AU836" s="3" t="str">
        <f>HYPERLINK("https://icf.clappia.com/app/GMB253374/submission/JTB53080273/ICF247370-GMB253374-396fj6aecham00000000/SIG-20250630_104517j847.jpeg", "SIG-20250630_104517j847.jpeg")</f>
        <v>SIG-20250630_104517j847.jpeg</v>
      </c>
      <c r="AV836" s="3" t="str">
        <f>HYPERLINK("https://www.google.com/maps/place/9.0939422%2C-12.0494298", "9.0939422,-12.0494298")</f>
        <v>9.0939422,-12.0494298</v>
      </c>
    </row>
    <row r="837" ht="15.75" customHeight="1">
      <c r="A837" s="1" t="s">
        <v>4151</v>
      </c>
      <c r="B837" s="1" t="s">
        <v>155</v>
      </c>
      <c r="C837" s="1" t="s">
        <v>4148</v>
      </c>
      <c r="D837" s="1" t="s">
        <v>4148</v>
      </c>
      <c r="E837" s="1" t="s">
        <v>4152</v>
      </c>
      <c r="F837" s="1" t="s">
        <v>64</v>
      </c>
      <c r="G837" s="1">
        <v>250.0</v>
      </c>
      <c r="H837" s="1" t="s">
        <v>50</v>
      </c>
      <c r="I837" s="1">
        <v>61.0</v>
      </c>
      <c r="J837" s="1">
        <v>30.0</v>
      </c>
      <c r="K837" s="1">
        <v>25.0</v>
      </c>
      <c r="L837" s="1">
        <v>31.0</v>
      </c>
      <c r="M837" s="1">
        <v>30.0</v>
      </c>
      <c r="N837" s="1" t="s">
        <v>51</v>
      </c>
      <c r="O837" s="1">
        <v>44.0</v>
      </c>
      <c r="P837" s="1">
        <v>19.0</v>
      </c>
      <c r="Q837" s="1">
        <v>17.0</v>
      </c>
      <c r="R837" s="1">
        <v>25.0</v>
      </c>
      <c r="S837" s="1">
        <v>23.0</v>
      </c>
      <c r="T837" s="1" t="s">
        <v>52</v>
      </c>
      <c r="U837" s="1">
        <v>39.0</v>
      </c>
      <c r="V837" s="1">
        <v>17.0</v>
      </c>
      <c r="W837" s="1">
        <v>17.0</v>
      </c>
      <c r="X837" s="1">
        <v>22.0</v>
      </c>
      <c r="Y837" s="1">
        <v>20.0</v>
      </c>
      <c r="Z837" s="1" t="s">
        <v>53</v>
      </c>
      <c r="AA837" s="1">
        <v>48.0</v>
      </c>
      <c r="AB837" s="1">
        <v>22.0</v>
      </c>
      <c r="AC837" s="1">
        <v>21.0</v>
      </c>
      <c r="AD837" s="1">
        <v>26.0</v>
      </c>
      <c r="AE837" s="1">
        <v>26.0</v>
      </c>
      <c r="AF837" s="1" t="s">
        <v>54</v>
      </c>
      <c r="AG837" s="1">
        <v>31.0</v>
      </c>
      <c r="AH837" s="1">
        <v>16.0</v>
      </c>
      <c r="AI837" s="1">
        <v>16.0</v>
      </c>
      <c r="AJ837" s="1">
        <v>15.0</v>
      </c>
      <c r="AK837" s="1">
        <v>15.0</v>
      </c>
      <c r="AL837" s="1">
        <v>210.0</v>
      </c>
      <c r="AM837" s="1" t="s">
        <v>55</v>
      </c>
      <c r="AN837" s="1">
        <v>40.0</v>
      </c>
      <c r="AO837" s="1">
        <v>4.0</v>
      </c>
      <c r="AP837" s="1" t="s">
        <v>4153</v>
      </c>
      <c r="AQ837" s="3" t="str">
        <f>HYPERLINK("https://icf.clappia.com/app/GMB253374/submission/MYL69535289/ICF247370-GMB253374-10m5onjblk2560000000/SIG-20250630_1420pfonn.jpeg", "SIG-20250630_1420pfonn.jpeg")</f>
        <v>SIG-20250630_1420pfonn.jpeg</v>
      </c>
      <c r="AR837" s="1" t="s">
        <v>630</v>
      </c>
      <c r="AS837" s="3" t="str">
        <f>HYPERLINK("https://icf.clappia.com/app/GMB253374/submission/MYL69535289/ICF247370-GMB253374-1j6clnk015n0i0000000/SIG-20250630_1451ogckg.jpeg", "SIG-20250630_1451ogckg.jpeg")</f>
        <v>SIG-20250630_1451ogckg.jpeg</v>
      </c>
      <c r="AT837" s="1" t="s">
        <v>631</v>
      </c>
      <c r="AU837" s="3" t="str">
        <f>HYPERLINK("https://icf.clappia.com/app/GMB253374/submission/MYL69535289/ICF247370-GMB253374-537mmpge7oic00000000/SIG-20250630_1451dldfn.jpeg", "SIG-20250630_1451dldfn.jpeg")</f>
        <v>SIG-20250630_1451dldfn.jpeg</v>
      </c>
      <c r="AV837" s="3" t="str">
        <f>HYPERLINK("https://www.google.com/maps/place/8.7311492%2C-11.9431873", "8.7311492,-11.9431873")</f>
        <v>8.7311492,-11.9431873</v>
      </c>
    </row>
    <row r="838" ht="15.75" customHeight="1">
      <c r="A838" s="1" t="s">
        <v>4154</v>
      </c>
      <c r="B838" s="1" t="s">
        <v>81</v>
      </c>
      <c r="C838" s="1" t="s">
        <v>4155</v>
      </c>
      <c r="D838" s="1" t="s">
        <v>4155</v>
      </c>
      <c r="E838" s="1" t="s">
        <v>4156</v>
      </c>
      <c r="F838" s="1" t="s">
        <v>64</v>
      </c>
      <c r="G838" s="1">
        <v>256.0</v>
      </c>
      <c r="H838" s="1" t="s">
        <v>50</v>
      </c>
      <c r="I838" s="1">
        <v>49.0</v>
      </c>
      <c r="J838" s="1">
        <v>25.0</v>
      </c>
      <c r="K838" s="1">
        <v>19.0</v>
      </c>
      <c r="L838" s="1">
        <v>24.0</v>
      </c>
      <c r="M838" s="1">
        <v>20.0</v>
      </c>
      <c r="N838" s="1" t="s">
        <v>51</v>
      </c>
      <c r="O838" s="1">
        <v>56.0</v>
      </c>
      <c r="P838" s="1">
        <v>27.0</v>
      </c>
      <c r="Q838" s="1">
        <v>27.0</v>
      </c>
      <c r="R838" s="1">
        <v>29.0</v>
      </c>
      <c r="S838" s="1">
        <v>29.0</v>
      </c>
      <c r="T838" s="1" t="s">
        <v>52</v>
      </c>
      <c r="U838" s="1">
        <v>41.0</v>
      </c>
      <c r="V838" s="1">
        <v>19.0</v>
      </c>
      <c r="W838" s="1">
        <v>19.0</v>
      </c>
      <c r="X838" s="1">
        <v>22.0</v>
      </c>
      <c r="Y838" s="1">
        <v>22.0</v>
      </c>
      <c r="Z838" s="1" t="s">
        <v>53</v>
      </c>
      <c r="AA838" s="1">
        <v>58.0</v>
      </c>
      <c r="AB838" s="1">
        <v>27.0</v>
      </c>
      <c r="AC838" s="1">
        <v>27.0</v>
      </c>
      <c r="AD838" s="1">
        <v>31.0</v>
      </c>
      <c r="AE838" s="1">
        <v>31.0</v>
      </c>
      <c r="AF838" s="1" t="s">
        <v>54</v>
      </c>
      <c r="AG838" s="1">
        <v>52.0</v>
      </c>
      <c r="AH838" s="1">
        <v>25.0</v>
      </c>
      <c r="AI838" s="1">
        <v>25.0</v>
      </c>
      <c r="AJ838" s="1">
        <v>27.0</v>
      </c>
      <c r="AK838" s="1">
        <v>27.0</v>
      </c>
      <c r="AL838" s="1">
        <v>246.0</v>
      </c>
      <c r="AM838" s="1">
        <v>10.0</v>
      </c>
      <c r="AN838" s="1" t="s">
        <v>55</v>
      </c>
      <c r="AO838" s="1" t="s">
        <v>55</v>
      </c>
      <c r="AP838" s="1" t="s">
        <v>4157</v>
      </c>
      <c r="AQ838" s="3" t="str">
        <f>HYPERLINK("https://icf.clappia.com/app/GMB253374/submission/EFB25399457/ICF247370-GMB253374-2gd1pg2cf92a00000000/SIG-20250630_13506e6mb.jpeg", "SIG-20250630_13506e6mb.jpeg")</f>
        <v>SIG-20250630_13506e6mb.jpeg</v>
      </c>
      <c r="AR838" s="1" t="s">
        <v>2802</v>
      </c>
      <c r="AS838" s="3" t="str">
        <f>HYPERLINK("https://icf.clappia.com/app/GMB253374/submission/EFB25399457/ICF247370-GMB253374-4jggobnko96o00000000/SIG-20250630_13523opm0.jpeg", "SIG-20250630_13523opm0.jpeg")</f>
        <v>SIG-20250630_13523opm0.jpeg</v>
      </c>
      <c r="AT838" s="1" t="s">
        <v>4158</v>
      </c>
      <c r="AU838" s="3" t="str">
        <f>HYPERLINK("https://icf.clappia.com/app/GMB253374/submission/EFB25399457/ICF247370-GMB253374-2i2ogmb52c6a00000000/SIG-20250630_1446koigl.jpeg", "SIG-20250630_1446koigl.jpeg")</f>
        <v>SIG-20250630_1446koigl.jpeg</v>
      </c>
      <c r="AV838" s="3" t="str">
        <f>HYPERLINK("https://www.google.com/maps/place/7.9646512%2C-11.7418597", "7.9646512,-11.7418597")</f>
        <v>7.9646512,-11.7418597</v>
      </c>
    </row>
    <row r="839" ht="15.75" customHeight="1">
      <c r="A839" s="1" t="s">
        <v>4159</v>
      </c>
      <c r="B839" s="1" t="s">
        <v>248</v>
      </c>
      <c r="C839" s="1" t="s">
        <v>3117</v>
      </c>
      <c r="D839" s="1" t="s">
        <v>3117</v>
      </c>
      <c r="E839" s="1" t="s">
        <v>4160</v>
      </c>
      <c r="F839" s="1" t="s">
        <v>64</v>
      </c>
      <c r="G839" s="1">
        <v>150.0</v>
      </c>
      <c r="H839" s="1" t="s">
        <v>50</v>
      </c>
      <c r="I839" s="1">
        <v>65.0</v>
      </c>
      <c r="J839" s="1">
        <v>30.0</v>
      </c>
      <c r="K839" s="1">
        <v>30.0</v>
      </c>
      <c r="L839" s="1">
        <v>35.0</v>
      </c>
      <c r="M839" s="1">
        <v>35.0</v>
      </c>
      <c r="N839" s="1" t="s">
        <v>51</v>
      </c>
      <c r="O839" s="1">
        <v>35.0</v>
      </c>
      <c r="P839" s="1">
        <v>15.0</v>
      </c>
      <c r="Q839" s="1">
        <v>15.0</v>
      </c>
      <c r="R839" s="1">
        <v>20.0</v>
      </c>
      <c r="S839" s="1">
        <v>20.0</v>
      </c>
      <c r="T839" s="1" t="s">
        <v>52</v>
      </c>
      <c r="U839" s="1">
        <v>18.0</v>
      </c>
      <c r="V839" s="1">
        <v>10.0</v>
      </c>
      <c r="W839" s="1">
        <v>10.0</v>
      </c>
      <c r="X839" s="1">
        <v>8.0</v>
      </c>
      <c r="Y839" s="1">
        <v>8.0</v>
      </c>
      <c r="Z839" s="1" t="s">
        <v>53</v>
      </c>
      <c r="AA839" s="1">
        <v>12.0</v>
      </c>
      <c r="AB839" s="1">
        <v>5.0</v>
      </c>
      <c r="AC839" s="1">
        <v>5.0</v>
      </c>
      <c r="AD839" s="1">
        <v>7.0</v>
      </c>
      <c r="AE839" s="1">
        <v>7.0</v>
      </c>
      <c r="AF839" s="1" t="s">
        <v>54</v>
      </c>
      <c r="AG839" s="1">
        <v>16.0</v>
      </c>
      <c r="AH839" s="1">
        <v>10.0</v>
      </c>
      <c r="AI839" s="1">
        <v>10.0</v>
      </c>
      <c r="AJ839" s="1">
        <v>6.0</v>
      </c>
      <c r="AK839" s="1">
        <v>6.0</v>
      </c>
      <c r="AL839" s="1">
        <v>146.0</v>
      </c>
      <c r="AM839" s="1" t="s">
        <v>55</v>
      </c>
      <c r="AN839" s="1">
        <v>4.0</v>
      </c>
      <c r="AO839" s="1">
        <v>4.0</v>
      </c>
      <c r="AP839" s="1" t="s">
        <v>1361</v>
      </c>
      <c r="AQ839" s="3" t="str">
        <f>HYPERLINK("https://icf.clappia.com/app/GMB253374/submission/KBQ96916490/ICF247370-GMB253374-2of4622fa97600000000/SIG-20250630_113113ab0g.jpeg", "SIG-20250630_113113ab0g.jpeg")</f>
        <v>SIG-20250630_113113ab0g.jpeg</v>
      </c>
      <c r="AR839" s="1" t="s">
        <v>1362</v>
      </c>
      <c r="AS839" s="3" t="str">
        <f>HYPERLINK("https://icf.clappia.com/app/GMB253374/submission/KBQ96916490/ICF247370-GMB253374-4ob2nggdc9ha00000000/SIG-20250630_1345jpi74.jpeg", "SIG-20250630_1345jpi74.jpeg")</f>
        <v>SIG-20250630_1345jpi74.jpeg</v>
      </c>
      <c r="AT839" s="1" t="s">
        <v>4161</v>
      </c>
      <c r="AU839" s="3" t="str">
        <f>HYPERLINK("https://icf.clappia.com/app/GMB253374/submission/KBQ96916490/ICF247370-GMB253374-8f0akfd3lk6o000000/SIG-20250630_12091a58nd.jpeg", "SIG-20250630_12091a58nd.jpeg")</f>
        <v>SIG-20250630_12091a58nd.jpeg</v>
      </c>
      <c r="AV839" s="3" t="str">
        <f>HYPERLINK("https://www.google.com/maps/place/8.017421%2C-11.5821865", "8.017421,-11.5821865")</f>
        <v>8.017421,-11.5821865</v>
      </c>
    </row>
    <row r="840" ht="15.75" customHeight="1">
      <c r="A840" s="1" t="s">
        <v>4162</v>
      </c>
      <c r="B840" s="1" t="s">
        <v>81</v>
      </c>
      <c r="C840" s="1" t="s">
        <v>4163</v>
      </c>
      <c r="D840" s="1" t="s">
        <v>4163</v>
      </c>
      <c r="E840" s="1" t="s">
        <v>4164</v>
      </c>
      <c r="F840" s="1" t="s">
        <v>64</v>
      </c>
      <c r="G840" s="1">
        <v>300.0</v>
      </c>
      <c r="H840" s="1" t="s">
        <v>50</v>
      </c>
      <c r="I840" s="1">
        <v>37.0</v>
      </c>
      <c r="J840" s="1">
        <v>18.0</v>
      </c>
      <c r="K840" s="1">
        <v>18.0</v>
      </c>
      <c r="L840" s="1">
        <v>19.0</v>
      </c>
      <c r="M840" s="1">
        <v>19.0</v>
      </c>
      <c r="N840" s="1" t="s">
        <v>51</v>
      </c>
      <c r="O840" s="1">
        <v>36.0</v>
      </c>
      <c r="P840" s="1">
        <v>16.0</v>
      </c>
      <c r="Q840" s="1">
        <v>16.0</v>
      </c>
      <c r="R840" s="1">
        <v>20.0</v>
      </c>
      <c r="S840" s="1">
        <v>20.0</v>
      </c>
      <c r="T840" s="1" t="s">
        <v>52</v>
      </c>
      <c r="U840" s="1">
        <v>30.0</v>
      </c>
      <c r="V840" s="1">
        <v>11.0</v>
      </c>
      <c r="W840" s="1">
        <v>11.0</v>
      </c>
      <c r="X840" s="1">
        <v>19.0</v>
      </c>
      <c r="Y840" s="1">
        <v>19.0</v>
      </c>
      <c r="Z840" s="1" t="s">
        <v>53</v>
      </c>
      <c r="AA840" s="1">
        <v>80.0</v>
      </c>
      <c r="AB840" s="1">
        <v>35.0</v>
      </c>
      <c r="AC840" s="1">
        <v>35.0</v>
      </c>
      <c r="AD840" s="1">
        <v>45.0</v>
      </c>
      <c r="AE840" s="1">
        <v>45.0</v>
      </c>
      <c r="AF840" s="1" t="s">
        <v>54</v>
      </c>
      <c r="AG840" s="1">
        <v>61.0</v>
      </c>
      <c r="AH840" s="1">
        <v>26.0</v>
      </c>
      <c r="AI840" s="1">
        <v>26.0</v>
      </c>
      <c r="AJ840" s="1">
        <v>35.0</v>
      </c>
      <c r="AK840" s="1">
        <v>35.0</v>
      </c>
      <c r="AL840" s="1">
        <v>244.0</v>
      </c>
      <c r="AM840" s="1" t="s">
        <v>55</v>
      </c>
      <c r="AN840" s="1">
        <v>56.0</v>
      </c>
      <c r="AO840" s="1">
        <v>56.0</v>
      </c>
      <c r="AP840" s="1" t="s">
        <v>176</v>
      </c>
      <c r="AQ840" s="3" t="str">
        <f>HYPERLINK("https://icf.clappia.com/app/GMB253374/submission/IHH57407073/ICF247370-GMB253374-4lih3458269600000000/SIG-20250630_14426aph1.jpeg", "SIG-20250630_14426aph1.jpeg")</f>
        <v>SIG-20250630_14426aph1.jpeg</v>
      </c>
      <c r="AR840" s="1" t="s">
        <v>4165</v>
      </c>
      <c r="AS840" s="3" t="str">
        <f>HYPERLINK("https://icf.clappia.com/app/GMB253374/submission/IHH57407073/ICF247370-GMB253374-k88875d88ef20000000/SIG-20250630_141347f6c.jpeg", "SIG-20250630_141347f6c.jpeg")</f>
        <v>SIG-20250630_141347f6c.jpeg</v>
      </c>
      <c r="AT840" s="1" t="s">
        <v>4166</v>
      </c>
      <c r="AU840" s="3" t="str">
        <f>HYPERLINK("https://icf.clappia.com/app/GMB253374/submission/IHH57407073/ICF247370-GMB253374-4blddfcp5h0200000000/SIG-20250630_14146bk8a.jpeg", "SIG-20250630_14146bk8a.jpeg")</f>
        <v>SIG-20250630_14146bk8a.jpeg</v>
      </c>
      <c r="AV840" s="3" t="str">
        <f>HYPERLINK("https://www.google.com/maps/place/7.9540167%2C-11.7398583", "7.9540167,-11.7398583")</f>
        <v>7.9540167,-11.7398583</v>
      </c>
    </row>
    <row r="841" ht="15.75" customHeight="1">
      <c r="A841" s="1" t="s">
        <v>4167</v>
      </c>
      <c r="B841" s="1" t="s">
        <v>69</v>
      </c>
      <c r="C841" s="1" t="s">
        <v>4168</v>
      </c>
      <c r="D841" s="1" t="s">
        <v>4168</v>
      </c>
      <c r="E841" s="1" t="s">
        <v>4169</v>
      </c>
      <c r="F841" s="1" t="s">
        <v>64</v>
      </c>
      <c r="G841" s="1">
        <v>250.0</v>
      </c>
      <c r="H841" s="1" t="s">
        <v>50</v>
      </c>
      <c r="I841" s="1">
        <v>84.0</v>
      </c>
      <c r="J841" s="1">
        <v>45.0</v>
      </c>
      <c r="K841" s="1">
        <v>38.0</v>
      </c>
      <c r="L841" s="1">
        <v>39.0</v>
      </c>
      <c r="M841" s="1">
        <v>33.0</v>
      </c>
      <c r="N841" s="1" t="s">
        <v>51</v>
      </c>
      <c r="O841" s="1">
        <v>48.0</v>
      </c>
      <c r="P841" s="1">
        <v>26.0</v>
      </c>
      <c r="Q841" s="1">
        <v>22.0</v>
      </c>
      <c r="R841" s="1">
        <v>22.0</v>
      </c>
      <c r="S841" s="1">
        <v>21.0</v>
      </c>
      <c r="T841" s="1" t="s">
        <v>52</v>
      </c>
      <c r="U841" s="1">
        <v>53.0</v>
      </c>
      <c r="V841" s="1">
        <v>31.0</v>
      </c>
      <c r="W841" s="1">
        <v>31.0</v>
      </c>
      <c r="X841" s="1">
        <v>22.0</v>
      </c>
      <c r="Y841" s="1">
        <v>22.0</v>
      </c>
      <c r="Z841" s="1" t="s">
        <v>53</v>
      </c>
      <c r="AA841" s="1">
        <v>39.0</v>
      </c>
      <c r="AB841" s="1">
        <v>18.0</v>
      </c>
      <c r="AC841" s="1">
        <v>18.0</v>
      </c>
      <c r="AD841" s="1">
        <v>20.0</v>
      </c>
      <c r="AE841" s="1">
        <v>20.0</v>
      </c>
      <c r="AF841" s="1" t="s">
        <v>54</v>
      </c>
      <c r="AG841" s="1">
        <v>53.0</v>
      </c>
      <c r="AH841" s="1">
        <v>30.0</v>
      </c>
      <c r="AI841" s="1">
        <v>26.0</v>
      </c>
      <c r="AJ841" s="1">
        <v>23.0</v>
      </c>
      <c r="AK841" s="1">
        <v>19.0</v>
      </c>
      <c r="AL841" s="1">
        <v>250.0</v>
      </c>
      <c r="AM841" s="1" t="s">
        <v>55</v>
      </c>
      <c r="AN841" s="1" t="s">
        <v>55</v>
      </c>
      <c r="AO841" s="1" t="s">
        <v>523</v>
      </c>
      <c r="AP841" s="1" t="s">
        <v>552</v>
      </c>
      <c r="AQ841" s="3" t="str">
        <f>HYPERLINK("https://icf.clappia.com/app/GMB253374/submission/QYI90426811/ICF247370-GMB253374-2hg44e808nek00000000/SIG-20250630_143918hdie.jpeg", "SIG-20250630_143918hdie.jpeg")</f>
        <v>SIG-20250630_143918hdie.jpeg</v>
      </c>
      <c r="AR841" s="1" t="s">
        <v>553</v>
      </c>
      <c r="AS841" s="3" t="str">
        <f>HYPERLINK("https://icf.clappia.com/app/GMB253374/submission/QYI90426811/ICF247370-GMB253374-lj569afm2lio0000000/SIG-20250630_143914f31j.jpeg", "SIG-20250630_143914f31j.jpeg")</f>
        <v>SIG-20250630_143914f31j.jpeg</v>
      </c>
      <c r="AT841" s="1" t="s">
        <v>554</v>
      </c>
      <c r="AU841" s="3" t="str">
        <f>HYPERLINK("https://icf.clappia.com/app/GMB253374/submission/QYI90426811/ICF247370-GMB253374-2hm0g415l5g600000000/SIG-20250630_1440midpk.jpeg", "SIG-20250630_1440midpk.jpeg")</f>
        <v>SIG-20250630_1440midpk.jpeg</v>
      </c>
      <c r="AV841" s="3" t="str">
        <f>HYPERLINK("https://www.google.com/maps/place/8.8692591%2C-12.1278344", "8.8692591,-12.1278344")</f>
        <v>8.8692591,-12.1278344</v>
      </c>
    </row>
    <row r="842" ht="15.75" customHeight="1">
      <c r="A842" s="1" t="s">
        <v>4170</v>
      </c>
      <c r="B842" s="1" t="s">
        <v>167</v>
      </c>
      <c r="C842" s="1" t="s">
        <v>4171</v>
      </c>
      <c r="D842" s="1" t="s">
        <v>3842</v>
      </c>
      <c r="E842" s="1" t="s">
        <v>4172</v>
      </c>
      <c r="F842" s="1" t="s">
        <v>64</v>
      </c>
      <c r="G842" s="1">
        <v>400.0</v>
      </c>
      <c r="H842" s="1" t="s">
        <v>50</v>
      </c>
      <c r="I842" s="1">
        <v>36.0</v>
      </c>
      <c r="J842" s="1">
        <v>17.0</v>
      </c>
      <c r="K842" s="1">
        <v>17.0</v>
      </c>
      <c r="L842" s="1">
        <v>19.0</v>
      </c>
      <c r="M842" s="1">
        <v>19.0</v>
      </c>
      <c r="N842" s="1" t="s">
        <v>51</v>
      </c>
      <c r="O842" s="1">
        <v>37.0</v>
      </c>
      <c r="P842" s="1">
        <v>16.0</v>
      </c>
      <c r="Q842" s="1">
        <v>16.0</v>
      </c>
      <c r="R842" s="1">
        <v>21.0</v>
      </c>
      <c r="S842" s="1">
        <v>21.0</v>
      </c>
      <c r="T842" s="1" t="s">
        <v>52</v>
      </c>
      <c r="U842" s="1">
        <v>61.0</v>
      </c>
      <c r="V842" s="1">
        <v>30.0</v>
      </c>
      <c r="W842" s="1">
        <v>30.0</v>
      </c>
      <c r="X842" s="1">
        <v>31.0</v>
      </c>
      <c r="Y842" s="1">
        <v>31.0</v>
      </c>
      <c r="Z842" s="1" t="s">
        <v>53</v>
      </c>
      <c r="AA842" s="1">
        <v>75.0</v>
      </c>
      <c r="AB842" s="1">
        <v>36.0</v>
      </c>
      <c r="AC842" s="1">
        <v>36.0</v>
      </c>
      <c r="AD842" s="1">
        <v>39.0</v>
      </c>
      <c r="AE842" s="1">
        <v>39.0</v>
      </c>
      <c r="AF842" s="1" t="s">
        <v>54</v>
      </c>
      <c r="AG842" s="1">
        <v>86.0</v>
      </c>
      <c r="AH842" s="1">
        <v>47.0</v>
      </c>
      <c r="AI842" s="1">
        <v>47.0</v>
      </c>
      <c r="AJ842" s="1">
        <v>39.0</v>
      </c>
      <c r="AK842" s="1">
        <v>39.0</v>
      </c>
      <c r="AL842" s="1">
        <v>295.0</v>
      </c>
      <c r="AM842" s="1">
        <v>10.0</v>
      </c>
      <c r="AN842" s="1">
        <v>95.0</v>
      </c>
      <c r="AO842" s="1">
        <v>95.0</v>
      </c>
      <c r="AP842" s="1" t="s">
        <v>4173</v>
      </c>
      <c r="AQ842" s="3" t="str">
        <f>HYPERLINK("https://icf.clappia.com/app/GMB253374/submission/ASX82955079/ICF247370-GMB253374-5p32ialeha0600000000/SIG-20250630_135511ke3i.jpeg", "SIG-20250630_135511ke3i.jpeg")</f>
        <v>SIG-20250630_135511ke3i.jpeg</v>
      </c>
      <c r="AR842" s="1" t="s">
        <v>4174</v>
      </c>
      <c r="AS842" s="3" t="str">
        <f>HYPERLINK("https://icf.clappia.com/app/GMB253374/submission/ASX82955079/ICF247370-GMB253374-467dimhoobi000000000/SIG-20250630_1356egb94.jpeg", "SIG-20250630_1356egb94.jpeg")</f>
        <v>SIG-20250630_1356egb94.jpeg</v>
      </c>
      <c r="AT842" s="1" t="s">
        <v>4175</v>
      </c>
      <c r="AU842" s="3" t="str">
        <f>HYPERLINK("https://icf.clappia.com/app/GMB253374/submission/ASX82955079/ICF247370-GMB253374-12bio7a7b63040000000/SIG-20250630_1356lnp4i.jpeg", "SIG-20250630_1356lnp4i.jpeg")</f>
        <v>SIG-20250630_1356lnp4i.jpeg</v>
      </c>
      <c r="AV842" s="3" t="str">
        <f>HYPERLINK("https://www.google.com/maps/place/7.9460988%2C-11.7369012", "7.9460988,-11.7369012")</f>
        <v>7.9460988,-11.7369012</v>
      </c>
    </row>
    <row r="843" ht="15.75" customHeight="1">
      <c r="A843" s="1" t="s">
        <v>4176</v>
      </c>
      <c r="B843" s="1" t="s">
        <v>69</v>
      </c>
      <c r="C843" s="1" t="s">
        <v>4177</v>
      </c>
      <c r="D843" s="1" t="s">
        <v>4177</v>
      </c>
      <c r="E843" s="1" t="s">
        <v>4178</v>
      </c>
      <c r="F843" s="1" t="s">
        <v>64</v>
      </c>
      <c r="G843" s="1">
        <v>150.0</v>
      </c>
      <c r="H843" s="1" t="s">
        <v>50</v>
      </c>
      <c r="I843" s="1">
        <v>30.0</v>
      </c>
      <c r="J843" s="1">
        <v>18.0</v>
      </c>
      <c r="K843" s="1">
        <v>18.0</v>
      </c>
      <c r="L843" s="1">
        <v>12.0</v>
      </c>
      <c r="M843" s="1">
        <v>12.0</v>
      </c>
      <c r="N843" s="1" t="s">
        <v>51</v>
      </c>
      <c r="O843" s="1">
        <v>27.0</v>
      </c>
      <c r="P843" s="1">
        <v>16.0</v>
      </c>
      <c r="Q843" s="1">
        <v>14.0</v>
      </c>
      <c r="R843" s="1">
        <v>11.0</v>
      </c>
      <c r="S843" s="1">
        <v>11.0</v>
      </c>
      <c r="T843" s="1" t="s">
        <v>52</v>
      </c>
      <c r="U843" s="1">
        <v>25.0</v>
      </c>
      <c r="V843" s="1">
        <v>15.0</v>
      </c>
      <c r="W843" s="1">
        <v>15.0</v>
      </c>
      <c r="X843" s="1">
        <v>10.0</v>
      </c>
      <c r="Y843" s="1">
        <v>9.0</v>
      </c>
      <c r="Z843" s="1" t="s">
        <v>53</v>
      </c>
      <c r="AA843" s="1">
        <v>26.0</v>
      </c>
      <c r="AB843" s="1">
        <v>17.0</v>
      </c>
      <c r="AC843" s="1">
        <v>16.0</v>
      </c>
      <c r="AD843" s="1">
        <v>9.0</v>
      </c>
      <c r="AE843" s="1">
        <v>5.0</v>
      </c>
      <c r="AF843" s="1" t="s">
        <v>54</v>
      </c>
      <c r="AG843" s="1">
        <v>21.0</v>
      </c>
      <c r="AH843" s="1">
        <v>13.0</v>
      </c>
      <c r="AI843" s="1">
        <v>11.0</v>
      </c>
      <c r="AJ843" s="1">
        <v>8.0</v>
      </c>
      <c r="AK843" s="1">
        <v>7.0</v>
      </c>
      <c r="AL843" s="1">
        <v>118.0</v>
      </c>
      <c r="AM843" s="1">
        <v>10.0</v>
      </c>
      <c r="AN843" s="1">
        <v>22.0</v>
      </c>
      <c r="AO843" s="1">
        <v>22.0</v>
      </c>
      <c r="AP843" s="1" t="s">
        <v>4179</v>
      </c>
      <c r="AQ843" s="3" t="str">
        <f>HYPERLINK("https://icf.clappia.com/app/GMB253374/submission/BPZ63847136/ICF247370-GMB253374-3dd3ibg46hn000000000/SIG-20250630_1432151if4.jpeg", "SIG-20250630_1432151if4.jpeg")</f>
        <v>SIG-20250630_1432151if4.jpeg</v>
      </c>
      <c r="AR843" s="1" t="s">
        <v>4180</v>
      </c>
      <c r="AS843" s="3" t="str">
        <f>HYPERLINK("https://icf.clappia.com/app/GMB253374/submission/BPZ63847136/ICF247370-GMB253374-m8pih0km6li80000000/SIG-20250630_1438ffind.jpeg", "SIG-20250630_1438ffind.jpeg")</f>
        <v>SIG-20250630_1438ffind.jpeg</v>
      </c>
      <c r="AT843" s="1" t="s">
        <v>4181</v>
      </c>
      <c r="AU843" s="3" t="str">
        <f>HYPERLINK("https://icf.clappia.com/app/GMB253374/submission/BPZ63847136/ICF247370-GMB253374-a817hn1o7o720000000/SIG-20250630_143419oceo.jpeg", "SIG-20250630_143419oceo.jpeg")</f>
        <v>SIG-20250630_143419oceo.jpeg</v>
      </c>
      <c r="AV843" s="3" t="str">
        <f>HYPERLINK("https://www.google.com/maps/place/8.8616883%2C-12.09505", "8.8616883,-12.09505")</f>
        <v>8.8616883,-12.09505</v>
      </c>
    </row>
    <row r="844" ht="15.75" customHeight="1">
      <c r="A844" s="1" t="s">
        <v>4182</v>
      </c>
      <c r="B844" s="1" t="s">
        <v>356</v>
      </c>
      <c r="C844" s="1" t="s">
        <v>4183</v>
      </c>
      <c r="D844" s="1" t="s">
        <v>4183</v>
      </c>
      <c r="E844" s="1" t="s">
        <v>4184</v>
      </c>
      <c r="F844" s="1" t="s">
        <v>64</v>
      </c>
      <c r="G844" s="1">
        <v>240.0</v>
      </c>
      <c r="H844" s="1" t="s">
        <v>50</v>
      </c>
      <c r="I844" s="1">
        <v>95.0</v>
      </c>
      <c r="J844" s="1">
        <v>40.0</v>
      </c>
      <c r="K844" s="1">
        <v>21.0</v>
      </c>
      <c r="L844" s="1">
        <v>55.0</v>
      </c>
      <c r="M844" s="1">
        <v>43.0</v>
      </c>
      <c r="N844" s="1" t="s">
        <v>51</v>
      </c>
      <c r="O844" s="1">
        <v>75.0</v>
      </c>
      <c r="P844" s="1">
        <v>33.0</v>
      </c>
      <c r="Q844" s="1">
        <v>19.0</v>
      </c>
      <c r="R844" s="1">
        <v>42.0</v>
      </c>
      <c r="S844" s="1">
        <v>23.0</v>
      </c>
      <c r="T844" s="1" t="s">
        <v>52</v>
      </c>
      <c r="U844" s="1">
        <v>57.0</v>
      </c>
      <c r="V844" s="1">
        <v>25.0</v>
      </c>
      <c r="W844" s="1">
        <v>16.0</v>
      </c>
      <c r="X844" s="1">
        <v>32.0</v>
      </c>
      <c r="Y844" s="1">
        <v>15.0</v>
      </c>
      <c r="Z844" s="1" t="s">
        <v>53</v>
      </c>
      <c r="AA844" s="1">
        <v>38.0</v>
      </c>
      <c r="AB844" s="1">
        <v>14.0</v>
      </c>
      <c r="AC844" s="1">
        <v>7.0</v>
      </c>
      <c r="AD844" s="1">
        <v>24.0</v>
      </c>
      <c r="AE844" s="1">
        <v>18.0</v>
      </c>
      <c r="AF844" s="1" t="s">
        <v>54</v>
      </c>
      <c r="AG844" s="1">
        <v>25.0</v>
      </c>
      <c r="AH844" s="1">
        <v>4.0</v>
      </c>
      <c r="AI844" s="1" t="s">
        <v>55</v>
      </c>
      <c r="AJ844" s="1">
        <v>21.0</v>
      </c>
      <c r="AK844" s="1">
        <v>10.0</v>
      </c>
      <c r="AL844" s="1">
        <v>172.0</v>
      </c>
      <c r="AM844" s="1" t="s">
        <v>55</v>
      </c>
      <c r="AN844" s="1">
        <v>68.0</v>
      </c>
      <c r="AO844" s="1">
        <v>68.0</v>
      </c>
      <c r="AP844" s="1" t="s">
        <v>4185</v>
      </c>
      <c r="AQ844" s="3" t="str">
        <f>HYPERLINK("https://icf.clappia.com/app/GMB253374/submission/QRD40619323/ICF247370-GMB253374-452jk0gggjbe00000000/SIG-20250630_135713acdd.jpeg", "SIG-20250630_135713acdd.jpeg")</f>
        <v>SIG-20250630_135713acdd.jpeg</v>
      </c>
      <c r="AR844" s="1" t="s">
        <v>4186</v>
      </c>
      <c r="AS844" s="3" t="str">
        <f>HYPERLINK("https://icf.clappia.com/app/GMB253374/submission/QRD40619323/ICF247370-GMB253374-edfb93j32h1i0000000/SIG-20250630_14083jbon.jpeg", "SIG-20250630_14083jbon.jpeg")</f>
        <v>SIG-20250630_14083jbon.jpeg</v>
      </c>
      <c r="AT844" s="1" t="s">
        <v>1439</v>
      </c>
      <c r="AU844" s="3" t="str">
        <f>HYPERLINK("https://icf.clappia.com/app/GMB253374/submission/QRD40619323/ICF247370-GMB253374-1nl4l7b1dpjm00000000/SIG-20250630_1436j8i64.jpeg", "SIG-20250630_1436j8i64.jpeg")</f>
        <v>SIG-20250630_1436j8i64.jpeg</v>
      </c>
      <c r="AV844" s="3" t="str">
        <f>HYPERLINK("https://www.google.com/maps/place/8.4152546%2C-11.6669115", "8.4152546,-11.6669115")</f>
        <v>8.4152546,-11.6669115</v>
      </c>
    </row>
    <row r="845" ht="15.75" customHeight="1">
      <c r="A845" s="1" t="s">
        <v>4187</v>
      </c>
      <c r="B845" s="1" t="s">
        <v>167</v>
      </c>
      <c r="C845" s="1" t="s">
        <v>4183</v>
      </c>
      <c r="D845" s="1" t="s">
        <v>4183</v>
      </c>
      <c r="E845" s="1" t="s">
        <v>4188</v>
      </c>
      <c r="F845" s="1" t="s">
        <v>64</v>
      </c>
      <c r="G845" s="1">
        <v>2847.0</v>
      </c>
      <c r="H845" s="1" t="s">
        <v>50</v>
      </c>
      <c r="I845" s="1">
        <v>30.0</v>
      </c>
      <c r="J845" s="1">
        <v>14.0</v>
      </c>
      <c r="K845" s="1">
        <v>14.0</v>
      </c>
      <c r="L845" s="1">
        <v>16.0</v>
      </c>
      <c r="M845" s="1">
        <v>16.0</v>
      </c>
      <c r="N845" s="1" t="s">
        <v>51</v>
      </c>
      <c r="O845" s="1">
        <v>10.0</v>
      </c>
      <c r="P845" s="1">
        <v>7.0</v>
      </c>
      <c r="Q845" s="1">
        <v>7.0</v>
      </c>
      <c r="R845" s="1">
        <v>3.0</v>
      </c>
      <c r="S845" s="1">
        <v>3.0</v>
      </c>
      <c r="T845" s="1" t="s">
        <v>52</v>
      </c>
      <c r="U845" s="1">
        <v>13.0</v>
      </c>
      <c r="V845" s="1">
        <v>7.0</v>
      </c>
      <c r="W845" s="1">
        <v>7.0</v>
      </c>
      <c r="X845" s="1">
        <v>6.0</v>
      </c>
      <c r="Y845" s="1">
        <v>6.0</v>
      </c>
      <c r="Z845" s="1" t="s">
        <v>53</v>
      </c>
      <c r="AA845" s="1">
        <v>10.0</v>
      </c>
      <c r="AB845" s="1">
        <v>7.0</v>
      </c>
      <c r="AC845" s="1">
        <v>7.0</v>
      </c>
      <c r="AD845" s="1">
        <v>3.0</v>
      </c>
      <c r="AE845" s="1">
        <v>3.0</v>
      </c>
      <c r="AF845" s="1" t="s">
        <v>54</v>
      </c>
      <c r="AG845" s="1">
        <v>10.0</v>
      </c>
      <c r="AH845" s="1">
        <v>6.0</v>
      </c>
      <c r="AI845" s="1">
        <v>6.0</v>
      </c>
      <c r="AJ845" s="1">
        <v>4.0</v>
      </c>
      <c r="AK845" s="1">
        <v>4.0</v>
      </c>
      <c r="AL845" s="1">
        <v>73.0</v>
      </c>
      <c r="AM845" s="1">
        <v>10.0</v>
      </c>
      <c r="AN845" s="1">
        <v>2764.0</v>
      </c>
      <c r="AO845" s="1">
        <v>17.0</v>
      </c>
      <c r="AP845" s="1" t="s">
        <v>4189</v>
      </c>
      <c r="AQ845" s="3" t="str">
        <f>HYPERLINK("https://icf.clappia.com/app/GMB253374/submission/GQP18205518/ICF247370-GMB253374-3fek81j50lmm00000000/SIG-20250630_1432egkig.jpeg", "SIG-20250630_1432egkig.jpeg")</f>
        <v>SIG-20250630_1432egkig.jpeg</v>
      </c>
      <c r="AR845" s="1" t="s">
        <v>4190</v>
      </c>
      <c r="AS845" s="3" t="str">
        <f>HYPERLINK("https://icf.clappia.com/app/GMB253374/submission/GQP18205518/ICF247370-GMB253374-29e6dk0da4gpm0000000/SIG-20250630_1433i5054.jpeg", "SIG-20250630_1433i5054.jpeg")</f>
        <v>SIG-20250630_1433i5054.jpeg</v>
      </c>
      <c r="AT845" s="1" t="s">
        <v>3250</v>
      </c>
      <c r="AU845" s="3" t="str">
        <f>HYPERLINK("https://icf.clappia.com/app/GMB253374/submission/GQP18205518/ICF247370-GMB253374-4hec07b5o1kg00000000/SIG-20250630_1434g905.jpeg", "SIG-20250630_1434g905.jpeg")</f>
        <v>SIG-20250630_1434g905.jpeg</v>
      </c>
      <c r="AV845" s="3" t="str">
        <f>HYPERLINK("https://www.google.com/maps/place/7.7263194%2C-11.9071741", "7.7263194,-11.9071741")</f>
        <v>7.7263194,-11.9071741</v>
      </c>
    </row>
    <row r="846" ht="15.75" customHeight="1">
      <c r="A846" s="1" t="s">
        <v>4191</v>
      </c>
      <c r="B846" s="1" t="s">
        <v>60</v>
      </c>
      <c r="C846" s="1" t="s">
        <v>4192</v>
      </c>
      <c r="D846" s="1" t="s">
        <v>4192</v>
      </c>
      <c r="E846" s="1" t="s">
        <v>4193</v>
      </c>
      <c r="F846" s="1" t="s">
        <v>64</v>
      </c>
      <c r="G846" s="1">
        <v>150.0</v>
      </c>
      <c r="H846" s="1" t="s">
        <v>50</v>
      </c>
      <c r="I846" s="1">
        <v>40.0</v>
      </c>
      <c r="J846" s="1">
        <v>19.0</v>
      </c>
      <c r="K846" s="1">
        <v>8.0</v>
      </c>
      <c r="L846" s="1">
        <v>21.0</v>
      </c>
      <c r="M846" s="1">
        <v>10.0</v>
      </c>
      <c r="N846" s="1" t="s">
        <v>51</v>
      </c>
      <c r="O846" s="1">
        <v>58.0</v>
      </c>
      <c r="P846" s="1">
        <v>22.0</v>
      </c>
      <c r="Q846" s="1">
        <v>9.0</v>
      </c>
      <c r="R846" s="1">
        <v>36.0</v>
      </c>
      <c r="S846" s="1">
        <v>19.0</v>
      </c>
      <c r="T846" s="1" t="s">
        <v>52</v>
      </c>
      <c r="U846" s="1">
        <v>43.0</v>
      </c>
      <c r="V846" s="1">
        <v>21.0</v>
      </c>
      <c r="W846" s="1">
        <v>15.0</v>
      </c>
      <c r="X846" s="1">
        <v>22.0</v>
      </c>
      <c r="Y846" s="1">
        <v>14.0</v>
      </c>
      <c r="Z846" s="1" t="s">
        <v>53</v>
      </c>
      <c r="AA846" s="1">
        <v>34.0</v>
      </c>
      <c r="AB846" s="1">
        <v>16.0</v>
      </c>
      <c r="AC846" s="1">
        <v>13.0</v>
      </c>
      <c r="AD846" s="1">
        <v>18.0</v>
      </c>
      <c r="AE846" s="1">
        <v>13.0</v>
      </c>
      <c r="AF846" s="1" t="s">
        <v>54</v>
      </c>
      <c r="AG846" s="1">
        <v>41.0</v>
      </c>
      <c r="AH846" s="1">
        <v>23.0</v>
      </c>
      <c r="AI846" s="1">
        <v>23.0</v>
      </c>
      <c r="AJ846" s="1">
        <v>18.0</v>
      </c>
      <c r="AK846" s="1">
        <v>18.0</v>
      </c>
      <c r="AL846" s="1">
        <v>142.0</v>
      </c>
      <c r="AM846" s="1" t="s">
        <v>55</v>
      </c>
      <c r="AN846" s="1">
        <v>8.0</v>
      </c>
      <c r="AO846" s="1">
        <v>8.0</v>
      </c>
      <c r="AP846" s="1" t="s">
        <v>4194</v>
      </c>
      <c r="AQ846" s="3" t="str">
        <f>HYPERLINK("https://icf.clappia.com/app/GMB253374/submission/IUS27442434/ICF247370-GMB253374-1fpbgl7foj9a00000000/SIG-20250630_1433jjilj.jpeg", "SIG-20250630_1433jjilj.jpeg")</f>
        <v>SIG-20250630_1433jjilj.jpeg</v>
      </c>
      <c r="AR846" s="1" t="s">
        <v>3703</v>
      </c>
      <c r="AS846" s="3" t="str">
        <f>HYPERLINK("https://icf.clappia.com/app/GMB253374/submission/IUS27442434/ICF247370-GMB253374-635078ggn5he00000000/SIG-20250630_143330618.jpeg", "SIG-20250630_143330618.jpeg")</f>
        <v>SIG-20250630_143330618.jpeg</v>
      </c>
      <c r="AT846" s="1" t="s">
        <v>3737</v>
      </c>
      <c r="AU846" s="3" t="str">
        <f>HYPERLINK("https://icf.clappia.com/app/GMB253374/submission/IUS27442434/ICF247370-GMB253374-6o8h3n9no1h20000000/SIG-20250630_1435115jjd.jpeg", "SIG-20250630_1435115jjd.jpeg")</f>
        <v>SIG-20250630_1435115jjd.jpeg</v>
      </c>
      <c r="AV846" s="3" t="str">
        <f>HYPERLINK("https://www.google.com/maps/place/8.8895358%2C-12.0310743", "8.8895358,-12.0310743")</f>
        <v>8.8895358,-12.0310743</v>
      </c>
    </row>
    <row r="847" ht="15.75" customHeight="1">
      <c r="A847" s="1" t="s">
        <v>4195</v>
      </c>
      <c r="B847" s="1" t="s">
        <v>248</v>
      </c>
      <c r="C847" s="1" t="s">
        <v>4192</v>
      </c>
      <c r="D847" s="1" t="s">
        <v>4192</v>
      </c>
      <c r="E847" s="1" t="s">
        <v>4196</v>
      </c>
      <c r="F847" s="1" t="s">
        <v>64</v>
      </c>
      <c r="G847" s="1">
        <v>179.0</v>
      </c>
      <c r="H847" s="1" t="s">
        <v>50</v>
      </c>
      <c r="I847" s="1">
        <v>68.0</v>
      </c>
      <c r="J847" s="1">
        <v>32.0</v>
      </c>
      <c r="K847" s="1">
        <v>32.0</v>
      </c>
      <c r="L847" s="1">
        <v>36.0</v>
      </c>
      <c r="M847" s="1">
        <v>34.0</v>
      </c>
      <c r="N847" s="1" t="s">
        <v>51</v>
      </c>
      <c r="O847" s="1">
        <v>35.0</v>
      </c>
      <c r="P847" s="1">
        <v>15.0</v>
      </c>
      <c r="Q847" s="1">
        <v>13.0</v>
      </c>
      <c r="R847" s="1">
        <v>20.0</v>
      </c>
      <c r="S847" s="1">
        <v>20.0</v>
      </c>
      <c r="T847" s="1" t="s">
        <v>52</v>
      </c>
      <c r="U847" s="1">
        <v>28.0</v>
      </c>
      <c r="V847" s="1">
        <v>11.0</v>
      </c>
      <c r="W847" s="1">
        <v>11.0</v>
      </c>
      <c r="X847" s="1">
        <v>17.0</v>
      </c>
      <c r="Y847" s="1">
        <v>17.0</v>
      </c>
      <c r="Z847" s="1" t="s">
        <v>53</v>
      </c>
      <c r="AA847" s="1">
        <v>22.0</v>
      </c>
      <c r="AB847" s="1">
        <v>10.0</v>
      </c>
      <c r="AC847" s="1">
        <v>10.0</v>
      </c>
      <c r="AD847" s="1">
        <v>12.0</v>
      </c>
      <c r="AE847" s="1">
        <v>11.0</v>
      </c>
      <c r="AF847" s="1" t="s">
        <v>54</v>
      </c>
      <c r="AG847" s="1">
        <v>23.0</v>
      </c>
      <c r="AH847" s="1">
        <v>10.0</v>
      </c>
      <c r="AI847" s="1">
        <v>9.0</v>
      </c>
      <c r="AJ847" s="1">
        <v>13.0</v>
      </c>
      <c r="AK847" s="1">
        <v>12.0</v>
      </c>
      <c r="AL847" s="1">
        <v>169.0</v>
      </c>
      <c r="AM847" s="1">
        <v>10.0</v>
      </c>
      <c r="AN847" s="1" t="s">
        <v>55</v>
      </c>
      <c r="AO847" s="1" t="s">
        <v>55</v>
      </c>
      <c r="AP847" s="1" t="s">
        <v>4197</v>
      </c>
      <c r="AQ847" s="3" t="str">
        <f>HYPERLINK("https://icf.clappia.com/app/GMB253374/submission/DIS60264184/ICF247370-GMB253374-3cfhi4oaod9g00000000/SIG-20250630_111884hi6.jpeg", "SIG-20250630_111884hi6.jpeg")</f>
        <v>SIG-20250630_111884hi6.jpeg</v>
      </c>
      <c r="AR847" s="1" t="s">
        <v>4198</v>
      </c>
      <c r="AS847" s="3" t="str">
        <f>HYPERLINK("https://icf.clappia.com/app/GMB253374/submission/DIS60264184/ICF247370-GMB253374-50ipmahbpjie00000000/SIG-20250630_1123ajb9b.jpeg", "SIG-20250630_1123ajb9b.jpeg")</f>
        <v>SIG-20250630_1123ajb9b.jpeg</v>
      </c>
      <c r="AT847" s="1" t="s">
        <v>504</v>
      </c>
      <c r="AU847" s="3" t="str">
        <f>HYPERLINK("https://icf.clappia.com/app/GMB253374/submission/DIS60264184/ICF247370-GMB253374-35g146f75fo000000000/SIG-20250630_11221016n6.jpeg", "SIG-20250630_11221016n6.jpeg")</f>
        <v>SIG-20250630_11221016n6.jpeg</v>
      </c>
      <c r="AV847" s="3" t="str">
        <f>HYPERLINK("https://www.google.com/maps/place/8.041465%2C-11.341485", "8.041465,-11.341485")</f>
        <v>8.041465,-11.341485</v>
      </c>
    </row>
    <row r="848" ht="15.75" customHeight="1">
      <c r="A848" s="1" t="s">
        <v>4199</v>
      </c>
      <c r="B848" s="1" t="s">
        <v>189</v>
      </c>
      <c r="C848" s="1" t="s">
        <v>4200</v>
      </c>
      <c r="D848" s="1" t="s">
        <v>4200</v>
      </c>
      <c r="E848" s="1" t="s">
        <v>4201</v>
      </c>
      <c r="F848" s="1" t="s">
        <v>64</v>
      </c>
      <c r="G848" s="1">
        <v>550.0</v>
      </c>
      <c r="H848" s="1" t="s">
        <v>50</v>
      </c>
      <c r="I848" s="1">
        <v>114.0</v>
      </c>
      <c r="J848" s="1">
        <v>60.0</v>
      </c>
      <c r="K848" s="1">
        <v>44.0</v>
      </c>
      <c r="L848" s="1">
        <v>54.0</v>
      </c>
      <c r="M848" s="1">
        <v>39.0</v>
      </c>
      <c r="N848" s="1" t="s">
        <v>51</v>
      </c>
      <c r="O848" s="1">
        <v>89.0</v>
      </c>
      <c r="P848" s="1">
        <v>45.0</v>
      </c>
      <c r="Q848" s="1">
        <v>36.0</v>
      </c>
      <c r="R848" s="1">
        <v>44.0</v>
      </c>
      <c r="S848" s="1">
        <v>35.0</v>
      </c>
      <c r="T848" s="1" t="s">
        <v>52</v>
      </c>
      <c r="U848" s="1">
        <v>121.0</v>
      </c>
      <c r="V848" s="1">
        <v>69.0</v>
      </c>
      <c r="W848" s="1">
        <v>48.0</v>
      </c>
      <c r="X848" s="1">
        <v>52.0</v>
      </c>
      <c r="Y848" s="1">
        <v>36.0</v>
      </c>
      <c r="Z848" s="1" t="s">
        <v>53</v>
      </c>
      <c r="AA848" s="1">
        <v>99.0</v>
      </c>
      <c r="AB848" s="1">
        <v>49.0</v>
      </c>
      <c r="AC848" s="1">
        <v>34.0</v>
      </c>
      <c r="AD848" s="1">
        <v>50.0</v>
      </c>
      <c r="AE848" s="1">
        <v>44.0</v>
      </c>
      <c r="AF848" s="1" t="s">
        <v>54</v>
      </c>
      <c r="AG848" s="1">
        <v>114.0</v>
      </c>
      <c r="AH848" s="1">
        <v>48.0</v>
      </c>
      <c r="AI848" s="1">
        <v>31.0</v>
      </c>
      <c r="AJ848" s="1">
        <v>66.0</v>
      </c>
      <c r="AK848" s="1">
        <v>52.0</v>
      </c>
      <c r="AL848" s="1">
        <v>399.0</v>
      </c>
      <c r="AM848" s="1" t="s">
        <v>55</v>
      </c>
      <c r="AN848" s="1">
        <v>151.0</v>
      </c>
      <c r="AO848" s="1">
        <v>151.0</v>
      </c>
      <c r="AP848" s="1" t="s">
        <v>3769</v>
      </c>
      <c r="AQ848" s="3" t="str">
        <f>HYPERLINK("https://icf.clappia.com/app/GMB253374/submission/YCY69220877/ICF247370-GMB253374-m16l2h7efok00000000/SIG-20250630_143013a71k.jpeg", "SIG-20250630_143013a71k.jpeg")</f>
        <v>SIG-20250630_143013a71k.jpeg</v>
      </c>
      <c r="AR848" s="1" t="s">
        <v>4202</v>
      </c>
      <c r="AS848" s="3" t="str">
        <f>HYPERLINK("https://icf.clappia.com/app/GMB253374/submission/YCY69220877/ICF247370-GMB253374-1d35dh043jje00000000/SIG-20250630_143012ihfj.jpeg", "SIG-20250630_143012ihfj.jpeg")</f>
        <v>SIG-20250630_143012ihfj.jpeg</v>
      </c>
      <c r="AT848" s="1" t="s">
        <v>4203</v>
      </c>
      <c r="AU848" s="3" t="str">
        <f>HYPERLINK("https://icf.clappia.com/app/GMB253374/submission/YCY69220877/ICF247370-GMB253374-60k3knldhnmo00000000/SIG-20250630_1431onp26.jpeg", "SIG-20250630_1431onp26.jpeg")</f>
        <v>SIG-20250630_1431onp26.jpeg</v>
      </c>
      <c r="AV848" s="3" t="str">
        <f>HYPERLINK("https://www.google.com/maps/place/8.9041808%2C-12.0402062", "8.9041808,-12.0402062")</f>
        <v>8.9041808,-12.0402062</v>
      </c>
    </row>
    <row r="849" ht="15.75" customHeight="1">
      <c r="A849" s="1" t="s">
        <v>4204</v>
      </c>
      <c r="B849" s="1" t="s">
        <v>60</v>
      </c>
      <c r="C849" s="1" t="s">
        <v>4205</v>
      </c>
      <c r="D849" s="1" t="s">
        <v>4205</v>
      </c>
      <c r="E849" s="1" t="s">
        <v>4206</v>
      </c>
      <c r="F849" s="1" t="s">
        <v>64</v>
      </c>
      <c r="G849" s="1">
        <v>117.0</v>
      </c>
      <c r="H849" s="1" t="s">
        <v>50</v>
      </c>
      <c r="I849" s="1">
        <v>43.0</v>
      </c>
      <c r="J849" s="1">
        <v>26.0</v>
      </c>
      <c r="K849" s="1">
        <v>26.0</v>
      </c>
      <c r="L849" s="1">
        <v>17.0</v>
      </c>
      <c r="M849" s="1">
        <v>17.0</v>
      </c>
      <c r="N849" s="1" t="s">
        <v>51</v>
      </c>
      <c r="O849" s="1">
        <v>18.0</v>
      </c>
      <c r="P849" s="1">
        <v>11.0</v>
      </c>
      <c r="Q849" s="1">
        <v>11.0</v>
      </c>
      <c r="R849" s="1">
        <v>7.0</v>
      </c>
      <c r="S849" s="1">
        <v>7.0</v>
      </c>
      <c r="T849" s="1" t="s">
        <v>52</v>
      </c>
      <c r="U849" s="1">
        <v>19.0</v>
      </c>
      <c r="V849" s="1">
        <v>5.0</v>
      </c>
      <c r="W849" s="1">
        <v>4.0</v>
      </c>
      <c r="X849" s="1">
        <v>14.0</v>
      </c>
      <c r="Y849" s="1">
        <v>14.0</v>
      </c>
      <c r="Z849" s="1" t="s">
        <v>53</v>
      </c>
      <c r="AA849" s="1">
        <v>11.0</v>
      </c>
      <c r="AB849" s="1">
        <v>8.0</v>
      </c>
      <c r="AC849" s="1">
        <v>8.0</v>
      </c>
      <c r="AD849" s="1">
        <v>3.0</v>
      </c>
      <c r="AE849" s="1">
        <v>3.0</v>
      </c>
      <c r="AF849" s="1" t="s">
        <v>54</v>
      </c>
      <c r="AG849" s="1">
        <v>10.0</v>
      </c>
      <c r="AH849" s="1">
        <v>6.0</v>
      </c>
      <c r="AI849" s="1">
        <v>5.0</v>
      </c>
      <c r="AJ849" s="1">
        <v>4.0</v>
      </c>
      <c r="AK849" s="1">
        <v>4.0</v>
      </c>
      <c r="AL849" s="1">
        <v>99.0</v>
      </c>
      <c r="AM849" s="1">
        <v>1.0</v>
      </c>
      <c r="AN849" s="1">
        <v>17.0</v>
      </c>
      <c r="AO849" s="1">
        <v>17.0</v>
      </c>
      <c r="AP849" s="1" t="s">
        <v>4207</v>
      </c>
      <c r="AQ849" s="3" t="str">
        <f>HYPERLINK("https://icf.clappia.com/app/GMB253374/submission/JIL18588290/ICF247370-GMB253374-2c8459aihkmo00000000/SIG-20250630_14236bnel.jpeg", "SIG-20250630_14236bnel.jpeg")</f>
        <v>SIG-20250630_14236bnel.jpeg</v>
      </c>
      <c r="AR849" s="1" t="s">
        <v>1451</v>
      </c>
      <c r="AS849" s="3" t="str">
        <f>HYPERLINK("https://icf.clappia.com/app/GMB253374/submission/JIL18588290/ICF247370-GMB253374-12m1l2a578ndi0000000/SIG-20250630_1424iinb6.jpeg", "SIG-20250630_1424iinb6.jpeg")</f>
        <v>SIG-20250630_1424iinb6.jpeg</v>
      </c>
      <c r="AT849" s="1" t="s">
        <v>4208</v>
      </c>
      <c r="AU849" s="3" t="str">
        <f>HYPERLINK("https://icf.clappia.com/app/GMB253374/submission/JIL18588290/ICF247370-GMB253374-5mb7d2df1a3m00000000/SIG-20250630_14252ehfl.jpeg", "SIG-20250630_14252ehfl.jpeg")</f>
        <v>SIG-20250630_14252ehfl.jpeg</v>
      </c>
      <c r="AV849" s="3" t="str">
        <f>HYPERLINK("https://www.google.com/maps/place/9.284422%2C-11.9545999", "9.284422,-11.9545999")</f>
        <v>9.284422,-11.9545999</v>
      </c>
    </row>
    <row r="850" ht="15.75" customHeight="1">
      <c r="A850" s="1" t="s">
        <v>4209</v>
      </c>
      <c r="B850" s="1" t="s">
        <v>778</v>
      </c>
      <c r="C850" s="1" t="s">
        <v>4210</v>
      </c>
      <c r="D850" s="1" t="s">
        <v>4210</v>
      </c>
      <c r="E850" s="1" t="s">
        <v>4211</v>
      </c>
      <c r="F850" s="1" t="s">
        <v>64</v>
      </c>
      <c r="G850" s="1">
        <v>100.0</v>
      </c>
      <c r="H850" s="1" t="s">
        <v>50</v>
      </c>
      <c r="I850" s="1">
        <v>31.0</v>
      </c>
      <c r="J850" s="1">
        <v>15.0</v>
      </c>
      <c r="K850" s="1">
        <v>15.0</v>
      </c>
      <c r="L850" s="1">
        <v>16.0</v>
      </c>
      <c r="M850" s="1">
        <v>16.0</v>
      </c>
      <c r="N850" s="1" t="s">
        <v>51</v>
      </c>
      <c r="O850" s="1">
        <v>51.0</v>
      </c>
      <c r="P850" s="1">
        <v>25.0</v>
      </c>
      <c r="Q850" s="1">
        <v>25.0</v>
      </c>
      <c r="R850" s="1">
        <v>26.0</v>
      </c>
      <c r="S850" s="1">
        <v>26.0</v>
      </c>
      <c r="T850" s="1" t="s">
        <v>52</v>
      </c>
      <c r="U850" s="1" t="s">
        <v>55</v>
      </c>
      <c r="V850" s="1" t="s">
        <v>55</v>
      </c>
      <c r="W850" s="1" t="s">
        <v>55</v>
      </c>
      <c r="X850" s="1" t="s">
        <v>55</v>
      </c>
      <c r="Y850" s="1" t="s">
        <v>55</v>
      </c>
      <c r="Z850" s="1" t="s">
        <v>53</v>
      </c>
      <c r="AA850" s="1" t="s">
        <v>55</v>
      </c>
      <c r="AB850" s="1" t="s">
        <v>55</v>
      </c>
      <c r="AC850" s="1" t="s">
        <v>55</v>
      </c>
      <c r="AD850" s="1" t="s">
        <v>55</v>
      </c>
      <c r="AE850" s="1" t="s">
        <v>55</v>
      </c>
      <c r="AF850" s="1" t="s">
        <v>54</v>
      </c>
      <c r="AG850" s="1" t="s">
        <v>55</v>
      </c>
      <c r="AH850" s="1" t="s">
        <v>55</v>
      </c>
      <c r="AI850" s="1" t="s">
        <v>55</v>
      </c>
      <c r="AJ850" s="1" t="s">
        <v>55</v>
      </c>
      <c r="AK850" s="1" t="s">
        <v>55</v>
      </c>
      <c r="AL850" s="1">
        <v>82.0</v>
      </c>
      <c r="AM850" s="1" t="s">
        <v>55</v>
      </c>
      <c r="AN850" s="1">
        <v>18.0</v>
      </c>
      <c r="AO850" s="1">
        <v>18.0</v>
      </c>
      <c r="AP850" s="1" t="s">
        <v>1080</v>
      </c>
      <c r="AQ850" s="3" t="str">
        <f>HYPERLINK("https://icf.clappia.com/app/GMB253374/submission/WRK64213694/ICF247370-GMB253374-dklf88ghk9i80000000/SIG-20250630_1203d4o15.jpeg", "SIG-20250630_1203d4o15.jpeg")</f>
        <v>SIG-20250630_1203d4o15.jpeg</v>
      </c>
      <c r="AR850" s="1" t="s">
        <v>1081</v>
      </c>
      <c r="AS850" s="3" t="str">
        <f>HYPERLINK("https://icf.clappia.com/app/GMB253374/submission/WRK64213694/ICF247370-GMB253374-m4m3cg9gf6de000000/SIG-20250630_1201e722o.jpeg", "SIG-20250630_1201e722o.jpeg")</f>
        <v>SIG-20250630_1201e722o.jpeg</v>
      </c>
      <c r="AT850" s="1" t="s">
        <v>1082</v>
      </c>
      <c r="AU850" s="3" t="str">
        <f>HYPERLINK("https://icf.clappia.com/app/GMB253374/submission/WRK64213694/ICF247370-GMB253374-321bmg7haml400000000/SIG-20250630_120216dfp4.jpeg", "SIG-20250630_120216dfp4.jpeg")</f>
        <v>SIG-20250630_120216dfp4.jpeg</v>
      </c>
      <c r="AV850" s="3" t="str">
        <f>HYPERLINK("https://www.google.com/maps/place/7.7848297%2C-11.6504459", "7.7848297,-11.6504459")</f>
        <v>7.7848297,-11.6504459</v>
      </c>
    </row>
    <row r="851" ht="15.75" customHeight="1">
      <c r="A851" s="1" t="s">
        <v>4212</v>
      </c>
      <c r="B851" s="1" t="s">
        <v>60</v>
      </c>
      <c r="C851" s="1" t="s">
        <v>4213</v>
      </c>
      <c r="D851" s="1" t="s">
        <v>4213</v>
      </c>
      <c r="E851" s="1" t="s">
        <v>4214</v>
      </c>
      <c r="F851" s="1" t="s">
        <v>64</v>
      </c>
      <c r="G851" s="1">
        <v>229.0</v>
      </c>
      <c r="H851" s="1" t="s">
        <v>50</v>
      </c>
      <c r="I851" s="1">
        <v>68.0</v>
      </c>
      <c r="J851" s="1">
        <v>30.0</v>
      </c>
      <c r="K851" s="1">
        <v>30.0</v>
      </c>
      <c r="L851" s="1">
        <v>38.0</v>
      </c>
      <c r="M851" s="1">
        <v>36.0</v>
      </c>
      <c r="N851" s="1" t="s">
        <v>51</v>
      </c>
      <c r="O851" s="1">
        <v>50.0</v>
      </c>
      <c r="P851" s="1">
        <v>26.0</v>
      </c>
      <c r="Q851" s="1">
        <v>25.0</v>
      </c>
      <c r="R851" s="1">
        <v>24.0</v>
      </c>
      <c r="S851" s="1">
        <v>24.0</v>
      </c>
      <c r="T851" s="1" t="s">
        <v>52</v>
      </c>
      <c r="U851" s="1">
        <v>33.0</v>
      </c>
      <c r="V851" s="1">
        <v>18.0</v>
      </c>
      <c r="W851" s="1">
        <v>17.0</v>
      </c>
      <c r="X851" s="1">
        <v>15.0</v>
      </c>
      <c r="Y851" s="1">
        <v>15.0</v>
      </c>
      <c r="Z851" s="1" t="s">
        <v>53</v>
      </c>
      <c r="AA851" s="1">
        <v>40.0</v>
      </c>
      <c r="AB851" s="1">
        <v>16.0</v>
      </c>
      <c r="AC851" s="1">
        <v>16.0</v>
      </c>
      <c r="AD851" s="1">
        <v>24.0</v>
      </c>
      <c r="AE851" s="1">
        <v>24.0</v>
      </c>
      <c r="AF851" s="1" t="s">
        <v>54</v>
      </c>
      <c r="AG851" s="1">
        <v>38.0</v>
      </c>
      <c r="AH851" s="1">
        <v>15.0</v>
      </c>
      <c r="AI851" s="1">
        <v>15.0</v>
      </c>
      <c r="AJ851" s="1">
        <v>18.0</v>
      </c>
      <c r="AK851" s="1">
        <v>18.0</v>
      </c>
      <c r="AL851" s="1">
        <v>220.0</v>
      </c>
      <c r="AM851" s="1">
        <v>9.0</v>
      </c>
      <c r="AN851" s="1" t="s">
        <v>55</v>
      </c>
      <c r="AO851" s="1" t="s">
        <v>55</v>
      </c>
      <c r="AP851" s="1" t="s">
        <v>4215</v>
      </c>
      <c r="AQ851" s="3" t="str">
        <f>HYPERLINK("https://icf.clappia.com/app/GMB253374/submission/WND07164550/ICF247370-GMB253374-4pf16e59hd6g00000000/SIG-20250630_141447g6p.jpeg", "SIG-20250630_141447g6p.jpeg")</f>
        <v>SIG-20250630_141447g6p.jpeg</v>
      </c>
      <c r="AR851" s="1" t="s">
        <v>2221</v>
      </c>
      <c r="AS851" s="3" t="str">
        <f>HYPERLINK("https://icf.clappia.com/app/GMB253374/submission/WND07164550/ICF247370-GMB253374-269oaad3npcei0000000/SIG-20250630_1417119762.jpeg", "SIG-20250630_1417119762.jpeg")</f>
        <v>SIG-20250630_1417119762.jpeg</v>
      </c>
      <c r="AT851" s="1" t="s">
        <v>4216</v>
      </c>
      <c r="AU851" s="3" t="str">
        <f>HYPERLINK("https://icf.clappia.com/app/GMB253374/submission/WND07164550/ICF247370-GMB253374-1829kk5dm13e00000000/SIG-20250630_141710pnmm.jpeg", "SIG-20250630_141710pnmm.jpeg")</f>
        <v>SIG-20250630_141710pnmm.jpeg</v>
      </c>
      <c r="AV851" s="3" t="str">
        <f>HYPERLINK("https://www.google.com/maps/place/9.1474574%2C-11.9638736", "9.1474574,-11.9638736")</f>
        <v>9.1474574,-11.9638736</v>
      </c>
    </row>
    <row r="852" ht="15.75" customHeight="1">
      <c r="A852" s="1" t="s">
        <v>4217</v>
      </c>
      <c r="B852" s="1" t="s">
        <v>778</v>
      </c>
      <c r="C852" s="1" t="s">
        <v>4218</v>
      </c>
      <c r="D852" s="1" t="s">
        <v>4218</v>
      </c>
      <c r="E852" s="1" t="s">
        <v>4219</v>
      </c>
      <c r="F852" s="1" t="s">
        <v>64</v>
      </c>
      <c r="G852" s="1">
        <v>200.0</v>
      </c>
      <c r="H852" s="1" t="s">
        <v>50</v>
      </c>
      <c r="I852" s="1">
        <v>83.0</v>
      </c>
      <c r="J852" s="1">
        <v>38.0</v>
      </c>
      <c r="K852" s="1">
        <v>38.0</v>
      </c>
      <c r="L852" s="1">
        <v>45.0</v>
      </c>
      <c r="M852" s="1">
        <v>45.0</v>
      </c>
      <c r="N852" s="1" t="s">
        <v>51</v>
      </c>
      <c r="O852" s="1">
        <v>42.0</v>
      </c>
      <c r="P852" s="1">
        <v>20.0</v>
      </c>
      <c r="Q852" s="1">
        <v>20.0</v>
      </c>
      <c r="R852" s="1">
        <v>22.0</v>
      </c>
      <c r="S852" s="1">
        <v>22.0</v>
      </c>
      <c r="T852" s="1" t="s">
        <v>52</v>
      </c>
      <c r="U852" s="1">
        <v>58.0</v>
      </c>
      <c r="V852" s="1">
        <v>25.0</v>
      </c>
      <c r="W852" s="1">
        <v>25.0</v>
      </c>
      <c r="X852" s="1">
        <v>33.0</v>
      </c>
      <c r="Y852" s="1">
        <v>33.0</v>
      </c>
      <c r="Z852" s="1" t="s">
        <v>53</v>
      </c>
      <c r="AA852" s="1" t="s">
        <v>55</v>
      </c>
      <c r="AB852" s="1" t="s">
        <v>55</v>
      </c>
      <c r="AC852" s="1" t="s">
        <v>55</v>
      </c>
      <c r="AD852" s="1" t="s">
        <v>55</v>
      </c>
      <c r="AE852" s="1" t="s">
        <v>55</v>
      </c>
      <c r="AF852" s="1" t="s">
        <v>54</v>
      </c>
      <c r="AG852" s="1" t="s">
        <v>55</v>
      </c>
      <c r="AH852" s="1" t="s">
        <v>55</v>
      </c>
      <c r="AI852" s="1" t="s">
        <v>55</v>
      </c>
      <c r="AJ852" s="1" t="s">
        <v>55</v>
      </c>
      <c r="AK852" s="1" t="s">
        <v>55</v>
      </c>
      <c r="AL852" s="1">
        <v>183.0</v>
      </c>
      <c r="AM852" s="1" t="s">
        <v>55</v>
      </c>
      <c r="AN852" s="1">
        <v>17.0</v>
      </c>
      <c r="AO852" s="1">
        <v>17.0</v>
      </c>
      <c r="AP852" s="1" t="s">
        <v>781</v>
      </c>
      <c r="AQ852" s="3" t="str">
        <f>HYPERLINK("https://icf.clappia.com/app/GMB253374/submission/HEY22891265/ICF247370-GMB253374-6623lk2nfdae00000000/SIG-20250630_131614ek2m.jpeg", "SIG-20250630_131614ek2m.jpeg")</f>
        <v>SIG-20250630_131614ek2m.jpeg</v>
      </c>
      <c r="AR852" s="1" t="s">
        <v>782</v>
      </c>
      <c r="AS852" s="3" t="str">
        <f>HYPERLINK("https://icf.clappia.com/app/GMB253374/submission/HEY22891265/ICF247370-GMB253374-1ka9inm57n51g0000000/SIG-20250630_1317707oh.jpeg", "SIG-20250630_1317707oh.jpeg")</f>
        <v>SIG-20250630_1317707oh.jpeg</v>
      </c>
      <c r="AT852" s="1" t="s">
        <v>1907</v>
      </c>
      <c r="AU852" s="3" t="str">
        <f>HYPERLINK("https://icf.clappia.com/app/GMB253374/submission/HEY22891265/ICF247370-GMB253374-2ol12l0a2if000000000/SIG-20250630_13558epel.jpeg", "SIG-20250630_13558epel.jpeg")</f>
        <v>SIG-20250630_13558epel.jpeg</v>
      </c>
      <c r="AV852" s="3" t="str">
        <f>HYPERLINK("https://www.google.com/maps/place/7.8072417%2C-11.6388", "7.8072417,-11.6388")</f>
        <v>7.8072417,-11.6388</v>
      </c>
    </row>
    <row r="853" ht="15.75" customHeight="1">
      <c r="A853" s="1" t="s">
        <v>4220</v>
      </c>
      <c r="B853" s="1" t="s">
        <v>438</v>
      </c>
      <c r="C853" s="1" t="s">
        <v>4221</v>
      </c>
      <c r="D853" s="1" t="s">
        <v>4222</v>
      </c>
      <c r="E853" s="1" t="s">
        <v>4223</v>
      </c>
      <c r="F853" s="1" t="s">
        <v>64</v>
      </c>
      <c r="G853" s="1">
        <v>200.0</v>
      </c>
      <c r="H853" s="1" t="s">
        <v>50</v>
      </c>
      <c r="I853" s="1">
        <v>46.0</v>
      </c>
      <c r="J853" s="1">
        <v>27.0</v>
      </c>
      <c r="K853" s="1">
        <v>27.0</v>
      </c>
      <c r="L853" s="1">
        <v>19.0</v>
      </c>
      <c r="M853" s="1">
        <v>19.0</v>
      </c>
      <c r="N853" s="1" t="s">
        <v>51</v>
      </c>
      <c r="O853" s="1">
        <v>50.0</v>
      </c>
      <c r="P853" s="1">
        <v>20.0</v>
      </c>
      <c r="Q853" s="1">
        <v>20.0</v>
      </c>
      <c r="R853" s="1">
        <v>30.0</v>
      </c>
      <c r="S853" s="1">
        <v>30.0</v>
      </c>
      <c r="T853" s="1" t="s">
        <v>52</v>
      </c>
      <c r="U853" s="1">
        <v>62.0</v>
      </c>
      <c r="V853" s="1">
        <v>27.0</v>
      </c>
      <c r="W853" s="1">
        <v>27.0</v>
      </c>
      <c r="X853" s="1">
        <v>35.0</v>
      </c>
      <c r="Y853" s="1">
        <v>35.0</v>
      </c>
      <c r="Z853" s="1" t="s">
        <v>53</v>
      </c>
      <c r="AA853" s="1" t="s">
        <v>55</v>
      </c>
      <c r="AB853" s="1" t="s">
        <v>55</v>
      </c>
      <c r="AC853" s="1" t="s">
        <v>55</v>
      </c>
      <c r="AD853" s="1" t="s">
        <v>55</v>
      </c>
      <c r="AE853" s="1" t="s">
        <v>55</v>
      </c>
      <c r="AF853" s="1" t="s">
        <v>54</v>
      </c>
      <c r="AG853" s="1" t="s">
        <v>55</v>
      </c>
      <c r="AH853" s="1" t="s">
        <v>55</v>
      </c>
      <c r="AI853" s="1" t="s">
        <v>55</v>
      </c>
      <c r="AJ853" s="1" t="s">
        <v>55</v>
      </c>
      <c r="AK853" s="1" t="s">
        <v>55</v>
      </c>
      <c r="AL853" s="1">
        <v>158.0</v>
      </c>
      <c r="AM853" s="1" t="s">
        <v>55</v>
      </c>
      <c r="AN853" s="1">
        <v>42.0</v>
      </c>
      <c r="AO853" s="1">
        <v>42.0</v>
      </c>
      <c r="AP853" s="1" t="s">
        <v>4224</v>
      </c>
      <c r="AQ853" s="3" t="str">
        <f>HYPERLINK("https://icf.clappia.com/app/GMB253374/submission/VYN33065954/ICF247370-GMB253374-2949bfd8o12fg000000/SIG-20250630_1232plden.jpeg", "SIG-20250630_1232plden.jpeg")</f>
        <v>SIG-20250630_1232plden.jpeg</v>
      </c>
      <c r="AR853" s="1" t="s">
        <v>4225</v>
      </c>
      <c r="AS853" s="3" t="str">
        <f>HYPERLINK("https://icf.clappia.com/app/GMB253374/submission/VYN33065954/ICF247370-GMB253374-81d2f8mj5nbi0000000/SIG-20250630_1232117m3m.jpeg", "SIG-20250630_1232117m3m.jpeg")</f>
        <v>SIG-20250630_1232117m3m.jpeg</v>
      </c>
      <c r="AT853" s="1" t="s">
        <v>879</v>
      </c>
      <c r="AU853" s="3" t="str">
        <f>HYPERLINK("https://icf.clappia.com/app/GMB253374/submission/VYN33065954/ICF247370-GMB253374-129hf00bbnmle0000000/SIG-20250630_1235aa7dp.jpeg", "SIG-20250630_1235aa7dp.jpeg")</f>
        <v>SIG-20250630_1235aa7dp.jpeg</v>
      </c>
      <c r="AV853" s="3" t="str">
        <f>HYPERLINK("https://www.google.com/maps/place/7.5783647%2C-11.937838", "7.5783647,-11.937838")</f>
        <v>7.5783647,-11.937838</v>
      </c>
    </row>
    <row r="854" ht="15.75" customHeight="1">
      <c r="A854" s="1" t="s">
        <v>4226</v>
      </c>
      <c r="B854" s="1" t="s">
        <v>690</v>
      </c>
      <c r="C854" s="1" t="s">
        <v>4222</v>
      </c>
      <c r="D854" s="1" t="s">
        <v>4222</v>
      </c>
      <c r="E854" s="1" t="s">
        <v>4227</v>
      </c>
      <c r="F854" s="1" t="s">
        <v>64</v>
      </c>
      <c r="G854" s="1">
        <v>273.0</v>
      </c>
      <c r="H854" s="1" t="s">
        <v>50</v>
      </c>
      <c r="I854" s="1">
        <v>88.0</v>
      </c>
      <c r="J854" s="1">
        <v>38.0</v>
      </c>
      <c r="K854" s="1">
        <v>17.0</v>
      </c>
      <c r="L854" s="1">
        <v>50.0</v>
      </c>
      <c r="M854" s="1">
        <v>19.0</v>
      </c>
      <c r="N854" s="1" t="s">
        <v>51</v>
      </c>
      <c r="O854" s="1">
        <v>36.0</v>
      </c>
      <c r="P854" s="1">
        <v>17.0</v>
      </c>
      <c r="Q854" s="1">
        <v>11.0</v>
      </c>
      <c r="R854" s="1">
        <v>19.0</v>
      </c>
      <c r="S854" s="1">
        <v>11.0</v>
      </c>
      <c r="T854" s="1" t="s">
        <v>52</v>
      </c>
      <c r="U854" s="1">
        <v>35.0</v>
      </c>
      <c r="V854" s="1">
        <v>18.0</v>
      </c>
      <c r="W854" s="1">
        <v>16.0</v>
      </c>
      <c r="X854" s="1">
        <v>17.0</v>
      </c>
      <c r="Y854" s="1">
        <v>15.0</v>
      </c>
      <c r="Z854" s="1" t="s">
        <v>53</v>
      </c>
      <c r="AA854" s="1">
        <v>32.0</v>
      </c>
      <c r="AB854" s="1">
        <v>16.0</v>
      </c>
      <c r="AC854" s="1">
        <v>14.0</v>
      </c>
      <c r="AD854" s="1">
        <v>16.0</v>
      </c>
      <c r="AE854" s="1">
        <v>13.0</v>
      </c>
      <c r="AF854" s="1" t="s">
        <v>54</v>
      </c>
      <c r="AG854" s="1">
        <v>32.0</v>
      </c>
      <c r="AH854" s="1">
        <v>15.0</v>
      </c>
      <c r="AI854" s="1">
        <v>14.0</v>
      </c>
      <c r="AJ854" s="1">
        <v>17.0</v>
      </c>
      <c r="AK854" s="1">
        <v>15.0</v>
      </c>
      <c r="AL854" s="1">
        <v>145.0</v>
      </c>
      <c r="AM854" s="1" t="s">
        <v>55</v>
      </c>
      <c r="AN854" s="1">
        <v>128.0</v>
      </c>
      <c r="AO854" s="1">
        <v>128.0</v>
      </c>
      <c r="AP854" s="1" t="s">
        <v>4228</v>
      </c>
      <c r="AQ854" s="3" t="str">
        <f>HYPERLINK("https://icf.clappia.com/app/GMB253374/submission/TJD87370047/ICF247370-GMB253374-6103k432lboo00000000/SIG-20250630_1414i16m2.jpeg", "SIG-20250630_1414i16m2.jpeg")</f>
        <v>SIG-20250630_1414i16m2.jpeg</v>
      </c>
      <c r="AR854" s="1" t="s">
        <v>3608</v>
      </c>
      <c r="AS854" s="3" t="str">
        <f>HYPERLINK("https://icf.clappia.com/app/GMB253374/submission/TJD87370047/ICF247370-GMB253374-3h514cgncifk00000000/SIG-20250630_1414h5fn1.jpeg", "SIG-20250630_1414h5fn1.jpeg")</f>
        <v>SIG-20250630_1414h5fn1.jpeg</v>
      </c>
      <c r="AT854" s="1" t="s">
        <v>4229</v>
      </c>
      <c r="AU854" s="3" t="str">
        <f>HYPERLINK("https://icf.clappia.com/app/GMB253374/submission/TJD87370047/ICF247370-GMB253374-16e0a721nf57e0000000/SIG-20250630_141415h3gh.jpeg", "SIG-20250630_141415h3gh.jpeg")</f>
        <v>SIG-20250630_141415h3gh.jpeg</v>
      </c>
      <c r="AV854" s="3" t="str">
        <f>HYPERLINK("https://www.google.com/maps/place/8.8733777%2C-12.0576143", "8.8733777,-12.0576143")</f>
        <v>8.8733777,-12.0576143</v>
      </c>
    </row>
    <row r="855" ht="15.75" customHeight="1">
      <c r="A855" s="1" t="s">
        <v>4230</v>
      </c>
      <c r="B855" s="1" t="s">
        <v>438</v>
      </c>
      <c r="C855" s="1" t="s">
        <v>4231</v>
      </c>
      <c r="D855" s="1" t="s">
        <v>4231</v>
      </c>
      <c r="E855" s="1" t="s">
        <v>4232</v>
      </c>
      <c r="F855" s="1" t="s">
        <v>64</v>
      </c>
      <c r="G855" s="1">
        <v>250.0</v>
      </c>
      <c r="H855" s="1" t="s">
        <v>50</v>
      </c>
      <c r="I855" s="1">
        <v>74.0</v>
      </c>
      <c r="J855" s="1">
        <v>36.0</v>
      </c>
      <c r="K855" s="1">
        <v>36.0</v>
      </c>
      <c r="L855" s="1">
        <v>38.0</v>
      </c>
      <c r="M855" s="1">
        <v>38.0</v>
      </c>
      <c r="N855" s="1" t="s">
        <v>51</v>
      </c>
      <c r="O855" s="1">
        <v>80.0</v>
      </c>
      <c r="P855" s="1">
        <v>37.0</v>
      </c>
      <c r="Q855" s="1">
        <v>37.0</v>
      </c>
      <c r="R855" s="1">
        <v>43.0</v>
      </c>
      <c r="S855" s="1">
        <v>40.0</v>
      </c>
      <c r="T855" s="1" t="s">
        <v>52</v>
      </c>
      <c r="U855" s="1">
        <v>51.0</v>
      </c>
      <c r="V855" s="1">
        <v>24.0</v>
      </c>
      <c r="W855" s="1">
        <v>21.0</v>
      </c>
      <c r="X855" s="1">
        <v>27.0</v>
      </c>
      <c r="Y855" s="1">
        <v>25.0</v>
      </c>
      <c r="Z855" s="1" t="s">
        <v>53</v>
      </c>
      <c r="AA855" s="1" t="s">
        <v>55</v>
      </c>
      <c r="AB855" s="1" t="s">
        <v>55</v>
      </c>
      <c r="AC855" s="1" t="s">
        <v>55</v>
      </c>
      <c r="AD855" s="1" t="s">
        <v>55</v>
      </c>
      <c r="AE855" s="1" t="s">
        <v>55</v>
      </c>
      <c r="AF855" s="1" t="s">
        <v>54</v>
      </c>
      <c r="AG855" s="1" t="s">
        <v>55</v>
      </c>
      <c r="AH855" s="1" t="s">
        <v>55</v>
      </c>
      <c r="AI855" s="1" t="s">
        <v>55</v>
      </c>
      <c r="AJ855" s="1" t="s">
        <v>55</v>
      </c>
      <c r="AK855" s="1" t="s">
        <v>55</v>
      </c>
      <c r="AL855" s="1">
        <v>197.0</v>
      </c>
      <c r="AM855" s="1">
        <v>8.0</v>
      </c>
      <c r="AN855" s="1">
        <v>45.0</v>
      </c>
      <c r="AO855" s="1">
        <v>45.0</v>
      </c>
      <c r="AP855" s="1" t="s">
        <v>4233</v>
      </c>
      <c r="AQ855" s="3" t="str">
        <f>HYPERLINK("https://icf.clappia.com/app/GMB253374/submission/KNO64988929/ICF247370-GMB253374-2a25dpb9dneee0000000/SIG-20250630_140410oo9j.jpeg", "SIG-20250630_140410oo9j.jpeg")</f>
        <v>SIG-20250630_140410oo9j.jpeg</v>
      </c>
      <c r="AR855" s="1" t="s">
        <v>4234</v>
      </c>
      <c r="AS855" s="3" t="str">
        <f>HYPERLINK("https://icf.clappia.com/app/GMB253374/submission/KNO64988929/ICF247370-GMB253374-99joan4b05ig0000000/SIG-20250630_140518pf2j.jpeg", "SIG-20250630_140518pf2j.jpeg")</f>
        <v>SIG-20250630_140518pf2j.jpeg</v>
      </c>
      <c r="AT855" s="1" t="s">
        <v>4235</v>
      </c>
      <c r="AU855" s="3" t="str">
        <f>HYPERLINK("https://icf.clappia.com/app/GMB253374/submission/KNO64988929/ICF247370-GMB253374-5443n6co0m6800000000/SIG-20250630_1410593fd.jpeg", "SIG-20250630_1410593fd.jpeg")</f>
        <v>SIG-20250630_1410593fd.jpeg</v>
      </c>
      <c r="AV855" s="3" t="str">
        <f>HYPERLINK("https://www.google.com/maps/place/7.5783647%2C-11.937838", "7.5783647,-11.937838")</f>
        <v>7.5783647,-11.937838</v>
      </c>
    </row>
    <row r="856" ht="15.75" customHeight="1">
      <c r="A856" s="1" t="s">
        <v>4236</v>
      </c>
      <c r="B856" s="1" t="s">
        <v>81</v>
      </c>
      <c r="C856" s="1" t="s">
        <v>4237</v>
      </c>
      <c r="D856" s="1" t="s">
        <v>4237</v>
      </c>
      <c r="E856" s="1" t="s">
        <v>4238</v>
      </c>
      <c r="F856" s="1" t="s">
        <v>49</v>
      </c>
      <c r="G856" s="1">
        <v>100.0</v>
      </c>
      <c r="H856" s="1" t="s">
        <v>50</v>
      </c>
      <c r="I856" s="1">
        <v>38.0</v>
      </c>
      <c r="J856" s="1">
        <v>20.0</v>
      </c>
      <c r="K856" s="1">
        <v>20.0</v>
      </c>
      <c r="L856" s="1">
        <v>18.0</v>
      </c>
      <c r="M856" s="1">
        <v>18.0</v>
      </c>
      <c r="N856" s="1" t="s">
        <v>51</v>
      </c>
      <c r="O856" s="1">
        <v>33.0</v>
      </c>
      <c r="P856" s="1">
        <v>17.0</v>
      </c>
      <c r="Q856" s="1">
        <v>17.0</v>
      </c>
      <c r="R856" s="1">
        <v>16.0</v>
      </c>
      <c r="S856" s="1">
        <v>16.0</v>
      </c>
      <c r="T856" s="1" t="s">
        <v>52</v>
      </c>
      <c r="U856" s="1">
        <v>29.0</v>
      </c>
      <c r="V856" s="1">
        <v>14.0</v>
      </c>
      <c r="W856" s="1">
        <v>14.0</v>
      </c>
      <c r="X856" s="1">
        <v>15.0</v>
      </c>
      <c r="Y856" s="1">
        <v>15.0</v>
      </c>
      <c r="Z856" s="1" t="s">
        <v>53</v>
      </c>
      <c r="AA856" s="1" t="s">
        <v>55</v>
      </c>
      <c r="AB856" s="1" t="s">
        <v>55</v>
      </c>
      <c r="AC856" s="1" t="s">
        <v>55</v>
      </c>
      <c r="AD856" s="1" t="s">
        <v>55</v>
      </c>
      <c r="AE856" s="1" t="s">
        <v>55</v>
      </c>
      <c r="AF856" s="1" t="s">
        <v>54</v>
      </c>
      <c r="AG856" s="1" t="s">
        <v>55</v>
      </c>
      <c r="AH856" s="1" t="s">
        <v>55</v>
      </c>
      <c r="AI856" s="1" t="s">
        <v>55</v>
      </c>
      <c r="AJ856" s="1" t="s">
        <v>55</v>
      </c>
      <c r="AK856" s="1" t="s">
        <v>55</v>
      </c>
      <c r="AL856" s="1">
        <v>100.0</v>
      </c>
      <c r="AM856" s="1" t="s">
        <v>523</v>
      </c>
      <c r="AN856" s="1" t="s">
        <v>55</v>
      </c>
      <c r="AO856" s="1" t="s">
        <v>55</v>
      </c>
      <c r="AP856" s="1" t="s">
        <v>4239</v>
      </c>
      <c r="AQ856" s="3" t="str">
        <f>HYPERLINK("https://icf.clappia.com/app/GMB253374/submission/CEM36444057/ICF247370-GMB253374-69g8cbj8b3m200000000/SIG-20250630_1346h9d43.jpeg", "SIG-20250630_1346h9d43.jpeg")</f>
        <v>SIG-20250630_1346h9d43.jpeg</v>
      </c>
      <c r="AR856" s="1" t="s">
        <v>1114</v>
      </c>
      <c r="AS856" s="3" t="str">
        <f>HYPERLINK("https://icf.clappia.com/app/GMB253374/submission/CEM36444057/ICF247370-GMB253374-35ge08467die00000000/SIG-20250630_13471313k3.jpeg", "SIG-20250630_13471313k3.jpeg")</f>
        <v>SIG-20250630_13471313k3.jpeg</v>
      </c>
      <c r="AT856" s="1" t="s">
        <v>3539</v>
      </c>
      <c r="AU856" s="3" t="str">
        <f>HYPERLINK("https://icf.clappia.com/app/GMB253374/submission/CEM36444057/ICF247370-GMB253374-1gjb47277ikac0000000/SIG-20250630_13579a1de.jpeg", "SIG-20250630_13579a1de.jpeg")</f>
        <v>SIG-20250630_13579a1de.jpeg</v>
      </c>
      <c r="AV856" s="3" t="str">
        <f>HYPERLINK("https://www.google.com/maps/place/7.9518499%2C-11.7371818", "7.9518499,-11.7371818")</f>
        <v>7.9518499,-11.7371818</v>
      </c>
    </row>
    <row r="857" ht="15.75" customHeight="1">
      <c r="A857" s="1" t="s">
        <v>4240</v>
      </c>
      <c r="B857" s="1" t="s">
        <v>189</v>
      </c>
      <c r="C857" s="1" t="s">
        <v>4241</v>
      </c>
      <c r="D857" s="1" t="s">
        <v>4241</v>
      </c>
      <c r="E857" s="1" t="s">
        <v>4242</v>
      </c>
      <c r="F857" s="1" t="s">
        <v>64</v>
      </c>
      <c r="G857" s="1">
        <v>350.0</v>
      </c>
      <c r="H857" s="1" t="s">
        <v>50</v>
      </c>
      <c r="I857" s="1">
        <v>98.0</v>
      </c>
      <c r="J857" s="1">
        <v>49.0</v>
      </c>
      <c r="K857" s="1">
        <v>33.0</v>
      </c>
      <c r="L857" s="1">
        <v>49.0</v>
      </c>
      <c r="M857" s="1">
        <v>22.0</v>
      </c>
      <c r="N857" s="1" t="s">
        <v>51</v>
      </c>
      <c r="O857" s="1">
        <v>94.0</v>
      </c>
      <c r="P857" s="1">
        <v>46.0</v>
      </c>
      <c r="Q857" s="1">
        <v>26.0</v>
      </c>
      <c r="R857" s="1">
        <v>48.0</v>
      </c>
      <c r="S857" s="1">
        <v>33.0</v>
      </c>
      <c r="T857" s="1" t="s">
        <v>52</v>
      </c>
      <c r="U857" s="1">
        <v>90.0</v>
      </c>
      <c r="V857" s="1">
        <v>47.0</v>
      </c>
      <c r="W857" s="1">
        <v>30.0</v>
      </c>
      <c r="X857" s="1">
        <v>43.0</v>
      </c>
      <c r="Y857" s="1">
        <v>24.0</v>
      </c>
      <c r="Z857" s="1" t="s">
        <v>53</v>
      </c>
      <c r="AA857" s="1">
        <v>100.0</v>
      </c>
      <c r="AB857" s="1">
        <v>39.0</v>
      </c>
      <c r="AC857" s="1">
        <v>19.0</v>
      </c>
      <c r="AD857" s="1">
        <v>61.0</v>
      </c>
      <c r="AE857" s="1">
        <v>25.0</v>
      </c>
      <c r="AF857" s="1" t="s">
        <v>54</v>
      </c>
      <c r="AG857" s="1">
        <v>124.0</v>
      </c>
      <c r="AH857" s="1">
        <v>45.0</v>
      </c>
      <c r="AI857" s="1">
        <v>34.0</v>
      </c>
      <c r="AJ857" s="1">
        <v>79.0</v>
      </c>
      <c r="AK857" s="1">
        <v>30.0</v>
      </c>
      <c r="AL857" s="1">
        <v>276.0</v>
      </c>
      <c r="AM857" s="1" t="s">
        <v>523</v>
      </c>
      <c r="AN857" s="1">
        <v>74.0</v>
      </c>
      <c r="AO857" s="1">
        <v>74.0</v>
      </c>
      <c r="AP857" s="1" t="s">
        <v>4243</v>
      </c>
      <c r="AQ857" s="3" t="str">
        <f>HYPERLINK("https://icf.clappia.com/app/GMB253374/submission/EZI96901648/ICF247370-GMB253374-4jbja73epnhc00000000/SIG-20250630_140913i7d.jpeg", "SIG-20250630_140913i7d.jpeg")</f>
        <v>SIG-20250630_140913i7d.jpeg</v>
      </c>
      <c r="AR857" s="1" t="s">
        <v>4244</v>
      </c>
      <c r="AS857" s="3" t="str">
        <f>HYPERLINK("https://icf.clappia.com/app/GMB253374/submission/EZI96901648/ICF247370-GMB253374-6acdb1014o2g00000000/SIG-20250630_1410ll9b3.jpeg", "SIG-20250630_1410ll9b3.jpeg")</f>
        <v>SIG-20250630_1410ll9b3.jpeg</v>
      </c>
      <c r="AT857" s="1" t="s">
        <v>4245</v>
      </c>
      <c r="AU857" s="3" t="str">
        <f>HYPERLINK("https://icf.clappia.com/app/GMB253374/submission/EZI96901648/ICF247370-GMB253374-51l9b7b4e0na00000000/SIG-20250630_1411ol014.jpeg", "SIG-20250630_1411ol014.jpeg")</f>
        <v>SIG-20250630_1411ol014.jpeg</v>
      </c>
      <c r="AV857" s="3" t="str">
        <f>HYPERLINK("https://www.google.com/maps/place/8.8771967%2C-12.0452167", "8.8771967,-12.0452167")</f>
        <v>8.8771967,-12.0452167</v>
      </c>
    </row>
    <row r="858" ht="15.75" customHeight="1">
      <c r="A858" s="1" t="s">
        <v>4246</v>
      </c>
      <c r="B858" s="1" t="s">
        <v>81</v>
      </c>
      <c r="C858" s="1" t="s">
        <v>4247</v>
      </c>
      <c r="D858" s="1" t="s">
        <v>4247</v>
      </c>
      <c r="E858" s="1" t="s">
        <v>4248</v>
      </c>
      <c r="F858" s="1" t="s">
        <v>64</v>
      </c>
      <c r="G858" s="1">
        <v>140.0</v>
      </c>
      <c r="H858" s="1" t="s">
        <v>50</v>
      </c>
      <c r="I858" s="1">
        <v>10.0</v>
      </c>
      <c r="J858" s="1">
        <v>5.0</v>
      </c>
      <c r="K858" s="1">
        <v>3.0</v>
      </c>
      <c r="L858" s="1">
        <v>5.0</v>
      </c>
      <c r="M858" s="1">
        <v>5.0</v>
      </c>
      <c r="N858" s="1" t="s">
        <v>51</v>
      </c>
      <c r="O858" s="1">
        <v>5.0</v>
      </c>
      <c r="P858" s="1">
        <v>2.0</v>
      </c>
      <c r="Q858" s="1">
        <v>2.0</v>
      </c>
      <c r="R858" s="1">
        <v>3.0</v>
      </c>
      <c r="S858" s="1">
        <v>3.0</v>
      </c>
      <c r="T858" s="1" t="s">
        <v>52</v>
      </c>
      <c r="U858" s="1">
        <v>2.0</v>
      </c>
      <c r="V858" s="1" t="s">
        <v>55</v>
      </c>
      <c r="W858" s="1" t="s">
        <v>55</v>
      </c>
      <c r="X858" s="1">
        <v>2.0</v>
      </c>
      <c r="Y858" s="1">
        <v>2.0</v>
      </c>
      <c r="Z858" s="1" t="s">
        <v>53</v>
      </c>
      <c r="AA858" s="1">
        <v>1.0</v>
      </c>
      <c r="AB858" s="1">
        <v>1.0</v>
      </c>
      <c r="AC858" s="1">
        <v>1.0</v>
      </c>
      <c r="AD858" s="1" t="s">
        <v>55</v>
      </c>
      <c r="AE858" s="1" t="s">
        <v>55</v>
      </c>
      <c r="AF858" s="1" t="s">
        <v>54</v>
      </c>
      <c r="AG858" s="1">
        <v>4.0</v>
      </c>
      <c r="AH858" s="1">
        <v>3.0</v>
      </c>
      <c r="AI858" s="1">
        <v>3.0</v>
      </c>
      <c r="AJ858" s="1">
        <v>1.0</v>
      </c>
      <c r="AK858" s="1">
        <v>1.0</v>
      </c>
      <c r="AL858" s="1">
        <v>20.0</v>
      </c>
      <c r="AM858" s="1">
        <v>2.0</v>
      </c>
      <c r="AN858" s="1">
        <v>118.0</v>
      </c>
      <c r="AO858" s="1">
        <v>118.0</v>
      </c>
      <c r="AP858" s="1" t="s">
        <v>4249</v>
      </c>
      <c r="AQ858" s="3" t="str">
        <f>HYPERLINK("https://icf.clappia.com/app/GMB253374/submission/BVT49753515/ICF247370-GMB253374-18diha8amfp200000000/SIG-20250630_1409144je1.jpeg", "SIG-20250630_1409144je1.jpeg")</f>
        <v>SIG-20250630_1409144je1.jpeg</v>
      </c>
      <c r="AR858" s="1" t="s">
        <v>4250</v>
      </c>
      <c r="AS858" s="3" t="str">
        <f>HYPERLINK("https://icf.clappia.com/app/GMB253374/submission/BVT49753515/ICF247370-GMB253374-1oi0i5fc879eo0000000/SIG-20250630_1410nbfml.jpeg", "SIG-20250630_1410nbfml.jpeg")</f>
        <v>SIG-20250630_1410nbfml.jpeg</v>
      </c>
      <c r="AT858" s="1" t="s">
        <v>234</v>
      </c>
      <c r="AU858" s="3" t="str">
        <f>HYPERLINK("https://icf.clappia.com/app/GMB253374/submission/BVT49753515/ICF247370-GMB253374-onc7acgme2240000000/SIG-20250630_1410l8337.jpeg", "SIG-20250630_1410l8337.jpeg")</f>
        <v>SIG-20250630_1410l8337.jpeg</v>
      </c>
      <c r="AV858" s="3" t="str">
        <f>HYPERLINK("https://www.google.com/maps/place/7.9654561%2C-11.7500715", "7.9654561,-11.7500715")</f>
        <v>7.9654561,-11.7500715</v>
      </c>
    </row>
    <row r="859" ht="15.75" customHeight="1">
      <c r="A859" s="1" t="s">
        <v>4251</v>
      </c>
      <c r="B859" s="1" t="s">
        <v>102</v>
      </c>
      <c r="C859" s="1" t="s">
        <v>4252</v>
      </c>
      <c r="D859" s="1" t="s">
        <v>4252</v>
      </c>
      <c r="E859" s="1" t="s">
        <v>4253</v>
      </c>
      <c r="F859" s="1" t="s">
        <v>64</v>
      </c>
      <c r="G859" s="1">
        <v>166.0</v>
      </c>
      <c r="H859" s="1" t="s">
        <v>50</v>
      </c>
      <c r="I859" s="1">
        <v>51.0</v>
      </c>
      <c r="J859" s="1">
        <v>21.0</v>
      </c>
      <c r="K859" s="1">
        <v>21.0</v>
      </c>
      <c r="L859" s="1">
        <v>30.0</v>
      </c>
      <c r="M859" s="1">
        <v>30.0</v>
      </c>
      <c r="N859" s="1" t="s">
        <v>51</v>
      </c>
      <c r="O859" s="1">
        <v>25.0</v>
      </c>
      <c r="P859" s="1">
        <v>15.0</v>
      </c>
      <c r="Q859" s="1">
        <v>15.0</v>
      </c>
      <c r="R859" s="1">
        <v>10.0</v>
      </c>
      <c r="S859" s="1">
        <v>10.0</v>
      </c>
      <c r="T859" s="1" t="s">
        <v>52</v>
      </c>
      <c r="U859" s="1">
        <v>30.0</v>
      </c>
      <c r="V859" s="1">
        <v>12.0</v>
      </c>
      <c r="W859" s="1">
        <v>12.0</v>
      </c>
      <c r="X859" s="1">
        <v>18.0</v>
      </c>
      <c r="Y859" s="1">
        <v>18.0</v>
      </c>
      <c r="Z859" s="1" t="s">
        <v>53</v>
      </c>
      <c r="AA859" s="1">
        <v>33.0</v>
      </c>
      <c r="AB859" s="1">
        <v>15.0</v>
      </c>
      <c r="AC859" s="1">
        <v>15.0</v>
      </c>
      <c r="AD859" s="1">
        <v>18.0</v>
      </c>
      <c r="AE859" s="1">
        <v>18.0</v>
      </c>
      <c r="AF859" s="1" t="s">
        <v>54</v>
      </c>
      <c r="AG859" s="1">
        <v>27.0</v>
      </c>
      <c r="AH859" s="1">
        <v>11.0</v>
      </c>
      <c r="AI859" s="1">
        <v>11.0</v>
      </c>
      <c r="AJ859" s="1">
        <v>16.0</v>
      </c>
      <c r="AK859" s="1">
        <v>16.0</v>
      </c>
      <c r="AL859" s="1">
        <v>166.0</v>
      </c>
      <c r="AM859" s="1" t="s">
        <v>55</v>
      </c>
      <c r="AN859" s="1" t="s">
        <v>55</v>
      </c>
      <c r="AO859" s="1" t="s">
        <v>55</v>
      </c>
      <c r="AP859" s="1" t="s">
        <v>1934</v>
      </c>
      <c r="AQ859" s="3" t="str">
        <f>HYPERLINK("https://icf.clappia.com/app/GMB253374/submission/AJR72097410/ICF247370-GMB253374-5b093ilfb48600000000/SIG-20250630_1408fm0e6.jpeg", "SIG-20250630_1408fm0e6.jpeg")</f>
        <v>SIG-20250630_1408fm0e6.jpeg</v>
      </c>
      <c r="AR859" s="1" t="s">
        <v>4254</v>
      </c>
      <c r="AS859" s="3" t="str">
        <f>HYPERLINK("https://icf.clappia.com/app/GMB253374/submission/AJR72097410/ICF247370-GMB253374-1g0eo4jkeojbm0000000/SIG-20250630_1408o6m67.jpeg", "SIG-20250630_1408o6m67.jpeg")</f>
        <v>SIG-20250630_1408o6m67.jpeg</v>
      </c>
      <c r="AT859" s="1" t="s">
        <v>4255</v>
      </c>
      <c r="AU859" s="3" t="str">
        <f>HYPERLINK("https://icf.clappia.com/app/GMB253374/submission/AJR72097410/ICF247370-GMB253374-2mhljpma49ia00000000/SIG-20250630_140916d512.jpeg", "SIG-20250630_140916d512.jpeg")</f>
        <v>SIG-20250630_140916d512.jpeg</v>
      </c>
      <c r="AV859" s="3" t="str">
        <f>HYPERLINK("https://www.google.com/maps/place/9.1318483%2C-12.0099617", "9.1318483,-12.0099617")</f>
        <v>9.1318483,-12.0099617</v>
      </c>
    </row>
    <row r="860" ht="15.75" customHeight="1">
      <c r="A860" s="1" t="s">
        <v>4256</v>
      </c>
      <c r="B860" s="1" t="s">
        <v>167</v>
      </c>
      <c r="C860" s="1" t="s">
        <v>4257</v>
      </c>
      <c r="D860" s="1" t="s">
        <v>4252</v>
      </c>
      <c r="E860" s="1" t="s">
        <v>4258</v>
      </c>
      <c r="F860" s="1" t="s">
        <v>64</v>
      </c>
      <c r="G860" s="1">
        <v>320.0</v>
      </c>
      <c r="H860" s="1" t="s">
        <v>50</v>
      </c>
      <c r="I860" s="1">
        <v>57.0</v>
      </c>
      <c r="J860" s="1">
        <v>24.0</v>
      </c>
      <c r="K860" s="1">
        <v>24.0</v>
      </c>
      <c r="L860" s="1">
        <v>33.0</v>
      </c>
      <c r="M860" s="1">
        <v>33.0</v>
      </c>
      <c r="N860" s="1" t="s">
        <v>51</v>
      </c>
      <c r="O860" s="1">
        <v>36.0</v>
      </c>
      <c r="P860" s="1">
        <v>21.0</v>
      </c>
      <c r="Q860" s="1">
        <v>21.0</v>
      </c>
      <c r="R860" s="1">
        <v>15.0</v>
      </c>
      <c r="S860" s="1">
        <v>15.0</v>
      </c>
      <c r="T860" s="1" t="s">
        <v>52</v>
      </c>
      <c r="U860" s="1">
        <v>53.0</v>
      </c>
      <c r="V860" s="1">
        <v>27.0</v>
      </c>
      <c r="W860" s="1">
        <v>26.0</v>
      </c>
      <c r="X860" s="1">
        <v>26.0</v>
      </c>
      <c r="Y860" s="1">
        <v>23.0</v>
      </c>
      <c r="Z860" s="1" t="s">
        <v>53</v>
      </c>
      <c r="AA860" s="1">
        <v>35.0</v>
      </c>
      <c r="AB860" s="1">
        <v>18.0</v>
      </c>
      <c r="AC860" s="1">
        <v>17.0</v>
      </c>
      <c r="AD860" s="1">
        <v>17.0</v>
      </c>
      <c r="AE860" s="1">
        <v>17.0</v>
      </c>
      <c r="AF860" s="1" t="s">
        <v>54</v>
      </c>
      <c r="AG860" s="1">
        <v>36.0</v>
      </c>
      <c r="AH860" s="1">
        <v>14.0</v>
      </c>
      <c r="AI860" s="1">
        <v>13.0</v>
      </c>
      <c r="AJ860" s="1">
        <v>22.0</v>
      </c>
      <c r="AK860" s="1">
        <v>20.0</v>
      </c>
      <c r="AL860" s="1">
        <v>209.0</v>
      </c>
      <c r="AM860" s="1">
        <v>8.0</v>
      </c>
      <c r="AN860" s="1">
        <v>103.0</v>
      </c>
      <c r="AO860" s="1">
        <v>103.0</v>
      </c>
      <c r="AP860" s="1" t="s">
        <v>1475</v>
      </c>
      <c r="AQ860" s="3" t="str">
        <f>HYPERLINK("https://icf.clappia.com/app/GMB253374/submission/LVH09280333/ICF247370-GMB253374-p55ahnefk35i0000000/SIG-20250630_14071f5og.jpeg", "SIG-20250630_14071f5og.jpeg")</f>
        <v>SIG-20250630_14071f5og.jpeg</v>
      </c>
      <c r="AR860" s="1" t="s">
        <v>1476</v>
      </c>
      <c r="AS860" s="3" t="str">
        <f>HYPERLINK("https://icf.clappia.com/app/GMB253374/submission/LVH09280333/ICF247370-GMB253374-5o5bhm40c3de00000000/SIG-20250630_14085ak0o.jpeg", "SIG-20250630_14085ak0o.jpeg")</f>
        <v>SIG-20250630_14085ak0o.jpeg</v>
      </c>
      <c r="AT860" s="1" t="s">
        <v>1477</v>
      </c>
      <c r="AU860" s="3" t="str">
        <f>HYPERLINK("https://icf.clappia.com/app/GMB253374/submission/LVH09280333/ICF247370-GMB253374-62ae73imf08800000000/SIG-20250630_1409maink.jpeg", "SIG-20250630_1409maink.jpeg")</f>
        <v>SIG-20250630_1409maink.jpeg</v>
      </c>
      <c r="AV860" s="3" t="str">
        <f>HYPERLINK("https://www.google.com/maps/place/7.9175796%2C-11.7522074", "7.9175796,-11.7522074")</f>
        <v>7.9175796,-11.7522074</v>
      </c>
    </row>
    <row r="861" ht="15.75" customHeight="1">
      <c r="A861" s="1" t="s">
        <v>4259</v>
      </c>
      <c r="B861" s="1" t="s">
        <v>690</v>
      </c>
      <c r="C861" s="1" t="s">
        <v>4252</v>
      </c>
      <c r="D861" s="1" t="s">
        <v>4252</v>
      </c>
      <c r="E861" s="1" t="s">
        <v>4260</v>
      </c>
      <c r="F861" s="1" t="s">
        <v>64</v>
      </c>
      <c r="G861" s="1">
        <v>303.0</v>
      </c>
      <c r="H861" s="1" t="s">
        <v>50</v>
      </c>
      <c r="I861" s="1">
        <v>59.0</v>
      </c>
      <c r="J861" s="1">
        <v>33.0</v>
      </c>
      <c r="K861" s="1">
        <v>24.0</v>
      </c>
      <c r="L861" s="1">
        <v>26.0</v>
      </c>
      <c r="M861" s="1">
        <v>24.0</v>
      </c>
      <c r="N861" s="1" t="s">
        <v>51</v>
      </c>
      <c r="O861" s="1">
        <v>67.0</v>
      </c>
      <c r="P861" s="1">
        <v>35.0</v>
      </c>
      <c r="Q861" s="1">
        <v>32.0</v>
      </c>
      <c r="R861" s="1">
        <v>32.0</v>
      </c>
      <c r="S861" s="1">
        <v>25.0</v>
      </c>
      <c r="T861" s="1" t="s">
        <v>52</v>
      </c>
      <c r="U861" s="1">
        <v>36.0</v>
      </c>
      <c r="V861" s="1">
        <v>19.0</v>
      </c>
      <c r="W861" s="1">
        <v>18.0</v>
      </c>
      <c r="X861" s="1">
        <v>17.0</v>
      </c>
      <c r="Y861" s="1">
        <v>14.0</v>
      </c>
      <c r="Z861" s="1" t="s">
        <v>53</v>
      </c>
      <c r="AA861" s="1">
        <v>35.0</v>
      </c>
      <c r="AB861" s="1">
        <v>15.0</v>
      </c>
      <c r="AC861" s="1">
        <v>11.0</v>
      </c>
      <c r="AD861" s="1">
        <v>20.0</v>
      </c>
      <c r="AE861" s="1">
        <v>18.0</v>
      </c>
      <c r="AF861" s="1" t="s">
        <v>54</v>
      </c>
      <c r="AG861" s="1">
        <v>26.0</v>
      </c>
      <c r="AH861" s="1">
        <v>9.0</v>
      </c>
      <c r="AI861" s="1">
        <v>4.0</v>
      </c>
      <c r="AJ861" s="1">
        <v>17.0</v>
      </c>
      <c r="AK861" s="1">
        <v>17.0</v>
      </c>
      <c r="AL861" s="1">
        <v>187.0</v>
      </c>
      <c r="AM861" s="1">
        <v>10.0</v>
      </c>
      <c r="AN861" s="1">
        <v>106.0</v>
      </c>
      <c r="AO861" s="1">
        <v>106.0</v>
      </c>
      <c r="AP861" s="1" t="s">
        <v>4261</v>
      </c>
      <c r="AQ861" s="3" t="str">
        <f>HYPERLINK("https://icf.clappia.com/app/GMB253374/submission/ZJF29646082/ICF247370-GMB253374-56kad24jkd5m00000000/SIG-20250630_1155ihond.jpeg", "SIG-20250630_1155ihond.jpeg")</f>
        <v>SIG-20250630_1155ihond.jpeg</v>
      </c>
      <c r="AR861" s="1" t="s">
        <v>1311</v>
      </c>
      <c r="AS861" s="3" t="str">
        <f>HYPERLINK("https://icf.clappia.com/app/GMB253374/submission/ZJF29646082/ICF247370-GMB253374-loh4c47c93a80000000/SIG-20250630_1305pdk02.jpeg", "SIG-20250630_1305pdk02.jpeg")</f>
        <v>SIG-20250630_1305pdk02.jpeg</v>
      </c>
      <c r="AT861" s="1" t="s">
        <v>3524</v>
      </c>
      <c r="AU861" s="3" t="str">
        <f>HYPERLINK("https://icf.clappia.com/app/GMB253374/submission/ZJF29646082/ICF247370-GMB253374-4i9opl72d5m400000000/SIG-20250630_135613411n.jpeg", "SIG-20250630_135613411n.jpeg")</f>
        <v>SIG-20250630_135613411n.jpeg</v>
      </c>
      <c r="AV861" s="3" t="str">
        <f>HYPERLINK("https://www.google.com/maps/place/8.8376254%2C-12.0484436", "8.8376254,-12.0484436")</f>
        <v>8.8376254,-12.0484436</v>
      </c>
    </row>
    <row r="862" ht="15.75" customHeight="1">
      <c r="A862" s="1" t="s">
        <v>4262</v>
      </c>
      <c r="B862" s="1" t="s">
        <v>161</v>
      </c>
      <c r="C862" s="1" t="s">
        <v>4252</v>
      </c>
      <c r="D862" s="1" t="s">
        <v>4252</v>
      </c>
      <c r="E862" s="1" t="s">
        <v>4263</v>
      </c>
      <c r="F862" s="1" t="s">
        <v>64</v>
      </c>
      <c r="G862" s="1">
        <v>150.0</v>
      </c>
      <c r="H862" s="1" t="s">
        <v>50</v>
      </c>
      <c r="I862" s="1">
        <v>50.0</v>
      </c>
      <c r="J862" s="1">
        <v>27.0</v>
      </c>
      <c r="K862" s="1">
        <v>16.0</v>
      </c>
      <c r="L862" s="1">
        <v>23.0</v>
      </c>
      <c r="M862" s="1">
        <v>9.0</v>
      </c>
      <c r="N862" s="1" t="s">
        <v>51</v>
      </c>
      <c r="O862" s="1">
        <v>24.0</v>
      </c>
      <c r="P862" s="1">
        <v>5.0</v>
      </c>
      <c r="Q862" s="1">
        <v>4.0</v>
      </c>
      <c r="R862" s="1">
        <v>19.0</v>
      </c>
      <c r="S862" s="1">
        <v>10.0</v>
      </c>
      <c r="T862" s="1" t="s">
        <v>52</v>
      </c>
      <c r="U862" s="1">
        <v>25.0</v>
      </c>
      <c r="V862" s="1">
        <v>10.0</v>
      </c>
      <c r="W862" s="1">
        <v>7.0</v>
      </c>
      <c r="X862" s="1">
        <v>15.0</v>
      </c>
      <c r="Y862" s="1">
        <v>6.0</v>
      </c>
      <c r="Z862" s="1" t="s">
        <v>53</v>
      </c>
      <c r="AA862" s="1">
        <v>16.0</v>
      </c>
      <c r="AB862" s="1">
        <v>5.0</v>
      </c>
      <c r="AC862" s="1">
        <v>5.0</v>
      </c>
      <c r="AD862" s="1">
        <v>11.0</v>
      </c>
      <c r="AE862" s="1">
        <v>10.0</v>
      </c>
      <c r="AF862" s="1" t="s">
        <v>54</v>
      </c>
      <c r="AG862" s="1">
        <v>31.0</v>
      </c>
      <c r="AH862" s="1">
        <v>15.0</v>
      </c>
      <c r="AI862" s="1">
        <v>10.0</v>
      </c>
      <c r="AJ862" s="1">
        <v>16.0</v>
      </c>
      <c r="AK862" s="1">
        <v>15.0</v>
      </c>
      <c r="AL862" s="1">
        <v>92.0</v>
      </c>
      <c r="AM862" s="1" t="s">
        <v>55</v>
      </c>
      <c r="AN862" s="1">
        <v>58.0</v>
      </c>
      <c r="AO862" s="1">
        <v>58.0</v>
      </c>
      <c r="AP862" s="1" t="s">
        <v>4264</v>
      </c>
      <c r="AQ862" s="3" t="str">
        <f>HYPERLINK("https://icf.clappia.com/app/GMB253374/submission/YJN97236634/ICF247370-GMB253374-hld7k0lfkp2g0000000/SIG-20250630_135417ojea.jpeg", "SIG-20250630_135417ojea.jpeg")</f>
        <v>SIG-20250630_135417ojea.jpeg</v>
      </c>
      <c r="AR862" s="1" t="s">
        <v>4265</v>
      </c>
      <c r="AS862" s="3" t="str">
        <f>HYPERLINK("https://icf.clappia.com/app/GMB253374/submission/YJN97236634/ICF247370-GMB253374-40nc6jkelmn000000000/SIG-20250630_1355dkijm.jpeg", "SIG-20250630_1355dkijm.jpeg")</f>
        <v>SIG-20250630_1355dkijm.jpeg</v>
      </c>
      <c r="AT862" s="1" t="s">
        <v>4266</v>
      </c>
      <c r="AU862" s="3" t="str">
        <f>HYPERLINK("https://icf.clappia.com/app/GMB253374/submission/YJN97236634/ICF247370-GMB253374-11f29jbgk1lj60000000/SIG-20250630_13546cklh.jpeg", "SIG-20250630_13546cklh.jpeg")</f>
        <v>SIG-20250630_13546cklh.jpeg</v>
      </c>
      <c r="AV862" s="3" t="str">
        <f>HYPERLINK("https://www.google.com/maps/place/7.9342014%2C-11.7201738", "7.9342014,-11.7201738")</f>
        <v>7.9342014,-11.7201738</v>
      </c>
    </row>
    <row r="863" ht="15.75" customHeight="1">
      <c r="A863" s="1" t="s">
        <v>4267</v>
      </c>
      <c r="B863" s="1" t="s">
        <v>81</v>
      </c>
      <c r="C863" s="1" t="s">
        <v>4268</v>
      </c>
      <c r="D863" s="1" t="s">
        <v>4268</v>
      </c>
      <c r="E863" s="1" t="s">
        <v>4269</v>
      </c>
      <c r="F863" s="1" t="s">
        <v>64</v>
      </c>
      <c r="G863" s="1">
        <v>150.0</v>
      </c>
      <c r="H863" s="1" t="s">
        <v>50</v>
      </c>
      <c r="I863" s="1">
        <v>26.0</v>
      </c>
      <c r="J863" s="1">
        <v>10.0</v>
      </c>
      <c r="K863" s="1">
        <v>10.0</v>
      </c>
      <c r="L863" s="1">
        <v>16.0</v>
      </c>
      <c r="M863" s="1">
        <v>7.0</v>
      </c>
      <c r="N863" s="1" t="s">
        <v>51</v>
      </c>
      <c r="O863" s="1">
        <v>26.0</v>
      </c>
      <c r="P863" s="1">
        <v>10.0</v>
      </c>
      <c r="Q863" s="1">
        <v>7.0</v>
      </c>
      <c r="R863" s="1">
        <v>16.0</v>
      </c>
      <c r="S863" s="1">
        <v>9.0</v>
      </c>
      <c r="T863" s="1" t="s">
        <v>52</v>
      </c>
      <c r="U863" s="1">
        <v>29.0</v>
      </c>
      <c r="V863" s="1">
        <v>14.0</v>
      </c>
      <c r="W863" s="1">
        <v>9.0</v>
      </c>
      <c r="X863" s="1">
        <v>15.0</v>
      </c>
      <c r="Y863" s="1">
        <v>5.0</v>
      </c>
      <c r="Z863" s="1" t="s">
        <v>53</v>
      </c>
      <c r="AA863" s="1">
        <v>45.0</v>
      </c>
      <c r="AB863" s="1">
        <v>20.0</v>
      </c>
      <c r="AC863" s="1">
        <v>13.0</v>
      </c>
      <c r="AD863" s="1">
        <v>25.0</v>
      </c>
      <c r="AE863" s="1">
        <v>10.0</v>
      </c>
      <c r="AF863" s="1" t="s">
        <v>54</v>
      </c>
      <c r="AG863" s="1">
        <v>45.0</v>
      </c>
      <c r="AH863" s="1">
        <v>19.0</v>
      </c>
      <c r="AI863" s="1">
        <v>9.0</v>
      </c>
      <c r="AJ863" s="1">
        <v>26.0</v>
      </c>
      <c r="AK863" s="1">
        <v>15.0</v>
      </c>
      <c r="AL863" s="1">
        <v>94.0</v>
      </c>
      <c r="AM863" s="1" t="s">
        <v>55</v>
      </c>
      <c r="AN863" s="1">
        <v>56.0</v>
      </c>
      <c r="AO863" s="1">
        <v>56.0</v>
      </c>
      <c r="AP863" s="1" t="s">
        <v>4270</v>
      </c>
      <c r="AQ863" s="3" t="str">
        <f>HYPERLINK("https://icf.clappia.com/app/GMB253374/submission/HHZ51324074/ICF247370-GMB253374-59nen0d49gki00000000/SIG-20250630_11038cme1.jpeg", "SIG-20250630_11038cme1.jpeg")</f>
        <v>SIG-20250630_11038cme1.jpeg</v>
      </c>
      <c r="AR863" s="1" t="s">
        <v>4271</v>
      </c>
      <c r="AS863" s="3" t="str">
        <f>HYPERLINK("https://icf.clappia.com/app/GMB253374/submission/HHZ51324074/ICF247370-GMB253374-4ejmp3ihp89600000000/SIG-20250630_11041649cd.jpeg", "SIG-20250630_11041649cd.jpeg")</f>
        <v>SIG-20250630_11041649cd.jpeg</v>
      </c>
      <c r="AT863" s="1" t="s">
        <v>1760</v>
      </c>
      <c r="AU863" s="3" t="str">
        <f>HYPERLINK("https://icf.clappia.com/app/GMB253374/submission/HHZ51324074/ICF247370-GMB253374-5m0ebhc7fb5i00000000/SIG-20250630_110519a3g1.jpeg", "SIG-20250630_110519a3g1.jpeg")</f>
        <v>SIG-20250630_110519a3g1.jpeg</v>
      </c>
      <c r="AV863" s="3" t="str">
        <f>HYPERLINK("https://www.google.com/maps/place/7.9576741%2C-11.7417918", "7.9576741,-11.7417918")</f>
        <v>7.9576741,-11.7417918</v>
      </c>
    </row>
    <row r="864" ht="15.75" customHeight="1">
      <c r="A864" s="1" t="s">
        <v>4272</v>
      </c>
      <c r="B864" s="1" t="s">
        <v>248</v>
      </c>
      <c r="C864" s="1" t="s">
        <v>4273</v>
      </c>
      <c r="D864" s="1" t="s">
        <v>4273</v>
      </c>
      <c r="E864" s="1" t="s">
        <v>4274</v>
      </c>
      <c r="F864" s="1" t="s">
        <v>64</v>
      </c>
      <c r="G864" s="1">
        <v>100.0</v>
      </c>
      <c r="H864" s="1" t="s">
        <v>50</v>
      </c>
      <c r="I864" s="1">
        <v>57.0</v>
      </c>
      <c r="J864" s="1">
        <v>26.0</v>
      </c>
      <c r="K864" s="1">
        <v>26.0</v>
      </c>
      <c r="L864" s="1">
        <v>31.0</v>
      </c>
      <c r="M864" s="1">
        <v>31.0</v>
      </c>
      <c r="N864" s="1" t="s">
        <v>51</v>
      </c>
      <c r="O864" s="1" t="s">
        <v>55</v>
      </c>
      <c r="P864" s="1" t="s">
        <v>55</v>
      </c>
      <c r="Q864" s="1" t="s">
        <v>55</v>
      </c>
      <c r="R864" s="1" t="s">
        <v>55</v>
      </c>
      <c r="S864" s="1" t="s">
        <v>55</v>
      </c>
      <c r="T864" s="1" t="s">
        <v>52</v>
      </c>
      <c r="U864" s="1" t="s">
        <v>55</v>
      </c>
      <c r="V864" s="1" t="s">
        <v>55</v>
      </c>
      <c r="W864" s="1" t="s">
        <v>55</v>
      </c>
      <c r="X864" s="1" t="s">
        <v>55</v>
      </c>
      <c r="Y864" s="1" t="s">
        <v>55</v>
      </c>
      <c r="Z864" s="1" t="s">
        <v>53</v>
      </c>
      <c r="AA864" s="1" t="s">
        <v>55</v>
      </c>
      <c r="AB864" s="1" t="s">
        <v>55</v>
      </c>
      <c r="AC864" s="1" t="s">
        <v>55</v>
      </c>
      <c r="AD864" s="1" t="s">
        <v>55</v>
      </c>
      <c r="AE864" s="1" t="s">
        <v>55</v>
      </c>
      <c r="AF864" s="1" t="s">
        <v>54</v>
      </c>
      <c r="AG864" s="1" t="s">
        <v>55</v>
      </c>
      <c r="AH864" s="1" t="s">
        <v>55</v>
      </c>
      <c r="AI864" s="1" t="s">
        <v>55</v>
      </c>
      <c r="AJ864" s="1" t="s">
        <v>55</v>
      </c>
      <c r="AK864" s="1" t="s">
        <v>55</v>
      </c>
      <c r="AL864" s="1">
        <v>57.0</v>
      </c>
      <c r="AM864" s="1" t="s">
        <v>55</v>
      </c>
      <c r="AN864" s="1">
        <v>43.0</v>
      </c>
      <c r="AO864" s="1">
        <v>43.0</v>
      </c>
      <c r="AP864" s="1" t="s">
        <v>4275</v>
      </c>
      <c r="AQ864" s="3" t="str">
        <f>HYPERLINK("https://icf.clappia.com/app/GMB253374/submission/YFY32443794/ICF247370-GMB253374-278gg2all1a7g0000000/SIG-20250630_1328kb5mf.jpeg", "SIG-20250630_1328kb5mf.jpeg")</f>
        <v>SIG-20250630_1328kb5mf.jpeg</v>
      </c>
      <c r="AR864" s="1" t="s">
        <v>4276</v>
      </c>
      <c r="AS864" s="3" t="str">
        <f>HYPERLINK("https://icf.clappia.com/app/GMB253374/submission/YFY32443794/ICF247370-GMB253374-1dp603c2hp1ha0000000/SIG-20250630_14001263c0.jpeg", "SIG-20250630_14001263c0.jpeg")</f>
        <v>SIG-20250630_14001263c0.jpeg</v>
      </c>
      <c r="AT864" s="1" t="s">
        <v>4277</v>
      </c>
      <c r="AU864" s="3" t="str">
        <f>HYPERLINK("https://icf.clappia.com/app/GMB253374/submission/YFY32443794/ICF247370-GMB253374-58jjcd12lmfa00000000/SIG-20250630_13298limb.jpeg", "SIG-20250630_13298limb.jpeg")</f>
        <v>SIG-20250630_13298limb.jpeg</v>
      </c>
      <c r="AV864" s="3" t="str">
        <f>HYPERLINK("https://www.google.com/maps/place/7.9182844%2C-11.5608647", "7.9182844,-11.5608647")</f>
        <v>7.9182844,-11.5608647</v>
      </c>
    </row>
    <row r="865" ht="15.75" customHeight="1">
      <c r="A865" s="1" t="s">
        <v>4278</v>
      </c>
      <c r="B865" s="1" t="s">
        <v>802</v>
      </c>
      <c r="C865" s="1" t="s">
        <v>4279</v>
      </c>
      <c r="D865" s="1" t="s">
        <v>4273</v>
      </c>
      <c r="E865" s="1" t="s">
        <v>4280</v>
      </c>
      <c r="F865" s="1" t="s">
        <v>64</v>
      </c>
      <c r="G865" s="1">
        <v>188.0</v>
      </c>
      <c r="H865" s="1" t="s">
        <v>50</v>
      </c>
      <c r="I865" s="1">
        <v>34.0</v>
      </c>
      <c r="J865" s="1">
        <v>16.0</v>
      </c>
      <c r="K865" s="1">
        <v>16.0</v>
      </c>
      <c r="L865" s="1">
        <v>18.0</v>
      </c>
      <c r="M865" s="1">
        <v>18.0</v>
      </c>
      <c r="N865" s="1" t="s">
        <v>51</v>
      </c>
      <c r="O865" s="1">
        <v>30.0</v>
      </c>
      <c r="P865" s="1">
        <v>19.0</v>
      </c>
      <c r="Q865" s="1">
        <v>19.0</v>
      </c>
      <c r="R865" s="1">
        <v>11.0</v>
      </c>
      <c r="S865" s="1">
        <v>11.0</v>
      </c>
      <c r="T865" s="1" t="s">
        <v>52</v>
      </c>
      <c r="U865" s="1">
        <v>41.0</v>
      </c>
      <c r="V865" s="1">
        <v>16.0</v>
      </c>
      <c r="W865" s="1">
        <v>16.0</v>
      </c>
      <c r="X865" s="1">
        <v>25.0</v>
      </c>
      <c r="Y865" s="1">
        <v>25.0</v>
      </c>
      <c r="Z865" s="1" t="s">
        <v>53</v>
      </c>
      <c r="AA865" s="1">
        <v>45.0</v>
      </c>
      <c r="AB865" s="1">
        <v>22.0</v>
      </c>
      <c r="AC865" s="1">
        <v>22.0</v>
      </c>
      <c r="AD865" s="1">
        <v>23.0</v>
      </c>
      <c r="AE865" s="1">
        <v>23.0</v>
      </c>
      <c r="AF865" s="1" t="s">
        <v>54</v>
      </c>
      <c r="AG865" s="1">
        <v>38.0</v>
      </c>
      <c r="AH865" s="1">
        <v>15.0</v>
      </c>
      <c r="AI865" s="1">
        <v>15.0</v>
      </c>
      <c r="AJ865" s="1">
        <v>23.0</v>
      </c>
      <c r="AK865" s="1">
        <v>23.0</v>
      </c>
      <c r="AL865" s="1">
        <v>188.0</v>
      </c>
      <c r="AM865" s="1" t="s">
        <v>55</v>
      </c>
      <c r="AN865" s="1" t="s">
        <v>55</v>
      </c>
      <c r="AO865" s="1" t="s">
        <v>55</v>
      </c>
      <c r="AP865" s="1" t="s">
        <v>806</v>
      </c>
      <c r="AQ865" s="3" t="str">
        <f>HYPERLINK("https://icf.clappia.com/app/GMB253374/submission/LJH93201931/ICF247370-GMB253374-5h03mchnbm8200000000/SIG-20250630_13001ea6m.jpeg", "SIG-20250630_13001ea6m.jpeg")</f>
        <v>SIG-20250630_13001ea6m.jpeg</v>
      </c>
      <c r="AR865" s="1" t="s">
        <v>807</v>
      </c>
      <c r="AS865" s="3" t="str">
        <f>HYPERLINK("https://icf.clappia.com/app/GMB253374/submission/LJH93201931/ICF247370-GMB253374-5c73bd3fga4m00000000/SIG-20250630_1313ic99h.jpeg", "SIG-20250630_1313ic99h.jpeg")</f>
        <v>SIG-20250630_1313ic99h.jpeg</v>
      </c>
      <c r="AT865" s="1" t="s">
        <v>808</v>
      </c>
      <c r="AU865" s="3" t="str">
        <f>HYPERLINK("https://icf.clappia.com/app/GMB253374/submission/LJH93201931/ICF247370-GMB253374-4jna56hdl1ic00000000/SIG-20250630_13012l4c3.jpeg", "SIG-20250630_13012l4c3.jpeg")</f>
        <v>SIG-20250630_13012l4c3.jpeg</v>
      </c>
      <c r="AV865" s="3" t="str">
        <f>HYPERLINK("https://www.google.com/maps/place/7.6346683%2C-11.6714517", "7.6346683,-11.6714517")</f>
        <v>7.6346683,-11.6714517</v>
      </c>
    </row>
    <row r="866" ht="15.75" customHeight="1">
      <c r="A866" s="1" t="s">
        <v>4281</v>
      </c>
      <c r="B866" s="1" t="s">
        <v>161</v>
      </c>
      <c r="C866" s="1" t="s">
        <v>4282</v>
      </c>
      <c r="D866" s="1" t="s">
        <v>4282</v>
      </c>
      <c r="E866" s="1" t="s">
        <v>4283</v>
      </c>
      <c r="F866" s="1" t="s">
        <v>64</v>
      </c>
      <c r="G866" s="1">
        <v>100.0</v>
      </c>
      <c r="H866" s="1" t="s">
        <v>50</v>
      </c>
      <c r="I866" s="1">
        <v>56.0</v>
      </c>
      <c r="J866" s="1">
        <v>21.0</v>
      </c>
      <c r="K866" s="1">
        <v>14.0</v>
      </c>
      <c r="L866" s="1">
        <v>34.0</v>
      </c>
      <c r="M866" s="1">
        <v>18.0</v>
      </c>
      <c r="N866" s="1" t="s">
        <v>51</v>
      </c>
      <c r="O866" s="1">
        <v>68.0</v>
      </c>
      <c r="P866" s="1">
        <v>30.0</v>
      </c>
      <c r="Q866" s="1">
        <v>13.0</v>
      </c>
      <c r="R866" s="1">
        <v>38.0</v>
      </c>
      <c r="S866" s="1">
        <v>15.0</v>
      </c>
      <c r="T866" s="1" t="s">
        <v>52</v>
      </c>
      <c r="U866" s="1">
        <v>56.0</v>
      </c>
      <c r="V866" s="1">
        <v>20.0</v>
      </c>
      <c r="W866" s="1">
        <v>7.0</v>
      </c>
      <c r="X866" s="1">
        <v>36.0</v>
      </c>
      <c r="Y866" s="1">
        <v>7.0</v>
      </c>
      <c r="Z866" s="1" t="s">
        <v>53</v>
      </c>
      <c r="AA866" s="1">
        <v>55.0</v>
      </c>
      <c r="AB866" s="1">
        <v>25.0</v>
      </c>
      <c r="AC866" s="1">
        <v>5.0</v>
      </c>
      <c r="AD866" s="1">
        <v>30.0</v>
      </c>
      <c r="AE866" s="1">
        <v>10.0</v>
      </c>
      <c r="AF866" s="1" t="s">
        <v>54</v>
      </c>
      <c r="AG866" s="1">
        <v>50.0</v>
      </c>
      <c r="AH866" s="1">
        <v>30.0</v>
      </c>
      <c r="AI866" s="1">
        <v>7.0</v>
      </c>
      <c r="AJ866" s="1">
        <v>20.0</v>
      </c>
      <c r="AK866" s="1">
        <v>4.0</v>
      </c>
      <c r="AL866" s="1">
        <v>100.0</v>
      </c>
      <c r="AM866" s="1" t="s">
        <v>55</v>
      </c>
      <c r="AN866" s="1" t="s">
        <v>55</v>
      </c>
      <c r="AO866" s="1" t="s">
        <v>55</v>
      </c>
      <c r="AP866" s="1" t="s">
        <v>4284</v>
      </c>
      <c r="AQ866" s="3" t="str">
        <f>HYPERLINK("https://icf.clappia.com/app/GMB253374/submission/VYO87194841/ICF247370-GMB253374-45496i0d4do800000000/SIG-20250630_1336ja747.jpeg", "SIG-20250630_1336ja747.jpeg")</f>
        <v>SIG-20250630_1336ja747.jpeg</v>
      </c>
      <c r="AR866" s="1" t="s">
        <v>4285</v>
      </c>
      <c r="AS866" s="3" t="str">
        <f>HYPERLINK("https://icf.clappia.com/app/GMB253374/submission/VYO87194841/ICF247370-GMB253374-fa1754ah8c7a0000000/SIG-20250630_1337dgnej.jpeg", "SIG-20250630_1337dgnej.jpeg")</f>
        <v>SIG-20250630_1337dgnej.jpeg</v>
      </c>
      <c r="AT866" s="1" t="s">
        <v>1183</v>
      </c>
      <c r="AU866" s="3" t="str">
        <f>HYPERLINK("https://icf.clappia.com/app/GMB253374/submission/VYO87194841/ICF247370-GMB253374-3c0e9id8g78o00000000/SIG-20250630_133816dc1f.jpeg", "SIG-20250630_133816dc1f.jpeg")</f>
        <v>SIG-20250630_133816dc1f.jpeg</v>
      </c>
      <c r="AV866" s="3" t="str">
        <f>HYPERLINK("https://www.google.com/maps/place/7.9238164%2C-11.7208856", "7.9238164,-11.7208856")</f>
        <v>7.9238164,-11.7208856</v>
      </c>
    </row>
    <row r="867" ht="15.75" customHeight="1">
      <c r="A867" s="1" t="s">
        <v>4286</v>
      </c>
      <c r="B867" s="1" t="s">
        <v>189</v>
      </c>
      <c r="C867" s="1" t="s">
        <v>4287</v>
      </c>
      <c r="D867" s="1" t="s">
        <v>4287</v>
      </c>
      <c r="E867" s="1" t="s">
        <v>4288</v>
      </c>
      <c r="F867" s="1" t="s">
        <v>64</v>
      </c>
      <c r="G867" s="1">
        <v>150.0</v>
      </c>
      <c r="H867" s="1" t="s">
        <v>50</v>
      </c>
      <c r="I867" s="1">
        <v>39.0</v>
      </c>
      <c r="J867" s="1">
        <v>18.0</v>
      </c>
      <c r="K867" s="1">
        <v>18.0</v>
      </c>
      <c r="L867" s="1">
        <v>20.0</v>
      </c>
      <c r="M867" s="1">
        <v>20.0</v>
      </c>
      <c r="N867" s="1" t="s">
        <v>51</v>
      </c>
      <c r="O867" s="1">
        <v>30.0</v>
      </c>
      <c r="P867" s="1">
        <v>14.0</v>
      </c>
      <c r="Q867" s="1">
        <v>14.0</v>
      </c>
      <c r="R867" s="1">
        <v>13.0</v>
      </c>
      <c r="S867" s="1">
        <v>13.0</v>
      </c>
      <c r="T867" s="1" t="s">
        <v>52</v>
      </c>
      <c r="U867" s="1">
        <v>32.0</v>
      </c>
      <c r="V867" s="1">
        <v>14.0</v>
      </c>
      <c r="W867" s="1">
        <v>14.0</v>
      </c>
      <c r="X867" s="1">
        <v>18.0</v>
      </c>
      <c r="Y867" s="1">
        <v>18.0</v>
      </c>
      <c r="Z867" s="1" t="s">
        <v>53</v>
      </c>
      <c r="AA867" s="1">
        <v>18.0</v>
      </c>
      <c r="AB867" s="1">
        <v>6.0</v>
      </c>
      <c r="AC867" s="1">
        <v>6.0</v>
      </c>
      <c r="AD867" s="1">
        <v>12.0</v>
      </c>
      <c r="AE867" s="1">
        <v>12.0</v>
      </c>
      <c r="AF867" s="1" t="s">
        <v>54</v>
      </c>
      <c r="AG867" s="1">
        <v>22.0</v>
      </c>
      <c r="AH867" s="1">
        <v>8.0</v>
      </c>
      <c r="AI867" s="1">
        <v>8.0</v>
      </c>
      <c r="AJ867" s="1">
        <v>11.0</v>
      </c>
      <c r="AK867" s="1">
        <v>11.0</v>
      </c>
      <c r="AL867" s="1">
        <v>134.0</v>
      </c>
      <c r="AM867" s="1">
        <v>8.0</v>
      </c>
      <c r="AN867" s="1">
        <v>8.0</v>
      </c>
      <c r="AO867" s="1">
        <v>2.0</v>
      </c>
      <c r="AP867" s="1" t="s">
        <v>4289</v>
      </c>
      <c r="AQ867" s="3" t="str">
        <f>HYPERLINK("https://icf.clappia.com/app/GMB253374/submission/IRB97691938/ICF247370-GMB253374-19pioohp8c6c00000000/SIG-20250630_134651ief.jpeg", "SIG-20250630_134651ief.jpeg")</f>
        <v>SIG-20250630_134651ief.jpeg</v>
      </c>
      <c r="AR867" s="1" t="s">
        <v>3603</v>
      </c>
      <c r="AS867" s="3" t="str">
        <f>HYPERLINK("https://icf.clappia.com/app/GMB253374/submission/IRB97691938/ICF247370-GMB253374-e7d1a2h7mjeo0000000/SIG-20250630_135313ig6a.jpeg", "SIG-20250630_135313ig6a.jpeg")</f>
        <v>SIG-20250630_135313ig6a.jpeg</v>
      </c>
      <c r="AT867" s="1" t="s">
        <v>3604</v>
      </c>
      <c r="AU867" s="3" t="str">
        <f>HYPERLINK("https://icf.clappia.com/app/GMB253374/submission/IRB97691938/ICF247370-GMB253374-56kjigij208400000000/SIG-20250630_13503h1be.jpeg", "SIG-20250630_13503h1be.jpeg")</f>
        <v>SIG-20250630_13503h1be.jpeg</v>
      </c>
      <c r="AV867" s="3" t="str">
        <f>HYPERLINK("https://www.google.com/maps/place/8.8738066%2C-12.0384488", "8.8738066,-12.0384488")</f>
        <v>8.8738066,-12.0384488</v>
      </c>
    </row>
    <row r="868" ht="15.75" customHeight="1">
      <c r="A868" s="1" t="s">
        <v>4290</v>
      </c>
      <c r="B868" s="1" t="s">
        <v>248</v>
      </c>
      <c r="C868" s="1" t="s">
        <v>4291</v>
      </c>
      <c r="D868" s="1" t="s">
        <v>4291</v>
      </c>
      <c r="E868" s="1" t="s">
        <v>4292</v>
      </c>
      <c r="F868" s="1" t="s">
        <v>64</v>
      </c>
      <c r="G868" s="1">
        <v>278.0</v>
      </c>
      <c r="H868" s="1" t="s">
        <v>50</v>
      </c>
      <c r="I868" s="1">
        <v>116.0</v>
      </c>
      <c r="J868" s="1">
        <v>52.0</v>
      </c>
      <c r="K868" s="1">
        <v>52.0</v>
      </c>
      <c r="L868" s="1">
        <v>64.0</v>
      </c>
      <c r="M868" s="1">
        <v>64.0</v>
      </c>
      <c r="N868" s="1" t="s">
        <v>51</v>
      </c>
      <c r="O868" s="1">
        <v>76.0</v>
      </c>
      <c r="P868" s="1">
        <v>30.0</v>
      </c>
      <c r="Q868" s="1">
        <v>30.0</v>
      </c>
      <c r="R868" s="1">
        <v>46.0</v>
      </c>
      <c r="S868" s="1">
        <v>46.0</v>
      </c>
      <c r="T868" s="1" t="s">
        <v>52</v>
      </c>
      <c r="U868" s="1">
        <v>49.0</v>
      </c>
      <c r="V868" s="1">
        <v>24.0</v>
      </c>
      <c r="W868" s="1">
        <v>22.0</v>
      </c>
      <c r="X868" s="1">
        <v>25.0</v>
      </c>
      <c r="Y868" s="1">
        <v>25.0</v>
      </c>
      <c r="Z868" s="1" t="s">
        <v>53</v>
      </c>
      <c r="AA868" s="1">
        <v>15.0</v>
      </c>
      <c r="AB868" s="1">
        <v>7.0</v>
      </c>
      <c r="AC868" s="1">
        <v>7.0</v>
      </c>
      <c r="AD868" s="1">
        <v>8.0</v>
      </c>
      <c r="AE868" s="1">
        <v>8.0</v>
      </c>
      <c r="AF868" s="1" t="s">
        <v>54</v>
      </c>
      <c r="AG868" s="1">
        <v>22.0</v>
      </c>
      <c r="AH868" s="1">
        <v>7.0</v>
      </c>
      <c r="AI868" s="1">
        <v>7.0</v>
      </c>
      <c r="AJ868" s="1">
        <v>15.0</v>
      </c>
      <c r="AK868" s="1">
        <v>15.0</v>
      </c>
      <c r="AL868" s="1">
        <v>276.0</v>
      </c>
      <c r="AM868" s="1">
        <v>2.0</v>
      </c>
      <c r="AN868" s="1" t="s">
        <v>55</v>
      </c>
      <c r="AO868" s="1" t="s">
        <v>55</v>
      </c>
      <c r="AP868" s="1" t="s">
        <v>4293</v>
      </c>
      <c r="AQ868" s="3" t="str">
        <f>HYPERLINK("https://icf.clappia.com/app/GMB253374/submission/DRO56499311/ICF247370-GMB253374-5295m2fdg4g200000000/SIG-20250630_13071n83d.jpeg", "SIG-20250630_13071n83d.jpeg")</f>
        <v>SIG-20250630_13071n83d.jpeg</v>
      </c>
      <c r="AR868" s="1" t="s">
        <v>1873</v>
      </c>
      <c r="AS868" s="3" t="str">
        <f>HYPERLINK("https://icf.clappia.com/app/GMB253374/submission/DRO56499311/ICF247370-GMB253374-30mpccooeooe00000000/SIG-20250630_130568kp6.jpeg", "SIG-20250630_130568kp6.jpeg")</f>
        <v>SIG-20250630_130568kp6.jpeg</v>
      </c>
      <c r="AT868" s="1" t="s">
        <v>4294</v>
      </c>
      <c r="AU868" s="3" t="str">
        <f>HYPERLINK("https://icf.clappia.com/app/GMB253374/submission/DRO56499311/ICF247370-GMB253374-13mpl699l00b80000000/SIG-20250630_130618e3lj.jpeg", "SIG-20250630_130618e3lj.jpeg")</f>
        <v>SIG-20250630_130618e3lj.jpeg</v>
      </c>
      <c r="AV868" s="3" t="str">
        <f>HYPERLINK("https://www.google.com/maps/place/7.9276208%2C-11.4415451", "7.9276208,-11.4415451")</f>
        <v>7.9276208,-11.4415451</v>
      </c>
    </row>
    <row r="869" ht="15.75" customHeight="1">
      <c r="A869" s="1" t="s">
        <v>4295</v>
      </c>
      <c r="B869" s="1" t="s">
        <v>248</v>
      </c>
      <c r="C869" s="1" t="s">
        <v>4296</v>
      </c>
      <c r="D869" s="1" t="s">
        <v>4297</v>
      </c>
      <c r="E869" s="1" t="s">
        <v>4298</v>
      </c>
      <c r="F869" s="1" t="s">
        <v>64</v>
      </c>
      <c r="G869" s="1">
        <v>150.0</v>
      </c>
      <c r="H869" s="1" t="s">
        <v>50</v>
      </c>
      <c r="I869" s="1">
        <v>25.0</v>
      </c>
      <c r="J869" s="1">
        <v>12.0</v>
      </c>
      <c r="K869" s="1">
        <v>8.0</v>
      </c>
      <c r="L869" s="1">
        <v>13.0</v>
      </c>
      <c r="M869" s="1">
        <v>13.0</v>
      </c>
      <c r="N869" s="1" t="s">
        <v>51</v>
      </c>
      <c r="O869" s="1">
        <v>30.0</v>
      </c>
      <c r="P869" s="1">
        <v>10.0</v>
      </c>
      <c r="Q869" s="1">
        <v>9.0</v>
      </c>
      <c r="R869" s="1">
        <v>20.0</v>
      </c>
      <c r="S869" s="1">
        <v>18.0</v>
      </c>
      <c r="T869" s="1" t="s">
        <v>52</v>
      </c>
      <c r="U869" s="1">
        <v>28.0</v>
      </c>
      <c r="V869" s="1">
        <v>13.0</v>
      </c>
      <c r="W869" s="1">
        <v>10.0</v>
      </c>
      <c r="X869" s="1">
        <v>15.0</v>
      </c>
      <c r="Y869" s="1">
        <v>11.0</v>
      </c>
      <c r="Z869" s="1" t="s">
        <v>53</v>
      </c>
      <c r="AA869" s="1">
        <v>30.0</v>
      </c>
      <c r="AB869" s="1">
        <v>8.0</v>
      </c>
      <c r="AC869" s="1">
        <v>7.0</v>
      </c>
      <c r="AD869" s="1">
        <v>22.0</v>
      </c>
      <c r="AE869" s="1">
        <v>20.0</v>
      </c>
      <c r="AF869" s="1" t="s">
        <v>54</v>
      </c>
      <c r="AG869" s="1">
        <v>19.0</v>
      </c>
      <c r="AH869" s="1">
        <v>6.0</v>
      </c>
      <c r="AI869" s="1">
        <v>6.0</v>
      </c>
      <c r="AJ869" s="1">
        <v>13.0</v>
      </c>
      <c r="AK869" s="1">
        <v>13.0</v>
      </c>
      <c r="AL869" s="1">
        <v>115.0</v>
      </c>
      <c r="AM869" s="1">
        <v>10.0</v>
      </c>
      <c r="AN869" s="1">
        <v>25.0</v>
      </c>
      <c r="AO869" s="1">
        <v>25.0</v>
      </c>
      <c r="AP869" s="1" t="s">
        <v>4299</v>
      </c>
      <c r="AQ869" s="3" t="str">
        <f>HYPERLINK("https://icf.clappia.com/app/GMB253374/submission/IWP38377586/ICF247370-GMB253374-4e8ccbioee3c00000000/SIG-20250630_13302o6lh.jpeg", "SIG-20250630_13302o6lh.jpeg")</f>
        <v>SIG-20250630_13302o6lh.jpeg</v>
      </c>
      <c r="AR869" s="1" t="s">
        <v>4300</v>
      </c>
      <c r="AS869" s="3" t="str">
        <f>HYPERLINK("https://icf.clappia.com/app/GMB253374/submission/IWP38377586/ICF247370-GMB253374-52l6e40fd36m00000000/SIG-20250630_133475nkd.jpeg", "SIG-20250630_133475nkd.jpeg")</f>
        <v>SIG-20250630_133475nkd.jpeg</v>
      </c>
      <c r="AT869" s="1" t="s">
        <v>4301</v>
      </c>
      <c r="AU869" s="3" t="str">
        <f>HYPERLINK("https://icf.clappia.com/app/GMB253374/submission/IWP38377586/ICF247370-GMB253374-2387e2emk0pn60000000/SIG-20250630_1334d148m.jpeg", "SIG-20250630_1334d148m.jpeg")</f>
        <v>SIG-20250630_1334d148m.jpeg</v>
      </c>
      <c r="AV869" s="3" t="str">
        <f>HYPERLINK("https://www.google.com/maps/place/7.9748733%2C-11.393375", "7.9748733,-11.393375")</f>
        <v>7.9748733,-11.393375</v>
      </c>
    </row>
    <row r="870" ht="15.75" customHeight="1">
      <c r="A870" s="1" t="s">
        <v>4302</v>
      </c>
      <c r="B870" s="1" t="s">
        <v>69</v>
      </c>
      <c r="C870" s="1" t="s">
        <v>4303</v>
      </c>
      <c r="D870" s="1" t="s">
        <v>4303</v>
      </c>
      <c r="E870" s="1" t="s">
        <v>4304</v>
      </c>
      <c r="F870" s="1" t="s">
        <v>64</v>
      </c>
      <c r="G870" s="1">
        <v>200.0</v>
      </c>
      <c r="H870" s="1" t="s">
        <v>50</v>
      </c>
      <c r="I870" s="1">
        <v>50.0</v>
      </c>
      <c r="J870" s="1">
        <v>25.0</v>
      </c>
      <c r="K870" s="1">
        <v>25.0</v>
      </c>
      <c r="L870" s="1">
        <v>25.0</v>
      </c>
      <c r="M870" s="1">
        <v>23.0</v>
      </c>
      <c r="N870" s="1" t="s">
        <v>51</v>
      </c>
      <c r="O870" s="1">
        <v>41.0</v>
      </c>
      <c r="P870" s="1">
        <v>24.0</v>
      </c>
      <c r="Q870" s="1">
        <v>21.0</v>
      </c>
      <c r="R870" s="1">
        <v>17.0</v>
      </c>
      <c r="S870" s="1">
        <v>17.0</v>
      </c>
      <c r="T870" s="1" t="s">
        <v>52</v>
      </c>
      <c r="U870" s="1">
        <v>38.0</v>
      </c>
      <c r="V870" s="1">
        <v>20.0</v>
      </c>
      <c r="W870" s="1">
        <v>19.0</v>
      </c>
      <c r="X870" s="1">
        <v>18.0</v>
      </c>
      <c r="Y870" s="1">
        <v>18.0</v>
      </c>
      <c r="Z870" s="1" t="s">
        <v>53</v>
      </c>
      <c r="AA870" s="1">
        <v>30.0</v>
      </c>
      <c r="AB870" s="1">
        <v>18.0</v>
      </c>
      <c r="AC870" s="1">
        <v>18.0</v>
      </c>
      <c r="AD870" s="1">
        <v>12.0</v>
      </c>
      <c r="AE870" s="1">
        <v>8.0</v>
      </c>
      <c r="AF870" s="1" t="s">
        <v>54</v>
      </c>
      <c r="AG870" s="1">
        <v>24.0</v>
      </c>
      <c r="AH870" s="1">
        <v>11.0</v>
      </c>
      <c r="AI870" s="1">
        <v>11.0</v>
      </c>
      <c r="AJ870" s="1">
        <v>13.0</v>
      </c>
      <c r="AK870" s="1">
        <v>13.0</v>
      </c>
      <c r="AL870" s="1">
        <v>173.0</v>
      </c>
      <c r="AM870" s="1">
        <v>10.0</v>
      </c>
      <c r="AN870" s="1">
        <v>17.0</v>
      </c>
      <c r="AO870" s="1">
        <v>17.0</v>
      </c>
      <c r="AP870" s="1" t="s">
        <v>3228</v>
      </c>
      <c r="AQ870" s="3" t="str">
        <f>HYPERLINK("https://icf.clappia.com/app/GMB253374/submission/VYT47983338/ICF247370-GMB253374-48m9a40fm9pg00000000/SIG-20250630_1331bhbif.jpeg", "SIG-20250630_1331bhbif.jpeg")</f>
        <v>SIG-20250630_1331bhbif.jpeg</v>
      </c>
      <c r="AR870" s="1" t="s">
        <v>3227</v>
      </c>
      <c r="AS870" s="3" t="str">
        <f>HYPERLINK("https://icf.clappia.com/app/GMB253374/submission/VYT47983338/ICF247370-GMB253374-1c748dio2l1a00000000/SIG-20250630_13315pnkg.jpeg", "SIG-20250630_13315pnkg.jpeg")</f>
        <v>SIG-20250630_13315pnkg.jpeg</v>
      </c>
      <c r="AT870" s="1" t="s">
        <v>4305</v>
      </c>
      <c r="AU870" s="3" t="str">
        <f>HYPERLINK("https://icf.clappia.com/app/GMB253374/submission/VYT47983338/ICF247370-GMB253374-k5o4gjokm2a40000000/SIG-20250630_1342oa9f.jpeg", "SIG-20250630_1342oa9f.jpeg")</f>
        <v>SIG-20250630_1342oa9f.jpeg</v>
      </c>
      <c r="AV870" s="3" t="str">
        <f>HYPERLINK("https://www.google.com/maps/place/8.877105%2C-12.10795", "8.877105,-12.10795")</f>
        <v>8.877105,-12.10795</v>
      </c>
    </row>
    <row r="871" ht="15.75" customHeight="1">
      <c r="A871" s="1" t="s">
        <v>4306</v>
      </c>
      <c r="B871" s="1" t="s">
        <v>778</v>
      </c>
      <c r="C871" s="1" t="s">
        <v>4307</v>
      </c>
      <c r="D871" s="1" t="s">
        <v>4307</v>
      </c>
      <c r="E871" s="1" t="s">
        <v>4308</v>
      </c>
      <c r="F871" s="1" t="s">
        <v>64</v>
      </c>
      <c r="G871" s="1">
        <v>150.0</v>
      </c>
      <c r="H871" s="1" t="s">
        <v>50</v>
      </c>
      <c r="I871" s="1">
        <v>79.0</v>
      </c>
      <c r="J871" s="1">
        <v>45.0</v>
      </c>
      <c r="K871" s="1">
        <v>40.0</v>
      </c>
      <c r="L871" s="1">
        <v>34.0</v>
      </c>
      <c r="M871" s="1">
        <v>32.0</v>
      </c>
      <c r="N871" s="1" t="s">
        <v>51</v>
      </c>
      <c r="O871" s="1">
        <v>86.0</v>
      </c>
      <c r="P871" s="1">
        <v>54.0</v>
      </c>
      <c r="Q871" s="1">
        <v>50.0</v>
      </c>
      <c r="R871" s="1">
        <v>32.0</v>
      </c>
      <c r="S871" s="1">
        <v>28.0</v>
      </c>
      <c r="T871" s="1" t="s">
        <v>52</v>
      </c>
      <c r="U871" s="1" t="s">
        <v>55</v>
      </c>
      <c r="V871" s="1" t="s">
        <v>55</v>
      </c>
      <c r="W871" s="1" t="s">
        <v>55</v>
      </c>
      <c r="X871" s="1" t="s">
        <v>55</v>
      </c>
      <c r="Y871" s="1" t="s">
        <v>55</v>
      </c>
      <c r="Z871" s="1" t="s">
        <v>53</v>
      </c>
      <c r="AA871" s="1" t="s">
        <v>55</v>
      </c>
      <c r="AB871" s="1" t="s">
        <v>55</v>
      </c>
      <c r="AC871" s="1" t="s">
        <v>55</v>
      </c>
      <c r="AD871" s="1" t="s">
        <v>55</v>
      </c>
      <c r="AE871" s="1" t="s">
        <v>55</v>
      </c>
      <c r="AF871" s="1" t="s">
        <v>54</v>
      </c>
      <c r="AG871" s="1" t="s">
        <v>55</v>
      </c>
      <c r="AH871" s="1" t="s">
        <v>55</v>
      </c>
      <c r="AI871" s="1" t="s">
        <v>55</v>
      </c>
      <c r="AJ871" s="1" t="s">
        <v>55</v>
      </c>
      <c r="AK871" s="1" t="s">
        <v>55</v>
      </c>
      <c r="AL871" s="1">
        <v>150.0</v>
      </c>
      <c r="AM871" s="1" t="s">
        <v>55</v>
      </c>
      <c r="AN871" s="1" t="s">
        <v>55</v>
      </c>
      <c r="AO871" s="1" t="s">
        <v>55</v>
      </c>
      <c r="AP871" s="1" t="s">
        <v>4309</v>
      </c>
      <c r="AQ871" s="3" t="str">
        <f>HYPERLINK("https://icf.clappia.com/app/GMB253374/submission/RKN64951214/ICF247370-GMB253374-4elmb85lb0a800000000/SIG-20250630_1200p30hh.jpeg", "SIG-20250630_1200p30hh.jpeg")</f>
        <v>SIG-20250630_1200p30hh.jpeg</v>
      </c>
      <c r="AR871" s="1" t="s">
        <v>4310</v>
      </c>
      <c r="AS871" s="3" t="str">
        <f>HYPERLINK("https://icf.clappia.com/app/GMB253374/submission/RKN64951214/ICF247370-GMB253374-67969f4ebi4g00000000/SIG-20250630_1201m0cnf.jpeg", "SIG-20250630_1201m0cnf.jpeg")</f>
        <v>SIG-20250630_1201m0cnf.jpeg</v>
      </c>
      <c r="AT871" s="1" t="s">
        <v>4311</v>
      </c>
      <c r="AU871" s="3" t="str">
        <f>HYPERLINK("https://icf.clappia.com/app/GMB253374/submission/RKN64951214/ICF247370-GMB253374-3hf3bd7dm2g400000000/SIG-20250630_1203f7bic.jpeg", "SIG-20250630_1203f7bic.jpeg")</f>
        <v>SIG-20250630_1203f7bic.jpeg</v>
      </c>
      <c r="AV871" s="3" t="str">
        <f>HYPERLINK("https://www.google.com/maps/place/7.84004%2C-11.6640217", "7.84004,-11.6640217")</f>
        <v>7.84004,-11.6640217</v>
      </c>
    </row>
    <row r="872" ht="15.75" customHeight="1">
      <c r="A872" s="1" t="s">
        <v>4312</v>
      </c>
      <c r="B872" s="1" t="s">
        <v>189</v>
      </c>
      <c r="C872" s="1" t="s">
        <v>4313</v>
      </c>
      <c r="D872" s="1" t="s">
        <v>4313</v>
      </c>
      <c r="E872" s="1" t="s">
        <v>4314</v>
      </c>
      <c r="F872" s="1" t="s">
        <v>64</v>
      </c>
      <c r="G872" s="1">
        <v>308.0</v>
      </c>
      <c r="H872" s="1" t="s">
        <v>50</v>
      </c>
      <c r="I872" s="1">
        <v>57.0</v>
      </c>
      <c r="J872" s="1">
        <v>27.0</v>
      </c>
      <c r="K872" s="1">
        <v>27.0</v>
      </c>
      <c r="L872" s="1">
        <v>30.0</v>
      </c>
      <c r="M872" s="1">
        <v>30.0</v>
      </c>
      <c r="N872" s="1" t="s">
        <v>51</v>
      </c>
      <c r="O872" s="1">
        <v>58.0</v>
      </c>
      <c r="P872" s="1">
        <v>34.0</v>
      </c>
      <c r="Q872" s="1">
        <v>34.0</v>
      </c>
      <c r="R872" s="1">
        <v>24.0</v>
      </c>
      <c r="S872" s="1">
        <v>24.0</v>
      </c>
      <c r="T872" s="1" t="s">
        <v>52</v>
      </c>
      <c r="U872" s="1">
        <v>71.0</v>
      </c>
      <c r="V872" s="1">
        <v>39.0</v>
      </c>
      <c r="W872" s="1">
        <v>39.0</v>
      </c>
      <c r="X872" s="1">
        <v>32.0</v>
      </c>
      <c r="Y872" s="1">
        <v>32.0</v>
      </c>
      <c r="Z872" s="1" t="s">
        <v>53</v>
      </c>
      <c r="AA872" s="1">
        <v>65.0</v>
      </c>
      <c r="AB872" s="1">
        <v>29.0</v>
      </c>
      <c r="AC872" s="1">
        <v>29.0</v>
      </c>
      <c r="AD872" s="1">
        <v>36.0</v>
      </c>
      <c r="AE872" s="1">
        <v>36.0</v>
      </c>
      <c r="AF872" s="1" t="s">
        <v>54</v>
      </c>
      <c r="AG872" s="1">
        <v>57.0</v>
      </c>
      <c r="AH872" s="1">
        <v>29.0</v>
      </c>
      <c r="AI872" s="1">
        <v>24.0</v>
      </c>
      <c r="AJ872" s="1">
        <v>28.0</v>
      </c>
      <c r="AK872" s="1">
        <v>23.0</v>
      </c>
      <c r="AL872" s="1">
        <v>298.0</v>
      </c>
      <c r="AM872" s="1">
        <v>10.0</v>
      </c>
      <c r="AN872" s="1" t="s">
        <v>55</v>
      </c>
      <c r="AO872" s="1" t="s">
        <v>55</v>
      </c>
      <c r="AP872" s="1" t="s">
        <v>4315</v>
      </c>
      <c r="AQ872" s="3" t="str">
        <f>HYPERLINK("https://icf.clappia.com/app/GMB253374/submission/TVS20863940/ICF247370-GMB253374-4jccgnle63e600000000/SIG-20250630_13465p8l8.jpeg", "SIG-20250630_13465p8l8.jpeg")</f>
        <v>SIG-20250630_13465p8l8.jpeg</v>
      </c>
      <c r="AR872" s="1" t="s">
        <v>4316</v>
      </c>
      <c r="AS872" s="3" t="str">
        <f>HYPERLINK("https://icf.clappia.com/app/GMB253374/submission/TVS20863940/ICF247370-GMB253374-af52daif2dmg0000000/SIG-20250630_13462icoh.jpeg", "SIG-20250630_13462icoh.jpeg")</f>
        <v>SIG-20250630_13462icoh.jpeg</v>
      </c>
      <c r="AT872" s="1" t="s">
        <v>4317</v>
      </c>
      <c r="AU872" s="3" t="str">
        <f>HYPERLINK("https://icf.clappia.com/app/GMB253374/submission/TVS20863940/ICF247370-GMB253374-5o7116dal9pe00000000/SIG-20250630_1348nckmc.jpeg", "SIG-20250630_1348nckmc.jpeg")</f>
        <v>SIG-20250630_1348nckmc.jpeg</v>
      </c>
      <c r="AV872" s="3" t="str">
        <f>HYPERLINK("https://www.google.com/maps/place/8.862922%2C-12.0402335", "8.862922,-12.0402335")</f>
        <v>8.862922,-12.0402335</v>
      </c>
    </row>
    <row r="873" ht="15.75" customHeight="1">
      <c r="A873" s="1" t="s">
        <v>4318</v>
      </c>
      <c r="B873" s="1" t="s">
        <v>248</v>
      </c>
      <c r="C873" s="1" t="s">
        <v>4313</v>
      </c>
      <c r="D873" s="1" t="s">
        <v>4313</v>
      </c>
      <c r="E873" s="1" t="s">
        <v>4319</v>
      </c>
      <c r="F873" s="1" t="s">
        <v>64</v>
      </c>
      <c r="G873" s="1">
        <v>200.0</v>
      </c>
      <c r="H873" s="1" t="s">
        <v>50</v>
      </c>
      <c r="I873" s="1">
        <v>87.0</v>
      </c>
      <c r="J873" s="1">
        <v>45.0</v>
      </c>
      <c r="K873" s="1">
        <v>38.0</v>
      </c>
      <c r="L873" s="1">
        <v>42.0</v>
      </c>
      <c r="M873" s="1">
        <v>40.0</v>
      </c>
      <c r="N873" s="1" t="s">
        <v>51</v>
      </c>
      <c r="O873" s="1">
        <v>30.0</v>
      </c>
      <c r="P873" s="1">
        <v>15.0</v>
      </c>
      <c r="Q873" s="1">
        <v>15.0</v>
      </c>
      <c r="R873" s="1">
        <v>15.0</v>
      </c>
      <c r="S873" s="1">
        <v>15.0</v>
      </c>
      <c r="T873" s="1" t="s">
        <v>52</v>
      </c>
      <c r="U873" s="1">
        <v>22.0</v>
      </c>
      <c r="V873" s="1">
        <v>12.0</v>
      </c>
      <c r="W873" s="1">
        <v>12.0</v>
      </c>
      <c r="X873" s="1">
        <v>10.0</v>
      </c>
      <c r="Y873" s="1">
        <v>8.0</v>
      </c>
      <c r="Z873" s="1" t="s">
        <v>53</v>
      </c>
      <c r="AA873" s="1">
        <v>22.0</v>
      </c>
      <c r="AB873" s="1">
        <v>10.0</v>
      </c>
      <c r="AC873" s="1">
        <v>10.0</v>
      </c>
      <c r="AD873" s="1">
        <v>12.0</v>
      </c>
      <c r="AE873" s="1">
        <v>8.0</v>
      </c>
      <c r="AF873" s="1" t="s">
        <v>54</v>
      </c>
      <c r="AG873" s="1">
        <v>28.0</v>
      </c>
      <c r="AH873" s="1">
        <v>15.0</v>
      </c>
      <c r="AI873" s="1">
        <v>11.0</v>
      </c>
      <c r="AJ873" s="1">
        <v>13.0</v>
      </c>
      <c r="AK873" s="1">
        <v>13.0</v>
      </c>
      <c r="AL873" s="1">
        <v>170.0</v>
      </c>
      <c r="AM873" s="1" t="s">
        <v>55</v>
      </c>
      <c r="AN873" s="1">
        <v>30.0</v>
      </c>
      <c r="AO873" s="1">
        <v>30.0</v>
      </c>
      <c r="AP873" s="1" t="s">
        <v>4320</v>
      </c>
      <c r="AQ873" s="3" t="str">
        <f>HYPERLINK("https://icf.clappia.com/app/GMB253374/submission/VJF96700283/ICF247370-GMB253374-1o20bfo746k640000000/SIG-20250630_1346h9l96.jpeg", "SIG-20250630_1346h9l96.jpeg")</f>
        <v>SIG-20250630_1346h9l96.jpeg</v>
      </c>
      <c r="AR873" s="1" t="s">
        <v>4321</v>
      </c>
      <c r="AS873" s="3" t="str">
        <f>HYPERLINK("https://icf.clappia.com/app/GMB253374/submission/VJF96700283/ICF247370-GMB253374-1ffncjm0old1a0000000/SIG-20250630_1347d7b1i.jpeg", "SIG-20250630_1347d7b1i.jpeg")</f>
        <v>SIG-20250630_1347d7b1i.jpeg</v>
      </c>
      <c r="AT873" s="1" t="s">
        <v>4322</v>
      </c>
      <c r="AU873" s="3" t="str">
        <f>HYPERLINK("https://icf.clappia.com/app/GMB253374/submission/VJF96700283/ICF247370-GMB253374-5ac9fi6bclia00000000/SIG-20250630_134710m6c9.jpeg", "SIG-20250630_134710m6c9.jpeg")</f>
        <v>SIG-20250630_134710m6c9.jpeg</v>
      </c>
      <c r="AV873" s="3" t="str">
        <f>HYPERLINK("https://www.google.com/maps/place/7.91855%2C-11.4283983", "7.91855,-11.4283983")</f>
        <v>7.91855,-11.4283983</v>
      </c>
    </row>
    <row r="874" ht="15.75" customHeight="1">
      <c r="A874" s="1" t="s">
        <v>4323</v>
      </c>
      <c r="B874" s="1" t="s">
        <v>60</v>
      </c>
      <c r="C874" s="1" t="s">
        <v>4324</v>
      </c>
      <c r="D874" s="1" t="s">
        <v>4325</v>
      </c>
      <c r="E874" s="1" t="s">
        <v>1957</v>
      </c>
      <c r="F874" s="1" t="s">
        <v>64</v>
      </c>
      <c r="G874" s="1">
        <v>227.0</v>
      </c>
      <c r="H874" s="1" t="s">
        <v>50</v>
      </c>
      <c r="I874" s="1">
        <v>45.0</v>
      </c>
      <c r="J874" s="1">
        <v>20.0</v>
      </c>
      <c r="K874" s="1">
        <v>20.0</v>
      </c>
      <c r="L874" s="1">
        <v>25.0</v>
      </c>
      <c r="M874" s="1">
        <v>25.0</v>
      </c>
      <c r="N874" s="1" t="s">
        <v>51</v>
      </c>
      <c r="O874" s="1">
        <v>55.0</v>
      </c>
      <c r="P874" s="1">
        <v>25.0</v>
      </c>
      <c r="Q874" s="1">
        <v>25.0</v>
      </c>
      <c r="R874" s="1">
        <v>30.0</v>
      </c>
      <c r="S874" s="1">
        <v>30.0</v>
      </c>
      <c r="T874" s="1" t="s">
        <v>52</v>
      </c>
      <c r="U874" s="1">
        <v>40.0</v>
      </c>
      <c r="V874" s="1">
        <v>20.0</v>
      </c>
      <c r="W874" s="1">
        <v>20.0</v>
      </c>
      <c r="X874" s="1">
        <v>20.0</v>
      </c>
      <c r="Y874" s="1">
        <v>20.0</v>
      </c>
      <c r="Z874" s="1" t="s">
        <v>53</v>
      </c>
      <c r="AA874" s="1">
        <v>50.0</v>
      </c>
      <c r="AB874" s="1">
        <v>22.0</v>
      </c>
      <c r="AC874" s="1">
        <v>22.0</v>
      </c>
      <c r="AD874" s="1">
        <v>28.0</v>
      </c>
      <c r="AE874" s="1">
        <v>28.0</v>
      </c>
      <c r="AF874" s="1" t="s">
        <v>54</v>
      </c>
      <c r="AG874" s="1">
        <v>37.0</v>
      </c>
      <c r="AH874" s="1">
        <v>21.0</v>
      </c>
      <c r="AI874" s="1">
        <v>21.0</v>
      </c>
      <c r="AJ874" s="1">
        <v>16.0</v>
      </c>
      <c r="AK874" s="1">
        <v>16.0</v>
      </c>
      <c r="AL874" s="1">
        <v>227.0</v>
      </c>
      <c r="AM874" s="1" t="s">
        <v>55</v>
      </c>
      <c r="AN874" s="1" t="s">
        <v>55</v>
      </c>
      <c r="AO874" s="1" t="s">
        <v>55</v>
      </c>
      <c r="AP874" s="1" t="s">
        <v>4326</v>
      </c>
      <c r="AQ874" s="3" t="str">
        <f>HYPERLINK("https://icf.clappia.com/app/GMB253374/submission/IMT35040416/ICF247370-GMB253374-2acnok9ln7kdg0000000/SIG-20250630_1344b3o4h.jpeg", "SIG-20250630_1344b3o4h.jpeg")</f>
        <v>SIG-20250630_1344b3o4h.jpeg</v>
      </c>
      <c r="AR874" s="1" t="s">
        <v>4327</v>
      </c>
      <c r="AS874" s="3" t="str">
        <f>HYPERLINK("https://icf.clappia.com/app/GMB253374/submission/IMT35040416/ICF247370-GMB253374-76lp9g6ki6800000000/SIG-20250630_1345lco9h.jpeg", "SIG-20250630_1345lco9h.jpeg")</f>
        <v>SIG-20250630_1345lco9h.jpeg</v>
      </c>
      <c r="AT874" s="1" t="s">
        <v>4328</v>
      </c>
      <c r="AU874" s="3" t="str">
        <f>HYPERLINK("https://icf.clappia.com/app/GMB253374/submission/IMT35040416/ICF247370-GMB253374-646j6ieb2oeg00000000/SIG-20250630_1347plpc6.jpeg", "SIG-20250630_1347plpc6.jpeg")</f>
        <v>SIG-20250630_1347plpc6.jpeg</v>
      </c>
      <c r="AV874" s="3" t="str">
        <f>HYPERLINK("https://www.google.com/maps/place/8.970945%2C-12.1595099", "8.970945,-12.1595099")</f>
        <v>8.970945,-12.1595099</v>
      </c>
    </row>
    <row r="875" ht="15.75" customHeight="1">
      <c r="A875" s="1" t="s">
        <v>4329</v>
      </c>
      <c r="B875" s="1" t="s">
        <v>94</v>
      </c>
      <c r="C875" s="1" t="s">
        <v>4330</v>
      </c>
      <c r="D875" s="1" t="s">
        <v>4330</v>
      </c>
      <c r="E875" s="1" t="s">
        <v>4331</v>
      </c>
      <c r="F875" s="1" t="s">
        <v>64</v>
      </c>
      <c r="G875" s="1">
        <v>234.0</v>
      </c>
      <c r="H875" s="1" t="s">
        <v>50</v>
      </c>
      <c r="I875" s="1">
        <v>78.0</v>
      </c>
      <c r="J875" s="1">
        <v>30.0</v>
      </c>
      <c r="K875" s="1">
        <v>30.0</v>
      </c>
      <c r="L875" s="1">
        <v>48.0</v>
      </c>
      <c r="M875" s="1">
        <v>48.0</v>
      </c>
      <c r="N875" s="1" t="s">
        <v>51</v>
      </c>
      <c r="O875" s="1">
        <v>53.0</v>
      </c>
      <c r="P875" s="1">
        <v>21.0</v>
      </c>
      <c r="Q875" s="1">
        <v>21.0</v>
      </c>
      <c r="R875" s="1">
        <v>32.0</v>
      </c>
      <c r="S875" s="1">
        <v>32.0</v>
      </c>
      <c r="T875" s="1" t="s">
        <v>52</v>
      </c>
      <c r="U875" s="1">
        <v>60.0</v>
      </c>
      <c r="V875" s="1">
        <v>23.0</v>
      </c>
      <c r="W875" s="1">
        <v>23.0</v>
      </c>
      <c r="X875" s="1">
        <v>37.0</v>
      </c>
      <c r="Y875" s="1">
        <v>37.0</v>
      </c>
      <c r="Z875" s="1" t="s">
        <v>53</v>
      </c>
      <c r="AA875" s="1">
        <v>43.0</v>
      </c>
      <c r="AB875" s="1">
        <v>20.0</v>
      </c>
      <c r="AC875" s="1">
        <v>20.0</v>
      </c>
      <c r="AD875" s="1">
        <v>23.0</v>
      </c>
      <c r="AE875" s="1">
        <v>23.0</v>
      </c>
      <c r="AF875" s="1" t="s">
        <v>54</v>
      </c>
      <c r="AG875" s="1" t="s">
        <v>55</v>
      </c>
      <c r="AH875" s="1" t="s">
        <v>55</v>
      </c>
      <c r="AI875" s="1" t="s">
        <v>55</v>
      </c>
      <c r="AJ875" s="1" t="s">
        <v>55</v>
      </c>
      <c r="AK875" s="1" t="s">
        <v>55</v>
      </c>
      <c r="AL875" s="1">
        <v>234.0</v>
      </c>
      <c r="AM875" s="1" t="s">
        <v>55</v>
      </c>
      <c r="AN875" s="1" t="s">
        <v>55</v>
      </c>
      <c r="AO875" s="1" t="s">
        <v>55</v>
      </c>
      <c r="AP875" s="1" t="s">
        <v>3074</v>
      </c>
      <c r="AQ875" s="3" t="str">
        <f>HYPERLINK("https://icf.clappia.com/app/GMB253374/submission/PTL60628036/ICF247370-GMB253374-1b4nfiec1io160000000/SIG-20250630_1344lah3b.jpeg", "SIG-20250630_1344lah3b.jpeg")</f>
        <v>SIG-20250630_1344lah3b.jpeg</v>
      </c>
      <c r="AR875" s="1" t="s">
        <v>3075</v>
      </c>
      <c r="AS875" s="3" t="str">
        <f>HYPERLINK("https://icf.clappia.com/app/GMB253374/submission/PTL60628036/ICF247370-GMB253374-4h8e5d344i9200000000/SIG-20250630_1345lfai.jpeg", "SIG-20250630_1345lfai.jpeg")</f>
        <v>SIG-20250630_1345lfai.jpeg</v>
      </c>
      <c r="AT875" s="1" t="s">
        <v>4332</v>
      </c>
      <c r="AU875" s="3" t="str">
        <f>HYPERLINK("https://icf.clappia.com/app/GMB253374/submission/PTL60628036/ICF247370-GMB253374-3eecbpnco61000000000/SIG-20250630_134635k42.jpeg", "SIG-20250630_134635k42.jpeg")</f>
        <v>SIG-20250630_134635k42.jpeg</v>
      </c>
      <c r="AV875" s="3" t="str">
        <f>HYPERLINK("https://www.google.com/maps/place/7.6501012%2C-11.9630997", "7.6501012,-11.9630997")</f>
        <v>7.6501012,-11.9630997</v>
      </c>
    </row>
    <row r="876" ht="15.75" customHeight="1">
      <c r="A876" s="1" t="s">
        <v>4333</v>
      </c>
      <c r="B876" s="1" t="s">
        <v>60</v>
      </c>
      <c r="C876" s="1" t="s">
        <v>4334</v>
      </c>
      <c r="D876" s="1" t="s">
        <v>4334</v>
      </c>
      <c r="E876" s="1" t="s">
        <v>4335</v>
      </c>
      <c r="F876" s="1" t="s">
        <v>64</v>
      </c>
      <c r="G876" s="1">
        <v>400.0</v>
      </c>
      <c r="H876" s="1" t="s">
        <v>50</v>
      </c>
      <c r="I876" s="1">
        <v>118.0</v>
      </c>
      <c r="J876" s="1">
        <v>55.0</v>
      </c>
      <c r="K876" s="1">
        <v>53.0</v>
      </c>
      <c r="L876" s="1">
        <v>63.0</v>
      </c>
      <c r="M876" s="1">
        <v>59.0</v>
      </c>
      <c r="N876" s="1" t="s">
        <v>51</v>
      </c>
      <c r="O876" s="1">
        <v>62.0</v>
      </c>
      <c r="P876" s="1">
        <v>34.0</v>
      </c>
      <c r="Q876" s="1">
        <v>33.0</v>
      </c>
      <c r="R876" s="1">
        <v>28.0</v>
      </c>
      <c r="S876" s="1">
        <v>27.0</v>
      </c>
      <c r="T876" s="1" t="s">
        <v>52</v>
      </c>
      <c r="U876" s="1">
        <v>58.0</v>
      </c>
      <c r="V876" s="1">
        <v>31.0</v>
      </c>
      <c r="W876" s="1">
        <v>31.0</v>
      </c>
      <c r="X876" s="1">
        <v>27.0</v>
      </c>
      <c r="Y876" s="1">
        <v>26.0</v>
      </c>
      <c r="Z876" s="1" t="s">
        <v>53</v>
      </c>
      <c r="AA876" s="1">
        <v>79.0</v>
      </c>
      <c r="AB876" s="1">
        <v>48.0</v>
      </c>
      <c r="AC876" s="1">
        <v>47.0</v>
      </c>
      <c r="AD876" s="1">
        <v>31.0</v>
      </c>
      <c r="AE876" s="1">
        <v>31.0</v>
      </c>
      <c r="AF876" s="1" t="s">
        <v>54</v>
      </c>
      <c r="AG876" s="1">
        <v>40.0</v>
      </c>
      <c r="AH876" s="1">
        <v>17.0</v>
      </c>
      <c r="AI876" s="1">
        <v>17.0</v>
      </c>
      <c r="AJ876" s="1">
        <v>23.0</v>
      </c>
      <c r="AK876" s="1">
        <v>23.0</v>
      </c>
      <c r="AL876" s="1">
        <v>347.0</v>
      </c>
      <c r="AM876" s="1">
        <v>9.0</v>
      </c>
      <c r="AN876" s="1">
        <v>44.0</v>
      </c>
      <c r="AO876" s="1">
        <v>43.0</v>
      </c>
      <c r="AP876" s="1" t="s">
        <v>2836</v>
      </c>
      <c r="AQ876" s="3" t="str">
        <f>HYPERLINK("https://icf.clappia.com/app/GMB253374/submission/NSY60333921/ICF247370-GMB253374-36aakl276fj200000000/SIG-20250630_133912df7b.jpeg", "SIG-20250630_133912df7b.jpeg")</f>
        <v>SIG-20250630_133912df7b.jpeg</v>
      </c>
      <c r="AR876" s="1" t="s">
        <v>927</v>
      </c>
      <c r="AS876" s="3" t="str">
        <f>HYPERLINK("https://icf.clappia.com/app/GMB253374/submission/NSY60333921/ICF247370-GMB253374-1d9pkn0n01djg0000000/SIG-20250630_1339n4j69.jpeg", "SIG-20250630_1339n4j69.jpeg")</f>
        <v>SIG-20250630_1339n4j69.jpeg</v>
      </c>
      <c r="AT876" s="1" t="s">
        <v>4336</v>
      </c>
      <c r="AU876" s="3" t="str">
        <f>HYPERLINK("https://icf.clappia.com/app/GMB253374/submission/NSY60333921/ICF247370-GMB253374-1i2aai4gdo3oe0000000/SIG-20250630_1341ha25n.jpeg", "SIG-20250630_1341ha25n.jpeg")</f>
        <v>SIG-20250630_1341ha25n.jpeg</v>
      </c>
      <c r="AV876" s="3" t="str">
        <f>HYPERLINK("https://www.google.com/maps/place/9.165297%2C-12.0398765", "9.165297,-12.0398765")</f>
        <v>9.165297,-12.0398765</v>
      </c>
    </row>
    <row r="877" ht="15.75" customHeight="1">
      <c r="A877" s="1" t="s">
        <v>4337</v>
      </c>
      <c r="B877" s="1" t="s">
        <v>69</v>
      </c>
      <c r="C877" s="1" t="s">
        <v>4338</v>
      </c>
      <c r="D877" s="1" t="s">
        <v>4338</v>
      </c>
      <c r="E877" s="1" t="s">
        <v>4339</v>
      </c>
      <c r="F877" s="1" t="s">
        <v>49</v>
      </c>
      <c r="G877" s="1">
        <v>131.0</v>
      </c>
      <c r="H877" s="1" t="s">
        <v>50</v>
      </c>
      <c r="I877" s="1">
        <v>27.0</v>
      </c>
      <c r="J877" s="1">
        <v>20.0</v>
      </c>
      <c r="K877" s="1">
        <v>18.0</v>
      </c>
      <c r="L877" s="1">
        <v>7.0</v>
      </c>
      <c r="M877" s="1">
        <v>7.0</v>
      </c>
      <c r="N877" s="1" t="s">
        <v>51</v>
      </c>
      <c r="O877" s="1">
        <v>31.0</v>
      </c>
      <c r="P877" s="1">
        <v>16.0</v>
      </c>
      <c r="Q877" s="1">
        <v>16.0</v>
      </c>
      <c r="R877" s="1">
        <v>15.0</v>
      </c>
      <c r="S877" s="1">
        <v>13.0</v>
      </c>
      <c r="T877" s="1" t="s">
        <v>52</v>
      </c>
      <c r="U877" s="1">
        <v>35.0</v>
      </c>
      <c r="V877" s="1">
        <v>14.0</v>
      </c>
      <c r="W877" s="1">
        <v>14.0</v>
      </c>
      <c r="X877" s="1">
        <v>21.0</v>
      </c>
      <c r="Y877" s="1">
        <v>21.0</v>
      </c>
      <c r="Z877" s="1" t="s">
        <v>53</v>
      </c>
      <c r="AA877" s="1">
        <v>21.0</v>
      </c>
      <c r="AB877" s="1">
        <v>11.0</v>
      </c>
      <c r="AC877" s="1">
        <v>11.0</v>
      </c>
      <c r="AD877" s="1">
        <v>10.0</v>
      </c>
      <c r="AE877" s="1">
        <v>7.0</v>
      </c>
      <c r="AF877" s="1" t="s">
        <v>54</v>
      </c>
      <c r="AG877" s="1">
        <v>17.0</v>
      </c>
      <c r="AH877" s="1">
        <v>8.0</v>
      </c>
      <c r="AI877" s="1">
        <v>8.0</v>
      </c>
      <c r="AJ877" s="1">
        <v>9.0</v>
      </c>
      <c r="AK877" s="1">
        <v>8.0</v>
      </c>
      <c r="AL877" s="1">
        <v>123.0</v>
      </c>
      <c r="AM877" s="1">
        <v>8.0</v>
      </c>
      <c r="AN877" s="1" t="s">
        <v>55</v>
      </c>
      <c r="AO877" s="1" t="s">
        <v>55</v>
      </c>
      <c r="AP877" s="1" t="s">
        <v>2135</v>
      </c>
      <c r="AQ877" s="3" t="str">
        <f>HYPERLINK("https://icf.clappia.com/app/GMB253374/submission/MBZ95462960/ICF247370-GMB253374-de9lenpc7o0g0000000/SIG-20250630_1331eidpl.jpeg", "SIG-20250630_1331eidpl.jpeg")</f>
        <v>SIG-20250630_1331eidpl.jpeg</v>
      </c>
      <c r="AR877" s="1" t="s">
        <v>2136</v>
      </c>
      <c r="AS877" s="3" t="str">
        <f>HYPERLINK("https://icf.clappia.com/app/GMB253374/submission/MBZ95462960/ICF247370-GMB253374-4clk1c2o8bko00000000/SIG-20250630_13406i397.jpeg", "SIG-20250630_13406i397.jpeg")</f>
        <v>SIG-20250630_13406i397.jpeg</v>
      </c>
      <c r="AT877" s="1" t="s">
        <v>4340</v>
      </c>
      <c r="AU877" s="3" t="str">
        <f>HYPERLINK("https://icf.clappia.com/app/GMB253374/submission/MBZ95462960/ICF247370-GMB253374-2h047clnkmbm00000000/SIG-20250630_13291a638c.jpeg", "SIG-20250630_13291a638c.jpeg")</f>
        <v>SIG-20250630_13291a638c.jpeg</v>
      </c>
      <c r="AV877" s="3" t="str">
        <f>HYPERLINK("https://www.google.com/maps/place/8.8727%2C-12.102145", "8.8727,-12.102145")</f>
        <v>8.8727,-12.102145</v>
      </c>
    </row>
    <row r="878" ht="15.75" customHeight="1">
      <c r="A878" s="1" t="s">
        <v>4341</v>
      </c>
      <c r="B878" s="1" t="s">
        <v>81</v>
      </c>
      <c r="C878" s="1" t="s">
        <v>3963</v>
      </c>
      <c r="D878" s="1" t="s">
        <v>3963</v>
      </c>
      <c r="E878" s="1" t="s">
        <v>4342</v>
      </c>
      <c r="F878" s="1" t="s">
        <v>64</v>
      </c>
      <c r="G878" s="1">
        <v>109.0</v>
      </c>
      <c r="H878" s="1" t="s">
        <v>50</v>
      </c>
      <c r="I878" s="1">
        <v>37.0</v>
      </c>
      <c r="J878" s="1">
        <v>19.0</v>
      </c>
      <c r="K878" s="1">
        <v>13.0</v>
      </c>
      <c r="L878" s="1">
        <v>18.0</v>
      </c>
      <c r="M878" s="1">
        <v>15.0</v>
      </c>
      <c r="N878" s="1" t="s">
        <v>51</v>
      </c>
      <c r="O878" s="1">
        <v>28.0</v>
      </c>
      <c r="P878" s="1">
        <v>13.0</v>
      </c>
      <c r="Q878" s="1">
        <v>9.0</v>
      </c>
      <c r="R878" s="1">
        <v>15.0</v>
      </c>
      <c r="S878" s="1">
        <v>12.0</v>
      </c>
      <c r="T878" s="1" t="s">
        <v>52</v>
      </c>
      <c r="U878" s="1">
        <v>21.0</v>
      </c>
      <c r="V878" s="1">
        <v>13.0</v>
      </c>
      <c r="W878" s="1">
        <v>9.0</v>
      </c>
      <c r="X878" s="1">
        <v>8.0</v>
      </c>
      <c r="Y878" s="1">
        <v>8.0</v>
      </c>
      <c r="Z878" s="1" t="s">
        <v>53</v>
      </c>
      <c r="AA878" s="1">
        <v>20.0</v>
      </c>
      <c r="AB878" s="1">
        <v>7.0</v>
      </c>
      <c r="AC878" s="1">
        <v>6.0</v>
      </c>
      <c r="AD878" s="1">
        <v>13.0</v>
      </c>
      <c r="AE878" s="1">
        <v>8.0</v>
      </c>
      <c r="AF878" s="1" t="s">
        <v>54</v>
      </c>
      <c r="AG878" s="1">
        <v>23.0</v>
      </c>
      <c r="AH878" s="1">
        <v>9.0</v>
      </c>
      <c r="AI878" s="1">
        <v>7.0</v>
      </c>
      <c r="AJ878" s="1">
        <v>14.0</v>
      </c>
      <c r="AK878" s="1">
        <v>13.0</v>
      </c>
      <c r="AL878" s="1">
        <v>100.0</v>
      </c>
      <c r="AM878" s="1">
        <v>9.0</v>
      </c>
      <c r="AN878" s="1" t="s">
        <v>55</v>
      </c>
      <c r="AO878" s="1" t="s">
        <v>55</v>
      </c>
      <c r="AP878" s="1" t="s">
        <v>4343</v>
      </c>
      <c r="AQ878" s="3" t="str">
        <f>HYPERLINK("https://icf.clappia.com/app/GMB253374/submission/IGY16870407/ICF247370-GMB253374-4nbfd4939e5200000000/SIG-20250630_1303c7671.jpeg", "SIG-20250630_1303c7671.jpeg")</f>
        <v>SIG-20250630_1303c7671.jpeg</v>
      </c>
      <c r="AR878" s="1" t="s">
        <v>1168</v>
      </c>
      <c r="AS878" s="3" t="str">
        <f>HYPERLINK("https://icf.clappia.com/app/GMB253374/submission/IGY16870407/ICF247370-GMB253374-4ehmlbidajc800000000/SIG-20250630_130613gloe.jpeg", "SIG-20250630_130613gloe.jpeg")</f>
        <v>SIG-20250630_130613gloe.jpeg</v>
      </c>
      <c r="AT878" s="1" t="s">
        <v>4344</v>
      </c>
      <c r="AU878" s="3" t="str">
        <f>HYPERLINK("https://icf.clappia.com/app/GMB253374/submission/IGY16870407/ICF247370-GMB253374-6apkp60p6h8k00000000/SIG-20250630_13138538f.jpeg", "SIG-20250630_13138538f.jpeg")</f>
        <v>SIG-20250630_13138538f.jpeg</v>
      </c>
      <c r="AV878" s="3" t="str">
        <f>HYPERLINK("https://www.google.com/maps/place/7.9450739%2C-11.7141241", "7.9450739,-11.7141241")</f>
        <v>7.9450739,-11.7141241</v>
      </c>
    </row>
    <row r="879" ht="15.75" customHeight="1">
      <c r="A879" s="1" t="s">
        <v>4345</v>
      </c>
      <c r="B879" s="1" t="s">
        <v>167</v>
      </c>
      <c r="C879" s="1" t="s">
        <v>4346</v>
      </c>
      <c r="D879" s="1" t="s">
        <v>4346</v>
      </c>
      <c r="E879" s="1" t="s">
        <v>4347</v>
      </c>
      <c r="F879" s="1" t="s">
        <v>64</v>
      </c>
      <c r="G879" s="1">
        <v>50.0</v>
      </c>
      <c r="H879" s="1" t="s">
        <v>50</v>
      </c>
      <c r="I879" s="1">
        <v>25.0</v>
      </c>
      <c r="J879" s="1">
        <v>8.0</v>
      </c>
      <c r="K879" s="1">
        <v>8.0</v>
      </c>
      <c r="L879" s="1">
        <v>17.0</v>
      </c>
      <c r="M879" s="1">
        <v>13.0</v>
      </c>
      <c r="N879" s="1" t="s">
        <v>51</v>
      </c>
      <c r="O879" s="1">
        <v>8.0</v>
      </c>
      <c r="P879" s="1">
        <v>7.0</v>
      </c>
      <c r="Q879" s="1">
        <v>7.0</v>
      </c>
      <c r="R879" s="1">
        <v>1.0</v>
      </c>
      <c r="S879" s="1">
        <v>1.0</v>
      </c>
      <c r="T879" s="1" t="s">
        <v>52</v>
      </c>
      <c r="U879" s="1">
        <v>5.0</v>
      </c>
      <c r="V879" s="1">
        <v>2.0</v>
      </c>
      <c r="W879" s="1" t="s">
        <v>55</v>
      </c>
      <c r="X879" s="1">
        <v>3.0</v>
      </c>
      <c r="Y879" s="1">
        <v>2.0</v>
      </c>
      <c r="Z879" s="1" t="s">
        <v>53</v>
      </c>
      <c r="AA879" s="1">
        <v>4.0</v>
      </c>
      <c r="AB879" s="1">
        <v>2.0</v>
      </c>
      <c r="AC879" s="1" t="s">
        <v>55</v>
      </c>
      <c r="AD879" s="1">
        <v>2.0</v>
      </c>
      <c r="AE879" s="1">
        <v>2.0</v>
      </c>
      <c r="AF879" s="1" t="s">
        <v>54</v>
      </c>
      <c r="AG879" s="1" t="s">
        <v>55</v>
      </c>
      <c r="AH879" s="1" t="s">
        <v>55</v>
      </c>
      <c r="AI879" s="1" t="s">
        <v>55</v>
      </c>
      <c r="AJ879" s="1" t="s">
        <v>55</v>
      </c>
      <c r="AK879" s="1" t="s">
        <v>55</v>
      </c>
      <c r="AL879" s="1">
        <v>33.0</v>
      </c>
      <c r="AM879" s="1">
        <v>9.0</v>
      </c>
      <c r="AN879" s="1">
        <v>8.0</v>
      </c>
      <c r="AO879" s="1">
        <v>8.0</v>
      </c>
      <c r="AP879" s="1" t="s">
        <v>911</v>
      </c>
      <c r="AQ879" s="3" t="str">
        <f>HYPERLINK("https://icf.clappia.com/app/GMB253374/submission/WGT11322600/ICF247370-GMB253374-lpk89bhk5l040000000/SIG-20250630_1327cd1ka.jpeg", "SIG-20250630_1327cd1ka.jpeg")</f>
        <v>SIG-20250630_1327cd1ka.jpeg</v>
      </c>
      <c r="AR879" s="1" t="s">
        <v>4348</v>
      </c>
      <c r="AS879" s="3" t="str">
        <f>HYPERLINK("https://icf.clappia.com/app/GMB253374/submission/WGT11322600/ICF247370-GMB253374-3c668m2030l400000000/SIG-20250630_13288ijcj.jpeg", "SIG-20250630_13288ijcj.jpeg")</f>
        <v>SIG-20250630_13288ijcj.jpeg</v>
      </c>
      <c r="AT879" s="1" t="s">
        <v>4349</v>
      </c>
      <c r="AU879" s="3" t="str">
        <f>HYPERLINK("https://icf.clappia.com/app/GMB253374/submission/WGT11322600/ICF247370-GMB253374-15l24170fi9la0000000/SIG-20250630_132819a5o0.jpeg", "SIG-20250630_132819a5o0.jpeg")</f>
        <v>SIG-20250630_132819a5o0.jpeg</v>
      </c>
      <c r="AV879" s="3" t="str">
        <f>HYPERLINK("https://www.google.com/maps/place/7.9749702%2C-11.7799777", "7.9749702,-11.7799777")</f>
        <v>7.9749702,-11.7799777</v>
      </c>
    </row>
    <row r="880" ht="15.75" customHeight="1">
      <c r="A880" s="1" t="s">
        <v>4350</v>
      </c>
      <c r="B880" s="1" t="s">
        <v>94</v>
      </c>
      <c r="C880" s="1" t="s">
        <v>4351</v>
      </c>
      <c r="D880" s="1" t="s">
        <v>4351</v>
      </c>
      <c r="E880" s="1" t="s">
        <v>4352</v>
      </c>
      <c r="F880" s="1" t="s">
        <v>64</v>
      </c>
      <c r="G880" s="1">
        <v>250.0</v>
      </c>
      <c r="H880" s="1" t="s">
        <v>50</v>
      </c>
      <c r="I880" s="1">
        <v>47.0</v>
      </c>
      <c r="J880" s="1">
        <v>23.0</v>
      </c>
      <c r="K880" s="1">
        <v>19.0</v>
      </c>
      <c r="L880" s="1">
        <v>24.0</v>
      </c>
      <c r="M880" s="1">
        <v>24.0</v>
      </c>
      <c r="N880" s="1" t="s">
        <v>51</v>
      </c>
      <c r="O880" s="1">
        <v>50.0</v>
      </c>
      <c r="P880" s="1">
        <v>19.0</v>
      </c>
      <c r="Q880" s="1">
        <v>11.0</v>
      </c>
      <c r="R880" s="1">
        <v>31.0</v>
      </c>
      <c r="S880" s="1">
        <v>31.0</v>
      </c>
      <c r="T880" s="1" t="s">
        <v>52</v>
      </c>
      <c r="U880" s="1">
        <v>51.0</v>
      </c>
      <c r="V880" s="1">
        <v>25.0</v>
      </c>
      <c r="W880" s="1">
        <v>12.0</v>
      </c>
      <c r="X880" s="1">
        <v>26.0</v>
      </c>
      <c r="Y880" s="1">
        <v>12.0</v>
      </c>
      <c r="Z880" s="1" t="s">
        <v>53</v>
      </c>
      <c r="AA880" s="1">
        <v>50.0</v>
      </c>
      <c r="AB880" s="1">
        <v>24.0</v>
      </c>
      <c r="AC880" s="1">
        <v>5.0</v>
      </c>
      <c r="AD880" s="1">
        <v>26.0</v>
      </c>
      <c r="AE880" s="1">
        <v>12.0</v>
      </c>
      <c r="AF880" s="1" t="s">
        <v>54</v>
      </c>
      <c r="AG880" s="1">
        <v>38.0</v>
      </c>
      <c r="AH880" s="1">
        <v>19.0</v>
      </c>
      <c r="AI880" s="1">
        <v>8.0</v>
      </c>
      <c r="AJ880" s="1">
        <v>19.0</v>
      </c>
      <c r="AK880" s="1">
        <v>7.0</v>
      </c>
      <c r="AL880" s="1">
        <v>141.0</v>
      </c>
      <c r="AM880" s="1">
        <v>10.0</v>
      </c>
      <c r="AN880" s="1">
        <v>99.0</v>
      </c>
      <c r="AO880" s="1">
        <v>10.0</v>
      </c>
      <c r="AP880" s="1" t="s">
        <v>3049</v>
      </c>
      <c r="AQ880" s="3" t="str">
        <f>HYPERLINK("https://icf.clappia.com/app/GMB253374/submission/PCT06301898/ICF247370-GMB253374-a2e1fh8f123a0000000/SIG-20250630_1329hgcoc.jpeg", "SIG-20250630_1329hgcoc.jpeg")</f>
        <v>SIG-20250630_1329hgcoc.jpeg</v>
      </c>
      <c r="AR880" s="1" t="s">
        <v>3050</v>
      </c>
      <c r="AS880" s="3" t="str">
        <f>HYPERLINK("https://icf.clappia.com/app/GMB253374/submission/PCT06301898/ICF247370-GMB253374-fo50l63k39li0000000/SIG-20250630_1330a6dlb.jpeg", "SIG-20250630_1330a6dlb.jpeg")</f>
        <v>SIG-20250630_1330a6dlb.jpeg</v>
      </c>
      <c r="AT880" s="1" t="s">
        <v>4353</v>
      </c>
      <c r="AU880" s="3" t="str">
        <f>HYPERLINK("https://icf.clappia.com/app/GMB253374/submission/PCT06301898/ICF247370-GMB253374-3h7o65nph2ha00000000/SIG-20250630_1331eghpe.jpeg", "SIG-20250630_1331eghpe.jpeg")</f>
        <v>SIG-20250630_1331eghpe.jpeg</v>
      </c>
      <c r="AV880" s="3" t="str">
        <f>HYPERLINK("https://www.google.com/maps/place/7.6524767%2C-11.9639417", "7.6524767,-11.9639417")</f>
        <v>7.6524767,-11.9639417</v>
      </c>
    </row>
    <row r="881" ht="15.75" customHeight="1">
      <c r="A881" s="1" t="s">
        <v>4354</v>
      </c>
      <c r="B881" s="1" t="s">
        <v>248</v>
      </c>
      <c r="C881" s="1" t="s">
        <v>4351</v>
      </c>
      <c r="D881" s="1" t="s">
        <v>4351</v>
      </c>
      <c r="E881" s="1" t="s">
        <v>4355</v>
      </c>
      <c r="F881" s="1" t="s">
        <v>64</v>
      </c>
      <c r="G881" s="1">
        <v>254.0</v>
      </c>
      <c r="H881" s="1" t="s">
        <v>50</v>
      </c>
      <c r="I881" s="1">
        <v>66.0</v>
      </c>
      <c r="J881" s="1">
        <v>35.0</v>
      </c>
      <c r="K881" s="1">
        <v>35.0</v>
      </c>
      <c r="L881" s="1">
        <v>31.0</v>
      </c>
      <c r="M881" s="1">
        <v>31.0</v>
      </c>
      <c r="N881" s="1" t="s">
        <v>51</v>
      </c>
      <c r="O881" s="1">
        <v>35.0</v>
      </c>
      <c r="P881" s="1">
        <v>17.0</v>
      </c>
      <c r="Q881" s="1">
        <v>17.0</v>
      </c>
      <c r="R881" s="1">
        <v>18.0</v>
      </c>
      <c r="S881" s="1">
        <v>18.0</v>
      </c>
      <c r="T881" s="1" t="s">
        <v>52</v>
      </c>
      <c r="U881" s="1">
        <v>60.0</v>
      </c>
      <c r="V881" s="1">
        <v>29.0</v>
      </c>
      <c r="W881" s="1">
        <v>27.0</v>
      </c>
      <c r="X881" s="1">
        <v>31.0</v>
      </c>
      <c r="Y881" s="1">
        <v>29.0</v>
      </c>
      <c r="Z881" s="1" t="s">
        <v>53</v>
      </c>
      <c r="AA881" s="1">
        <v>63.0</v>
      </c>
      <c r="AB881" s="1">
        <v>31.0</v>
      </c>
      <c r="AC881" s="1">
        <v>27.0</v>
      </c>
      <c r="AD881" s="1">
        <v>32.0</v>
      </c>
      <c r="AE881" s="1">
        <v>29.0</v>
      </c>
      <c r="AF881" s="1" t="s">
        <v>54</v>
      </c>
      <c r="AG881" s="1">
        <v>50.0</v>
      </c>
      <c r="AH881" s="1">
        <v>26.0</v>
      </c>
      <c r="AI881" s="1">
        <v>20.0</v>
      </c>
      <c r="AJ881" s="1">
        <v>19.0</v>
      </c>
      <c r="AK881" s="1">
        <v>17.0</v>
      </c>
      <c r="AL881" s="1">
        <v>250.0</v>
      </c>
      <c r="AM881" s="1">
        <v>4.0</v>
      </c>
      <c r="AN881" s="1" t="s">
        <v>55</v>
      </c>
      <c r="AO881" s="1" t="s">
        <v>55</v>
      </c>
      <c r="AP881" s="1" t="s">
        <v>3797</v>
      </c>
      <c r="AQ881" s="3" t="str">
        <f>HYPERLINK("https://icf.clappia.com/app/GMB253374/submission/JAI47457796/ICF247370-GMB253374-1bic595a4l5360000000/SIG-20250630_13269fclj.jpeg", "SIG-20250630_13269fclj.jpeg")</f>
        <v>SIG-20250630_13269fclj.jpeg</v>
      </c>
      <c r="AR881" s="1" t="s">
        <v>4356</v>
      </c>
      <c r="AS881" s="3" t="str">
        <f>HYPERLINK("https://icf.clappia.com/app/GMB253374/submission/JAI47457796/ICF247370-GMB253374-62c5b5dj84oo00000000/SIG-20250630_13276ako1.jpeg", "SIG-20250630_13276ako1.jpeg")</f>
        <v>SIG-20250630_13276ako1.jpeg</v>
      </c>
      <c r="AT881" s="1" t="s">
        <v>4357</v>
      </c>
      <c r="AU881" s="3" t="str">
        <f>HYPERLINK("https://icf.clappia.com/app/GMB253374/submission/JAI47457796/ICF247370-GMB253374-1im0agnl71f7m000000/SIG-20250630_1328kaoi6.jpeg", "SIG-20250630_1328kaoi6.jpeg")</f>
        <v>SIG-20250630_1328kaoi6.jpeg</v>
      </c>
      <c r="AV881" s="3" t="str">
        <f>HYPERLINK("https://www.google.com/maps/place/7.9195%2C-11.4275667", "7.9195,-11.4275667")</f>
        <v>7.9195,-11.4275667</v>
      </c>
    </row>
    <row r="882" ht="15.75" customHeight="1">
      <c r="A882" s="1" t="s">
        <v>4358</v>
      </c>
      <c r="B882" s="1" t="s">
        <v>189</v>
      </c>
      <c r="C882" s="1" t="s">
        <v>4359</v>
      </c>
      <c r="D882" s="1" t="s">
        <v>4359</v>
      </c>
      <c r="E882" s="1" t="s">
        <v>4360</v>
      </c>
      <c r="F882" s="1" t="s">
        <v>64</v>
      </c>
      <c r="G882" s="1">
        <v>750.0</v>
      </c>
      <c r="H882" s="1" t="s">
        <v>50</v>
      </c>
      <c r="I882" s="1">
        <v>185.0</v>
      </c>
      <c r="J882" s="1">
        <v>117.0</v>
      </c>
      <c r="K882" s="1">
        <v>70.0</v>
      </c>
      <c r="L882" s="1">
        <v>68.0</v>
      </c>
      <c r="M882" s="1">
        <v>55.0</v>
      </c>
      <c r="N882" s="1" t="s">
        <v>51</v>
      </c>
      <c r="O882" s="1">
        <v>148.0</v>
      </c>
      <c r="P882" s="1">
        <v>76.0</v>
      </c>
      <c r="Q882" s="1">
        <v>75.0</v>
      </c>
      <c r="R882" s="1">
        <v>72.0</v>
      </c>
      <c r="S882" s="1">
        <v>71.0</v>
      </c>
      <c r="T882" s="1" t="s">
        <v>52</v>
      </c>
      <c r="U882" s="1">
        <v>129.0</v>
      </c>
      <c r="V882" s="1">
        <v>60.0</v>
      </c>
      <c r="W882" s="1">
        <v>59.0</v>
      </c>
      <c r="X882" s="1">
        <v>69.0</v>
      </c>
      <c r="Y882" s="1">
        <v>69.0</v>
      </c>
      <c r="Z882" s="1" t="s">
        <v>53</v>
      </c>
      <c r="AA882" s="1">
        <v>142.0</v>
      </c>
      <c r="AB882" s="1">
        <v>71.0</v>
      </c>
      <c r="AC882" s="1">
        <v>62.0</v>
      </c>
      <c r="AD882" s="1">
        <v>71.0</v>
      </c>
      <c r="AE882" s="1">
        <v>71.0</v>
      </c>
      <c r="AF882" s="1" t="s">
        <v>54</v>
      </c>
      <c r="AG882" s="1">
        <v>150.0</v>
      </c>
      <c r="AH882" s="1">
        <v>81.0</v>
      </c>
      <c r="AI882" s="1">
        <v>77.0</v>
      </c>
      <c r="AJ882" s="1">
        <v>69.0</v>
      </c>
      <c r="AK882" s="1">
        <v>69.0</v>
      </c>
      <c r="AL882" s="1">
        <v>678.0</v>
      </c>
      <c r="AM882" s="1">
        <v>10.0</v>
      </c>
      <c r="AN882" s="1">
        <v>62.0</v>
      </c>
      <c r="AO882" s="1">
        <v>15.0</v>
      </c>
      <c r="AP882" s="1" t="s">
        <v>1928</v>
      </c>
      <c r="AQ882" s="3" t="str">
        <f>HYPERLINK("https://icf.clappia.com/app/GMB253374/submission/LJO87518568/ICF247370-GMB253374-go0k2fm8kg9m000000/SIG-20250630_13291lfeh.jpeg", "SIG-20250630_13291lfeh.jpeg")</f>
        <v>SIG-20250630_13291lfeh.jpeg</v>
      </c>
      <c r="AR882" s="1" t="s">
        <v>1929</v>
      </c>
      <c r="AS882" s="3" t="str">
        <f>HYPERLINK("https://icf.clappia.com/app/GMB253374/submission/LJO87518568/ICF247370-GMB253374-3844g7fdg8o000000000/SIG-20250630_1330fh136.jpeg", "SIG-20250630_1330fh136.jpeg")</f>
        <v>SIG-20250630_1330fh136.jpeg</v>
      </c>
      <c r="AT882" s="1" t="s">
        <v>4361</v>
      </c>
      <c r="AU882" s="3" t="str">
        <f>HYPERLINK("https://icf.clappia.com/app/GMB253374/submission/LJO87518568/ICF247370-GMB253374-4i95i3e7bp8000000000/SIG-20250630_1330f9ldh.jpeg", "SIG-20250630_1330f9ldh.jpeg")</f>
        <v>SIG-20250630_1330f9ldh.jpeg</v>
      </c>
      <c r="AV882" s="3" t="str">
        <f>HYPERLINK("https://www.google.com/maps/place/8.869286%2C-12.0296417", "8.869286,-12.0296417")</f>
        <v>8.869286,-12.0296417</v>
      </c>
    </row>
    <row r="883" ht="15.75" customHeight="1">
      <c r="A883" s="1" t="s">
        <v>4362</v>
      </c>
      <c r="B883" s="1" t="s">
        <v>81</v>
      </c>
      <c r="C883" s="1" t="s">
        <v>4279</v>
      </c>
      <c r="D883" s="1" t="s">
        <v>4279</v>
      </c>
      <c r="E883" s="1" t="s">
        <v>4363</v>
      </c>
      <c r="F883" s="1" t="s">
        <v>49</v>
      </c>
      <c r="G883" s="1">
        <v>200.0</v>
      </c>
      <c r="H883" s="1" t="s">
        <v>50</v>
      </c>
      <c r="I883" s="1">
        <v>50.0</v>
      </c>
      <c r="J883" s="1">
        <v>26.0</v>
      </c>
      <c r="K883" s="1">
        <v>26.0</v>
      </c>
      <c r="L883" s="1">
        <v>24.0</v>
      </c>
      <c r="M883" s="1">
        <v>24.0</v>
      </c>
      <c r="N883" s="1" t="s">
        <v>51</v>
      </c>
      <c r="O883" s="1">
        <v>20.0</v>
      </c>
      <c r="P883" s="1">
        <v>12.0</v>
      </c>
      <c r="Q883" s="1">
        <v>12.0</v>
      </c>
      <c r="R883" s="1">
        <v>8.0</v>
      </c>
      <c r="S883" s="1">
        <v>8.0</v>
      </c>
      <c r="T883" s="1" t="s">
        <v>52</v>
      </c>
      <c r="U883" s="1">
        <v>30.0</v>
      </c>
      <c r="V883" s="1">
        <v>10.0</v>
      </c>
      <c r="W883" s="1">
        <v>10.0</v>
      </c>
      <c r="X883" s="1">
        <v>20.0</v>
      </c>
      <c r="Y883" s="1">
        <v>20.0</v>
      </c>
      <c r="Z883" s="1" t="s">
        <v>53</v>
      </c>
      <c r="AA883" s="1">
        <v>40.0</v>
      </c>
      <c r="AB883" s="1">
        <v>20.0</v>
      </c>
      <c r="AC883" s="1">
        <v>20.0</v>
      </c>
      <c r="AD883" s="1">
        <v>20.0</v>
      </c>
      <c r="AE883" s="1">
        <v>20.0</v>
      </c>
      <c r="AF883" s="1" t="s">
        <v>54</v>
      </c>
      <c r="AG883" s="1">
        <v>30.0</v>
      </c>
      <c r="AH883" s="1">
        <v>10.0</v>
      </c>
      <c r="AI883" s="1">
        <v>10.0</v>
      </c>
      <c r="AJ883" s="1">
        <v>20.0</v>
      </c>
      <c r="AK883" s="1">
        <v>20.0</v>
      </c>
      <c r="AL883" s="1">
        <v>170.0</v>
      </c>
      <c r="AM883" s="1" t="s">
        <v>55</v>
      </c>
      <c r="AN883" s="1">
        <v>30.0</v>
      </c>
      <c r="AO883" s="1">
        <v>30.0</v>
      </c>
      <c r="AP883" s="1" t="s">
        <v>3306</v>
      </c>
      <c r="AQ883" s="3" t="str">
        <f>HYPERLINK("https://icf.clappia.com/app/GMB253374/submission/CZX85278567/ICF247370-GMB253374-54bh2g44fpk400000000/SIG-20250630_1221b7d8n.jpeg", "SIG-20250630_1221b7d8n.jpeg")</f>
        <v>SIG-20250630_1221b7d8n.jpeg</v>
      </c>
      <c r="AR883" s="1" t="s">
        <v>4364</v>
      </c>
      <c r="AS883" s="3" t="str">
        <f>HYPERLINK("https://icf.clappia.com/app/GMB253374/submission/CZX85278567/ICF247370-GMB253374-10o1odn8phoik0000000/SIG-20250630_1222m3jjd.jpeg", "SIG-20250630_1222m3jjd.jpeg")</f>
        <v>SIG-20250630_1222m3jjd.jpeg</v>
      </c>
      <c r="AT883" s="1" t="s">
        <v>4365</v>
      </c>
      <c r="AU883" s="3" t="str">
        <f>HYPERLINK("https://icf.clappia.com/app/GMB253374/submission/CZX85278567/ICF247370-GMB253374-9289g9ln2e3m0000000/SIG-20250630_122310h9ic.jpeg", "SIG-20250630_122310h9ic.jpeg")</f>
        <v>SIG-20250630_122310h9ic.jpeg</v>
      </c>
      <c r="AV883" s="3" t="str">
        <f>HYPERLINK("https://www.google.com/maps/place/7.9453707%2C-11.7151659", "7.9453707,-11.7151659")</f>
        <v>7.9453707,-11.7151659</v>
      </c>
    </row>
    <row r="884" ht="15.75" customHeight="1">
      <c r="A884" s="1" t="s">
        <v>4366</v>
      </c>
      <c r="B884" s="1" t="s">
        <v>94</v>
      </c>
      <c r="C884" s="1" t="s">
        <v>4367</v>
      </c>
      <c r="D884" s="1" t="s">
        <v>4367</v>
      </c>
      <c r="E884" s="1" t="s">
        <v>4368</v>
      </c>
      <c r="F884" s="1" t="s">
        <v>64</v>
      </c>
      <c r="G884" s="1">
        <v>385.0</v>
      </c>
      <c r="H884" s="1" t="s">
        <v>50</v>
      </c>
      <c r="I884" s="1">
        <v>55.0</v>
      </c>
      <c r="J884" s="1">
        <v>20.0</v>
      </c>
      <c r="K884" s="1">
        <v>20.0</v>
      </c>
      <c r="L884" s="1">
        <v>35.0</v>
      </c>
      <c r="M884" s="1">
        <v>35.0</v>
      </c>
      <c r="N884" s="1" t="s">
        <v>51</v>
      </c>
      <c r="O884" s="1">
        <v>56.0</v>
      </c>
      <c r="P884" s="1">
        <v>26.0</v>
      </c>
      <c r="Q884" s="1">
        <v>26.0</v>
      </c>
      <c r="R884" s="1">
        <v>30.0</v>
      </c>
      <c r="S884" s="1">
        <v>30.0</v>
      </c>
      <c r="T884" s="1" t="s">
        <v>52</v>
      </c>
      <c r="U884" s="1">
        <v>38.0</v>
      </c>
      <c r="V884" s="1">
        <v>21.0</v>
      </c>
      <c r="W884" s="1">
        <v>21.0</v>
      </c>
      <c r="X884" s="1">
        <v>17.0</v>
      </c>
      <c r="Y884" s="1">
        <v>17.0</v>
      </c>
      <c r="Z884" s="1" t="s">
        <v>53</v>
      </c>
      <c r="AA884" s="1">
        <v>103.0</v>
      </c>
      <c r="AB884" s="1">
        <v>53.0</v>
      </c>
      <c r="AC884" s="1">
        <v>53.0</v>
      </c>
      <c r="AD884" s="1">
        <v>50.0</v>
      </c>
      <c r="AE884" s="1">
        <v>50.0</v>
      </c>
      <c r="AF884" s="1" t="s">
        <v>54</v>
      </c>
      <c r="AG884" s="1">
        <v>143.0</v>
      </c>
      <c r="AH884" s="1">
        <v>50.0</v>
      </c>
      <c r="AI884" s="1">
        <v>50.0</v>
      </c>
      <c r="AJ884" s="1">
        <v>83.0</v>
      </c>
      <c r="AK884" s="1">
        <v>83.0</v>
      </c>
      <c r="AL884" s="1">
        <v>385.0</v>
      </c>
      <c r="AM884" s="1" t="s">
        <v>55</v>
      </c>
      <c r="AN884" s="1" t="s">
        <v>55</v>
      </c>
      <c r="AO884" s="1" t="s">
        <v>55</v>
      </c>
      <c r="AP884" s="1" t="s">
        <v>4369</v>
      </c>
      <c r="AQ884" s="3" t="str">
        <f>HYPERLINK("https://icf.clappia.com/app/GMB253374/submission/TOI02875064/ICF247370-GMB253374-382ef8fj8a2i00000000/SIG-20250630_132512pn42.jpeg", "SIG-20250630_132512pn42.jpeg")</f>
        <v>SIG-20250630_132512pn42.jpeg</v>
      </c>
      <c r="AR884" s="1" t="s">
        <v>2232</v>
      </c>
      <c r="AS884" s="3" t="str">
        <f>HYPERLINK("https://icf.clappia.com/app/GMB253374/submission/TOI02875064/ICF247370-GMB253374-lm1e7hoen65e0000000/SIG-20250630_1326146lgn.jpeg", "SIG-20250630_1326146lgn.jpeg")</f>
        <v>SIG-20250630_1326146lgn.jpeg</v>
      </c>
      <c r="AT884" s="1" t="s">
        <v>4370</v>
      </c>
      <c r="AU884" s="3" t="str">
        <f>HYPERLINK("https://icf.clappia.com/app/GMB253374/submission/TOI02875064/ICF247370-GMB253374-4441ff1higp200000000/SIG-20250630_13275m4h5.jpeg", "SIG-20250630_13275m4h5.jpeg")</f>
        <v>SIG-20250630_13275m4h5.jpeg</v>
      </c>
      <c r="AV884" s="3" t="str">
        <f>HYPERLINK("https://www.google.com/maps/place/7.6507615%2C-11.9656571", "7.6507615,-11.9656571")</f>
        <v>7.6507615,-11.9656571</v>
      </c>
    </row>
    <row r="885" ht="15.75" customHeight="1">
      <c r="A885" s="1" t="s">
        <v>4371</v>
      </c>
      <c r="B885" s="1" t="s">
        <v>778</v>
      </c>
      <c r="C885" s="1" t="s">
        <v>4372</v>
      </c>
      <c r="D885" s="1" t="s">
        <v>4372</v>
      </c>
      <c r="E885" s="1" t="s">
        <v>4373</v>
      </c>
      <c r="F885" s="1" t="s">
        <v>64</v>
      </c>
      <c r="G885" s="1">
        <v>149.0</v>
      </c>
      <c r="H885" s="1" t="s">
        <v>50</v>
      </c>
      <c r="I885" s="1">
        <v>80.0</v>
      </c>
      <c r="J885" s="1">
        <v>32.0</v>
      </c>
      <c r="K885" s="1">
        <v>32.0</v>
      </c>
      <c r="L885" s="1">
        <v>48.0</v>
      </c>
      <c r="M885" s="1">
        <v>48.0</v>
      </c>
      <c r="N885" s="1" t="s">
        <v>51</v>
      </c>
      <c r="O885" s="1">
        <v>42.0</v>
      </c>
      <c r="P885" s="1">
        <v>26.0</v>
      </c>
      <c r="Q885" s="1">
        <v>26.0</v>
      </c>
      <c r="R885" s="1">
        <v>16.0</v>
      </c>
      <c r="S885" s="1">
        <v>16.0</v>
      </c>
      <c r="T885" s="1" t="s">
        <v>52</v>
      </c>
      <c r="U885" s="1">
        <v>27.0</v>
      </c>
      <c r="V885" s="1">
        <v>10.0</v>
      </c>
      <c r="W885" s="1">
        <v>10.0</v>
      </c>
      <c r="X885" s="1">
        <v>17.0</v>
      </c>
      <c r="Y885" s="1">
        <v>17.0</v>
      </c>
      <c r="Z885" s="1" t="s">
        <v>53</v>
      </c>
      <c r="AA885" s="1" t="s">
        <v>55</v>
      </c>
      <c r="AB885" s="1" t="s">
        <v>55</v>
      </c>
      <c r="AC885" s="1" t="s">
        <v>55</v>
      </c>
      <c r="AD885" s="1" t="s">
        <v>55</v>
      </c>
      <c r="AE885" s="1" t="s">
        <v>55</v>
      </c>
      <c r="AF885" s="1" t="s">
        <v>54</v>
      </c>
      <c r="AG885" s="1" t="s">
        <v>55</v>
      </c>
      <c r="AH885" s="1" t="s">
        <v>55</v>
      </c>
      <c r="AI885" s="1" t="s">
        <v>55</v>
      </c>
      <c r="AJ885" s="1" t="s">
        <v>55</v>
      </c>
      <c r="AK885" s="1" t="s">
        <v>55</v>
      </c>
      <c r="AL885" s="1">
        <v>149.0</v>
      </c>
      <c r="AM885" s="1" t="s">
        <v>55</v>
      </c>
      <c r="AN885" s="1" t="s">
        <v>55</v>
      </c>
      <c r="AO885" s="1" t="s">
        <v>55</v>
      </c>
      <c r="AP885" s="1" t="s">
        <v>1031</v>
      </c>
      <c r="AQ885" s="3" t="str">
        <f>HYPERLINK("https://icf.clappia.com/app/GMB253374/submission/ASX97743708/ICF247370-GMB253374-4c8c78mc06k800000000/SIG-20250630_1310610l2.jpeg", "SIG-20250630_1310610l2.jpeg")</f>
        <v>SIG-20250630_1310610l2.jpeg</v>
      </c>
      <c r="AR885" s="1" t="s">
        <v>1032</v>
      </c>
      <c r="AS885" s="3" t="str">
        <f>HYPERLINK("https://icf.clappia.com/app/GMB253374/submission/ASX97743708/ICF247370-GMB253374-5agi8ede27og00000000/SIG-20250630_1310e6866.jpeg", "SIG-20250630_1310e6866.jpeg")</f>
        <v>SIG-20250630_1310e6866.jpeg</v>
      </c>
      <c r="AT885" s="1" t="s">
        <v>4374</v>
      </c>
      <c r="AU885" s="3" t="str">
        <f>HYPERLINK("https://icf.clappia.com/app/GMB253374/submission/ASX97743708/ICF247370-GMB253374-49m7j6jg1cgm000000/SIG-20250630_1311n6hm5.jpeg", "SIG-20250630_1311n6hm5.jpeg")</f>
        <v>SIG-20250630_1311n6hm5.jpeg</v>
      </c>
      <c r="AV885" s="3" t="str">
        <f>HYPERLINK("https://www.google.com/maps/place/7.8171827%2C-11.6273322", "7.8171827,-11.6273322")</f>
        <v>7.8171827,-11.6273322</v>
      </c>
    </row>
    <row r="886" ht="15.75" customHeight="1">
      <c r="A886" s="1" t="s">
        <v>4375</v>
      </c>
      <c r="B886" s="1" t="s">
        <v>142</v>
      </c>
      <c r="C886" s="1" t="s">
        <v>4376</v>
      </c>
      <c r="D886" s="1" t="s">
        <v>4376</v>
      </c>
      <c r="E886" s="1" t="s">
        <v>4377</v>
      </c>
      <c r="F886" s="1" t="s">
        <v>64</v>
      </c>
      <c r="G886" s="1">
        <v>251.0</v>
      </c>
      <c r="H886" s="1" t="s">
        <v>50</v>
      </c>
      <c r="I886" s="1">
        <v>61.0</v>
      </c>
      <c r="J886" s="1">
        <v>22.0</v>
      </c>
      <c r="K886" s="1">
        <v>12.0</v>
      </c>
      <c r="L886" s="1">
        <v>39.0</v>
      </c>
      <c r="M886" s="1">
        <v>25.0</v>
      </c>
      <c r="N886" s="1" t="s">
        <v>51</v>
      </c>
      <c r="O886" s="1">
        <v>40.0</v>
      </c>
      <c r="P886" s="1">
        <v>17.0</v>
      </c>
      <c r="Q886" s="1">
        <v>10.0</v>
      </c>
      <c r="R886" s="1">
        <v>23.0</v>
      </c>
      <c r="S886" s="1">
        <v>22.0</v>
      </c>
      <c r="T886" s="1" t="s">
        <v>52</v>
      </c>
      <c r="U886" s="1">
        <v>49.0</v>
      </c>
      <c r="V886" s="1">
        <v>24.0</v>
      </c>
      <c r="W886" s="1">
        <v>18.0</v>
      </c>
      <c r="X886" s="1">
        <v>25.0</v>
      </c>
      <c r="Y886" s="1">
        <v>20.0</v>
      </c>
      <c r="Z886" s="1" t="s">
        <v>53</v>
      </c>
      <c r="AA886" s="1">
        <v>47.0</v>
      </c>
      <c r="AB886" s="1">
        <v>23.0</v>
      </c>
      <c r="AC886" s="1">
        <v>15.0</v>
      </c>
      <c r="AD886" s="1">
        <v>24.0</v>
      </c>
      <c r="AE886" s="1">
        <v>19.0</v>
      </c>
      <c r="AF886" s="1" t="s">
        <v>54</v>
      </c>
      <c r="AG886" s="1">
        <v>42.0</v>
      </c>
      <c r="AH886" s="1">
        <v>17.0</v>
      </c>
      <c r="AI886" s="1">
        <v>13.0</v>
      </c>
      <c r="AJ886" s="1">
        <v>25.0</v>
      </c>
      <c r="AK886" s="1">
        <v>21.0</v>
      </c>
      <c r="AL886" s="1">
        <v>175.0</v>
      </c>
      <c r="AM886" s="1" t="s">
        <v>55</v>
      </c>
      <c r="AN886" s="1">
        <v>76.0</v>
      </c>
      <c r="AO886" s="1">
        <v>76.0</v>
      </c>
      <c r="AP886" s="1" t="s">
        <v>3510</v>
      </c>
      <c r="AQ886" s="3" t="str">
        <f>HYPERLINK("https://icf.clappia.com/app/GMB253374/submission/QCM78410122/ICF247370-GMB253374-3k7njoicn7e800000000/SIG-20250630_1148h4j8a.jpeg", "SIG-20250630_1148h4j8a.jpeg")</f>
        <v>SIG-20250630_1148h4j8a.jpeg</v>
      </c>
      <c r="AR886" s="1" t="s">
        <v>4378</v>
      </c>
      <c r="AS886" s="3" t="str">
        <f>HYPERLINK("https://icf.clappia.com/app/GMB253374/submission/QCM78410122/ICF247370-GMB253374-66o5oh7f8iek00000000/SIG-20250630_11334n3fl.jpeg", "SIG-20250630_11334n3fl.jpeg")</f>
        <v>SIG-20250630_11334n3fl.jpeg</v>
      </c>
      <c r="AT886" s="1" t="s">
        <v>4379</v>
      </c>
      <c r="AU886" s="3" t="str">
        <f>HYPERLINK("https://icf.clappia.com/app/GMB253374/submission/QCM78410122/ICF247370-GMB253374-ch3ji22m04880000000/SIG-20250630_1134a9o5h.jpeg", "SIG-20250630_1134a9o5h.jpeg")</f>
        <v>SIG-20250630_1134a9o5h.jpeg</v>
      </c>
      <c r="AV886" s="3" t="str">
        <f>HYPERLINK("https://www.google.com/maps/place/7.8926743%2C-11.9107392", "7.8926743,-11.9107392")</f>
        <v>7.8926743,-11.9107392</v>
      </c>
    </row>
    <row r="887" ht="15.75" customHeight="1">
      <c r="A887" s="1" t="s">
        <v>4380</v>
      </c>
      <c r="B887" s="1" t="s">
        <v>342</v>
      </c>
      <c r="C887" s="1" t="s">
        <v>4381</v>
      </c>
      <c r="D887" s="1" t="s">
        <v>4381</v>
      </c>
      <c r="E887" s="1" t="s">
        <v>4382</v>
      </c>
      <c r="F887" s="1" t="s">
        <v>64</v>
      </c>
      <c r="G887" s="1">
        <v>263.0</v>
      </c>
      <c r="H887" s="1" t="s">
        <v>50</v>
      </c>
      <c r="I887" s="1">
        <v>68.0</v>
      </c>
      <c r="J887" s="1">
        <v>30.0</v>
      </c>
      <c r="K887" s="1">
        <v>29.0</v>
      </c>
      <c r="L887" s="1">
        <v>38.0</v>
      </c>
      <c r="M887" s="1">
        <v>35.0</v>
      </c>
      <c r="N887" s="1" t="s">
        <v>51</v>
      </c>
      <c r="O887" s="1">
        <v>51.0</v>
      </c>
      <c r="P887" s="1">
        <v>24.0</v>
      </c>
      <c r="Q887" s="1">
        <v>24.0</v>
      </c>
      <c r="R887" s="1">
        <v>27.0</v>
      </c>
      <c r="S887" s="1">
        <v>27.0</v>
      </c>
      <c r="T887" s="1" t="s">
        <v>52</v>
      </c>
      <c r="U887" s="1">
        <v>43.0</v>
      </c>
      <c r="V887" s="1">
        <v>23.0</v>
      </c>
      <c r="W887" s="1">
        <v>21.0</v>
      </c>
      <c r="X887" s="1">
        <v>20.0</v>
      </c>
      <c r="Y887" s="1">
        <v>19.0</v>
      </c>
      <c r="Z887" s="1" t="s">
        <v>53</v>
      </c>
      <c r="AA887" s="1">
        <v>48.0</v>
      </c>
      <c r="AB887" s="1">
        <v>25.0</v>
      </c>
      <c r="AC887" s="1">
        <v>24.0</v>
      </c>
      <c r="AD887" s="1">
        <v>23.0</v>
      </c>
      <c r="AE887" s="1">
        <v>21.0</v>
      </c>
      <c r="AF887" s="1" t="s">
        <v>54</v>
      </c>
      <c r="AG887" s="1">
        <v>53.0</v>
      </c>
      <c r="AH887" s="1">
        <v>26.0</v>
      </c>
      <c r="AI887" s="1">
        <v>26.0</v>
      </c>
      <c r="AJ887" s="1">
        <v>27.0</v>
      </c>
      <c r="AK887" s="1">
        <v>27.0</v>
      </c>
      <c r="AL887" s="1">
        <v>253.0</v>
      </c>
      <c r="AM887" s="1">
        <v>10.0</v>
      </c>
      <c r="AN887" s="1" t="s">
        <v>55</v>
      </c>
      <c r="AO887" s="1" t="s">
        <v>55</v>
      </c>
      <c r="AP887" s="1" t="s">
        <v>4383</v>
      </c>
      <c r="AQ887" s="3" t="str">
        <f>HYPERLINK("https://icf.clappia.com/app/GMB253374/submission/DVL76826793/ICF247370-GMB253374-41p97lm14bec00000000/SIG-20250630_1310mlfjp.jpeg", "SIG-20250630_1310mlfjp.jpeg")</f>
        <v>SIG-20250630_1310mlfjp.jpeg</v>
      </c>
      <c r="AR887" s="1" t="s">
        <v>4384</v>
      </c>
      <c r="AS887" s="3" t="str">
        <f>HYPERLINK("https://icf.clappia.com/app/GMB253374/submission/DVL76826793/ICF247370-GMB253374-4od5ib6pa5ag00000000/SIG-20250630_13071786a1.jpeg", "SIG-20250630_13071786a1.jpeg")</f>
        <v>SIG-20250630_13071786a1.jpeg</v>
      </c>
      <c r="AT887" s="1" t="s">
        <v>4385</v>
      </c>
      <c r="AU887" s="3" t="str">
        <f>HYPERLINK("https://icf.clappia.com/app/GMB253374/submission/DVL76826793/ICF247370-GMB253374-524g134ein2400000000/SIG-20250630_1309n9c10.jpeg", "SIG-20250630_1309n9c10.jpeg")</f>
        <v>SIG-20250630_1309n9c10.jpeg</v>
      </c>
      <c r="AV887" s="3" t="str">
        <f>HYPERLINK("https://www.google.com/maps/place/9.1210817%2C-12.1115233", "9.1210817,-12.1115233")</f>
        <v>9.1210817,-12.1115233</v>
      </c>
    </row>
    <row r="888" ht="15.75" customHeight="1">
      <c r="A888" s="1" t="s">
        <v>4386</v>
      </c>
      <c r="B888" s="1" t="s">
        <v>60</v>
      </c>
      <c r="C888" s="1" t="s">
        <v>4387</v>
      </c>
      <c r="D888" s="1" t="s">
        <v>4387</v>
      </c>
      <c r="E888" s="1" t="s">
        <v>4388</v>
      </c>
      <c r="F888" s="1" t="s">
        <v>64</v>
      </c>
      <c r="G888" s="1">
        <v>210.0</v>
      </c>
      <c r="H888" s="1" t="s">
        <v>50</v>
      </c>
      <c r="I888" s="1">
        <v>32.0</v>
      </c>
      <c r="J888" s="1">
        <v>14.0</v>
      </c>
      <c r="K888" s="1">
        <v>14.0</v>
      </c>
      <c r="L888" s="1">
        <v>18.0</v>
      </c>
      <c r="M888" s="1">
        <v>18.0</v>
      </c>
      <c r="N888" s="1" t="s">
        <v>51</v>
      </c>
      <c r="O888" s="1">
        <v>33.0</v>
      </c>
      <c r="P888" s="1">
        <v>18.0</v>
      </c>
      <c r="Q888" s="1">
        <v>17.0</v>
      </c>
      <c r="R888" s="1">
        <v>15.0</v>
      </c>
      <c r="S888" s="1">
        <v>13.0</v>
      </c>
      <c r="T888" s="1" t="s">
        <v>52</v>
      </c>
      <c r="U888" s="1">
        <v>49.0</v>
      </c>
      <c r="V888" s="1">
        <v>25.0</v>
      </c>
      <c r="W888" s="1">
        <v>21.0</v>
      </c>
      <c r="X888" s="1">
        <v>24.0</v>
      </c>
      <c r="Y888" s="1">
        <v>23.0</v>
      </c>
      <c r="Z888" s="1" t="s">
        <v>53</v>
      </c>
      <c r="AA888" s="1">
        <v>44.0</v>
      </c>
      <c r="AB888" s="1">
        <v>21.0</v>
      </c>
      <c r="AC888" s="1">
        <v>21.0</v>
      </c>
      <c r="AD888" s="1">
        <v>23.0</v>
      </c>
      <c r="AE888" s="1">
        <v>23.0</v>
      </c>
      <c r="AF888" s="1" t="s">
        <v>54</v>
      </c>
      <c r="AG888" s="1">
        <v>63.0</v>
      </c>
      <c r="AH888" s="1">
        <v>30.0</v>
      </c>
      <c r="AI888" s="1">
        <v>30.0</v>
      </c>
      <c r="AJ888" s="1">
        <v>33.0</v>
      </c>
      <c r="AK888" s="1">
        <v>30.0</v>
      </c>
      <c r="AL888" s="1">
        <v>210.0</v>
      </c>
      <c r="AM888" s="1" t="s">
        <v>55</v>
      </c>
      <c r="AN888" s="1" t="s">
        <v>55</v>
      </c>
      <c r="AO888" s="1" t="s">
        <v>55</v>
      </c>
      <c r="AP888" s="1" t="s">
        <v>1974</v>
      </c>
      <c r="AQ888" s="3" t="str">
        <f>HYPERLINK("https://icf.clappia.com/app/GMB253374/submission/FAX93499269/ICF247370-GMB253374-35f8mkaoghbi00000000/SIG-20250630_1316o84ck.jpeg", "SIG-20250630_1316o84ck.jpeg")</f>
        <v>SIG-20250630_1316o84ck.jpeg</v>
      </c>
      <c r="AR888" s="1" t="s">
        <v>4389</v>
      </c>
      <c r="AS888" s="3" t="str">
        <f>HYPERLINK("https://icf.clappia.com/app/GMB253374/submission/FAX93499269/ICF247370-GMB253374-5p5gjb5f068g00000000/SIG-20250630_131929leo.jpeg", "SIG-20250630_131929leo.jpeg")</f>
        <v>SIG-20250630_131929leo.jpeg</v>
      </c>
      <c r="AT888" s="1" t="s">
        <v>4390</v>
      </c>
      <c r="AU888" s="3" t="str">
        <f>HYPERLINK("https://icf.clappia.com/app/GMB253374/submission/FAX93499269/ICF247370-GMB253374-51le8k0021k000000000/SIG-20250630_1318192n3k.jpeg", "SIG-20250630_1318192n3k.jpeg")</f>
        <v>SIG-20250630_1318192n3k.jpeg</v>
      </c>
      <c r="AV888" s="3" t="str">
        <f>HYPERLINK("https://www.google.com/maps/place/8.8896562%2C-12.0563495", "8.8896562,-12.0563495")</f>
        <v>8.8896562,-12.0563495</v>
      </c>
    </row>
    <row r="889" ht="15.75" customHeight="1">
      <c r="A889" s="1" t="s">
        <v>4391</v>
      </c>
      <c r="B889" s="1" t="s">
        <v>349</v>
      </c>
      <c r="C889" s="1" t="s">
        <v>4392</v>
      </c>
      <c r="D889" s="1" t="s">
        <v>4392</v>
      </c>
      <c r="E889" s="1" t="s">
        <v>4393</v>
      </c>
      <c r="F889" s="1" t="s">
        <v>64</v>
      </c>
      <c r="G889" s="1">
        <v>150.0</v>
      </c>
      <c r="H889" s="1" t="s">
        <v>50</v>
      </c>
      <c r="I889" s="1">
        <v>27.0</v>
      </c>
      <c r="J889" s="1">
        <v>14.0</v>
      </c>
      <c r="K889" s="1">
        <v>6.0</v>
      </c>
      <c r="L889" s="1">
        <v>10.0</v>
      </c>
      <c r="M889" s="1">
        <v>10.0</v>
      </c>
      <c r="N889" s="1" t="s">
        <v>51</v>
      </c>
      <c r="O889" s="1">
        <v>22.0</v>
      </c>
      <c r="P889" s="1">
        <v>8.0</v>
      </c>
      <c r="Q889" s="1">
        <v>4.0</v>
      </c>
      <c r="R889" s="1">
        <v>14.0</v>
      </c>
      <c r="S889" s="1">
        <v>7.0</v>
      </c>
      <c r="T889" s="1" t="s">
        <v>52</v>
      </c>
      <c r="U889" s="1">
        <v>10.0</v>
      </c>
      <c r="V889" s="1">
        <v>8.0</v>
      </c>
      <c r="W889" s="1">
        <v>6.0</v>
      </c>
      <c r="X889" s="1">
        <v>2.0</v>
      </c>
      <c r="Y889" s="1">
        <v>2.0</v>
      </c>
      <c r="Z889" s="1" t="s">
        <v>53</v>
      </c>
      <c r="AA889" s="1">
        <v>16.0</v>
      </c>
      <c r="AB889" s="1">
        <v>9.0</v>
      </c>
      <c r="AC889" s="1">
        <v>8.0</v>
      </c>
      <c r="AD889" s="1">
        <v>7.0</v>
      </c>
      <c r="AE889" s="1">
        <v>5.0</v>
      </c>
      <c r="AF889" s="1" t="s">
        <v>54</v>
      </c>
      <c r="AG889" s="1">
        <v>16.0</v>
      </c>
      <c r="AH889" s="1">
        <v>8.0</v>
      </c>
      <c r="AI889" s="1">
        <v>6.0</v>
      </c>
      <c r="AJ889" s="1">
        <v>8.0</v>
      </c>
      <c r="AK889" s="1">
        <v>5.0</v>
      </c>
      <c r="AL889" s="1">
        <v>59.0</v>
      </c>
      <c r="AM889" s="1" t="s">
        <v>55</v>
      </c>
      <c r="AN889" s="1">
        <v>91.0</v>
      </c>
      <c r="AO889" s="1">
        <v>91.0</v>
      </c>
      <c r="AP889" s="1" t="s">
        <v>4394</v>
      </c>
      <c r="AQ889" s="3" t="str">
        <f>HYPERLINK("https://icf.clappia.com/app/GMB253374/submission/TOM28892418/ICF247370-GMB253374-2l2f29mfpn2k00000000/SIG-20250630_1249h1fo3.jpeg", "SIG-20250630_1249h1fo3.jpeg")</f>
        <v>SIG-20250630_1249h1fo3.jpeg</v>
      </c>
      <c r="AR889" s="1" t="s">
        <v>4395</v>
      </c>
      <c r="AS889" s="3" t="str">
        <f>HYPERLINK("https://icf.clappia.com/app/GMB253374/submission/TOM28892418/ICF247370-GMB253374-6290753n6hck00000000/SIG-20250630_12512h8am.jpeg", "SIG-20250630_12512h8am.jpeg")</f>
        <v>SIG-20250630_12512h8am.jpeg</v>
      </c>
      <c r="AT889" s="1" t="s">
        <v>4396</v>
      </c>
      <c r="AU889" s="3" t="str">
        <f>HYPERLINK("https://icf.clappia.com/app/GMB253374/submission/TOM28892418/ICF247370-GMB253374-2d76jmgbg3e400000000/SIG-20250630_125197cga.jpeg", "SIG-20250630_125197cga.jpeg")</f>
        <v>SIG-20250630_125197cga.jpeg</v>
      </c>
      <c r="AV889" s="3" t="str">
        <f>HYPERLINK("https://www.google.com/maps/place/8.9445769%2C-11.985991", "8.9445769,-11.985991")</f>
        <v>8.9445769,-11.985991</v>
      </c>
    </row>
    <row r="890" ht="15.75" customHeight="1">
      <c r="A890" s="1" t="s">
        <v>4397</v>
      </c>
      <c r="B890" s="1" t="s">
        <v>189</v>
      </c>
      <c r="C890" s="1" t="s">
        <v>4398</v>
      </c>
      <c r="D890" s="1" t="s">
        <v>4398</v>
      </c>
      <c r="E890" s="1" t="s">
        <v>4399</v>
      </c>
      <c r="F890" s="1" t="s">
        <v>64</v>
      </c>
      <c r="G890" s="1">
        <v>150.0</v>
      </c>
      <c r="H890" s="1" t="s">
        <v>50</v>
      </c>
      <c r="I890" s="1">
        <v>19.0</v>
      </c>
      <c r="J890" s="1">
        <v>10.0</v>
      </c>
      <c r="K890" s="1">
        <v>10.0</v>
      </c>
      <c r="L890" s="1">
        <v>9.0</v>
      </c>
      <c r="M890" s="1">
        <v>8.0</v>
      </c>
      <c r="N890" s="1" t="s">
        <v>51</v>
      </c>
      <c r="O890" s="1">
        <v>8.0</v>
      </c>
      <c r="P890" s="1">
        <v>4.0</v>
      </c>
      <c r="Q890" s="1" t="s">
        <v>55</v>
      </c>
      <c r="R890" s="1">
        <v>4.0</v>
      </c>
      <c r="S890" s="1">
        <v>4.0</v>
      </c>
      <c r="T890" s="1" t="s">
        <v>52</v>
      </c>
      <c r="U890" s="1">
        <v>16.0</v>
      </c>
      <c r="V890" s="1">
        <v>5.0</v>
      </c>
      <c r="W890" s="1">
        <v>5.0</v>
      </c>
      <c r="X890" s="1">
        <v>11.0</v>
      </c>
      <c r="Y890" s="1">
        <v>8.0</v>
      </c>
      <c r="Z890" s="1" t="s">
        <v>53</v>
      </c>
      <c r="AA890" s="1">
        <v>14.0</v>
      </c>
      <c r="AB890" s="1">
        <v>9.0</v>
      </c>
      <c r="AC890" s="1">
        <v>9.0</v>
      </c>
      <c r="AD890" s="1">
        <v>5.0</v>
      </c>
      <c r="AE890" s="1">
        <v>5.0</v>
      </c>
      <c r="AF890" s="1" t="s">
        <v>54</v>
      </c>
      <c r="AG890" s="1">
        <v>17.0</v>
      </c>
      <c r="AH890" s="1">
        <v>7.0</v>
      </c>
      <c r="AI890" s="1">
        <v>6.0</v>
      </c>
      <c r="AJ890" s="1">
        <v>10.0</v>
      </c>
      <c r="AK890" s="1">
        <v>9.0</v>
      </c>
      <c r="AL890" s="1">
        <v>64.0</v>
      </c>
      <c r="AM890" s="1">
        <v>9.0</v>
      </c>
      <c r="AN890" s="1">
        <v>77.0</v>
      </c>
      <c r="AO890" s="1">
        <v>77.0</v>
      </c>
      <c r="AP890" s="1" t="s">
        <v>4289</v>
      </c>
      <c r="AQ890" s="3" t="str">
        <f>HYPERLINK("https://icf.clappia.com/app/GMB253374/submission/NBT07896456/ICF247370-GMB253374-65d0cc1c3i8a00000000/SIG-20250630_1226nijo0.jpeg", "SIG-20250630_1226nijo0.jpeg")</f>
        <v>SIG-20250630_1226nijo0.jpeg</v>
      </c>
      <c r="AR890" s="1" t="s">
        <v>3603</v>
      </c>
      <c r="AS890" s="3" t="str">
        <f>HYPERLINK("https://icf.clappia.com/app/GMB253374/submission/NBT07896456/ICF247370-GMB253374-4891lcid2gcc00000000/SIG-20250630_1227a64ai.jpeg", "SIG-20250630_1227a64ai.jpeg")</f>
        <v>SIG-20250630_1227a64ai.jpeg</v>
      </c>
      <c r="AT890" s="1" t="s">
        <v>3604</v>
      </c>
      <c r="AU890" s="3" t="str">
        <f>HYPERLINK("https://icf.clappia.com/app/GMB253374/submission/NBT07896456/ICF247370-GMB253374-4jfk51ni1pai00000000/SIG-20250630_12521609np.jpeg", "SIG-20250630_12521609np.jpeg")</f>
        <v>SIG-20250630_12521609np.jpeg</v>
      </c>
      <c r="AV890" s="3" t="str">
        <f>HYPERLINK("https://www.google.com/maps/place/8.8738355%2C-12.0384722", "8.8738355,-12.0384722")</f>
        <v>8.8738355,-12.0384722</v>
      </c>
    </row>
    <row r="891" ht="15.75" customHeight="1">
      <c r="A891" s="1" t="s">
        <v>4400</v>
      </c>
      <c r="B891" s="1" t="s">
        <v>189</v>
      </c>
      <c r="C891" s="1" t="s">
        <v>4398</v>
      </c>
      <c r="D891" s="1" t="s">
        <v>4398</v>
      </c>
      <c r="E891" s="1" t="s">
        <v>4401</v>
      </c>
      <c r="F891" s="1" t="s">
        <v>49</v>
      </c>
      <c r="G891" s="1">
        <v>150.0</v>
      </c>
      <c r="H891" s="1" t="s">
        <v>50</v>
      </c>
      <c r="I891" s="1">
        <v>40.0</v>
      </c>
      <c r="J891" s="1">
        <v>15.0</v>
      </c>
      <c r="K891" s="1">
        <v>9.0</v>
      </c>
      <c r="L891" s="1">
        <v>25.0</v>
      </c>
      <c r="M891" s="1">
        <v>14.0</v>
      </c>
      <c r="N891" s="1" t="s">
        <v>51</v>
      </c>
      <c r="O891" s="1">
        <v>35.0</v>
      </c>
      <c r="P891" s="1">
        <v>13.0</v>
      </c>
      <c r="Q891" s="1">
        <v>7.0</v>
      </c>
      <c r="R891" s="1">
        <v>22.0</v>
      </c>
      <c r="S891" s="1">
        <v>14.0</v>
      </c>
      <c r="T891" s="1" t="s">
        <v>52</v>
      </c>
      <c r="U891" s="1">
        <v>31.0</v>
      </c>
      <c r="V891" s="1">
        <v>12.0</v>
      </c>
      <c r="W891" s="1">
        <v>11.0</v>
      </c>
      <c r="X891" s="1">
        <v>19.0</v>
      </c>
      <c r="Y891" s="1">
        <v>16.0</v>
      </c>
      <c r="Z891" s="1" t="s">
        <v>53</v>
      </c>
      <c r="AA891" s="1">
        <v>32.0</v>
      </c>
      <c r="AB891" s="1">
        <v>10.0</v>
      </c>
      <c r="AC891" s="1">
        <v>9.0</v>
      </c>
      <c r="AD891" s="1">
        <v>22.0</v>
      </c>
      <c r="AE891" s="1">
        <v>22.0</v>
      </c>
      <c r="AF891" s="1" t="s">
        <v>54</v>
      </c>
      <c r="AG891" s="1">
        <v>19.0</v>
      </c>
      <c r="AH891" s="1">
        <v>10.0</v>
      </c>
      <c r="AI891" s="1">
        <v>10.0</v>
      </c>
      <c r="AJ891" s="1">
        <v>9.0</v>
      </c>
      <c r="AK891" s="1">
        <v>9.0</v>
      </c>
      <c r="AL891" s="1">
        <v>121.0</v>
      </c>
      <c r="AM891" s="1" t="s">
        <v>55</v>
      </c>
      <c r="AN891" s="1">
        <v>29.0</v>
      </c>
      <c r="AO891" s="1">
        <v>29.0</v>
      </c>
      <c r="AP891" s="1" t="s">
        <v>223</v>
      </c>
      <c r="AQ891" s="3" t="str">
        <f>HYPERLINK("https://icf.clappia.com/app/GMB253374/submission/NYR82230609/ICF247370-GMB253374-47oc286938em00000000/SIG-20250630_1236bnoj4.jpeg", "SIG-20250630_1236bnoj4.jpeg")</f>
        <v>SIG-20250630_1236bnoj4.jpeg</v>
      </c>
      <c r="AR891" s="1" t="s">
        <v>1538</v>
      </c>
      <c r="AS891" s="3" t="str">
        <f>HYPERLINK("https://icf.clappia.com/app/GMB253374/submission/NYR82230609/ICF247370-GMB253374-575a7cg4epk800000000/SIG-20250630_123670jgn.jpeg", "SIG-20250630_123670jgn.jpeg")</f>
        <v>SIG-20250630_123670jgn.jpeg</v>
      </c>
      <c r="AT891" s="1" t="s">
        <v>1537</v>
      </c>
      <c r="AU891" s="3" t="str">
        <f>HYPERLINK("https://icf.clappia.com/app/GMB253374/submission/NYR82230609/ICF247370-GMB253374-30mf8l9j9o6g00000000/SIG-20250630_1243hfh37.jpeg", "SIG-20250630_1243hfh37.jpeg")</f>
        <v>SIG-20250630_1243hfh37.jpeg</v>
      </c>
      <c r="AV891" s="3" t="str">
        <f>HYPERLINK("https://www.google.com/maps/place/8.9045451%2C-12.0402335", "8.9045451,-12.0402335")</f>
        <v>8.9045451,-12.0402335</v>
      </c>
    </row>
    <row r="892" ht="15.75" customHeight="1">
      <c r="A892" s="1" t="s">
        <v>4402</v>
      </c>
      <c r="B892" s="1" t="s">
        <v>161</v>
      </c>
      <c r="C892" s="1" t="s">
        <v>4403</v>
      </c>
      <c r="D892" s="1" t="s">
        <v>4404</v>
      </c>
      <c r="E892" s="1" t="s">
        <v>4405</v>
      </c>
      <c r="F892" s="1" t="s">
        <v>49</v>
      </c>
      <c r="G892" s="1">
        <v>150.0</v>
      </c>
      <c r="H892" s="1" t="s">
        <v>50</v>
      </c>
      <c r="I892" s="1">
        <v>30.0</v>
      </c>
      <c r="J892" s="1">
        <v>10.0</v>
      </c>
      <c r="K892" s="1">
        <v>10.0</v>
      </c>
      <c r="L892" s="1">
        <v>20.0</v>
      </c>
      <c r="M892" s="1">
        <v>20.0</v>
      </c>
      <c r="N892" s="1" t="s">
        <v>51</v>
      </c>
      <c r="O892" s="1">
        <v>30.0</v>
      </c>
      <c r="P892" s="1">
        <v>10.0</v>
      </c>
      <c r="Q892" s="1">
        <v>10.0</v>
      </c>
      <c r="R892" s="1">
        <v>15.0</v>
      </c>
      <c r="S892" s="1">
        <v>15.0</v>
      </c>
      <c r="T892" s="1" t="s">
        <v>52</v>
      </c>
      <c r="U892" s="1">
        <v>40.0</v>
      </c>
      <c r="V892" s="1">
        <v>15.0</v>
      </c>
      <c r="W892" s="1">
        <v>15.0</v>
      </c>
      <c r="X892" s="1">
        <v>25.0</v>
      </c>
      <c r="Y892" s="1">
        <v>25.0</v>
      </c>
      <c r="Z892" s="1" t="s">
        <v>53</v>
      </c>
      <c r="AA892" s="1">
        <v>15.0</v>
      </c>
      <c r="AB892" s="1">
        <v>8.0</v>
      </c>
      <c r="AC892" s="1">
        <v>8.0</v>
      </c>
      <c r="AD892" s="1">
        <v>7.0</v>
      </c>
      <c r="AE892" s="1">
        <v>7.0</v>
      </c>
      <c r="AF892" s="1" t="s">
        <v>54</v>
      </c>
      <c r="AG892" s="1">
        <v>40.0</v>
      </c>
      <c r="AH892" s="1">
        <v>18.0</v>
      </c>
      <c r="AI892" s="1">
        <v>18.0</v>
      </c>
      <c r="AJ892" s="1">
        <v>22.0</v>
      </c>
      <c r="AK892" s="1">
        <v>22.0</v>
      </c>
      <c r="AL892" s="1">
        <v>150.0</v>
      </c>
      <c r="AM892" s="1" t="s">
        <v>55</v>
      </c>
      <c r="AN892" s="1" t="s">
        <v>55</v>
      </c>
      <c r="AO892" s="1" t="s">
        <v>55</v>
      </c>
      <c r="AP892" s="1">
        <v>1.0</v>
      </c>
      <c r="AQ892" s="3" t="str">
        <f>HYPERLINK("https://icf.clappia.com/app/GMB253374/submission/OKY07032290/ICF247370-GMB253374-34biiep16aam00000000/SIG-20250630_1156jmi0a.jpeg", "SIG-20250630_1156jmi0a.jpeg")</f>
        <v>SIG-20250630_1156jmi0a.jpeg</v>
      </c>
      <c r="AR892" s="1">
        <v>1.0</v>
      </c>
      <c r="AS892" s="3" t="str">
        <f>HYPERLINK("https://icf.clappia.com/app/GMB253374/submission/OKY07032290/ICF247370-GMB253374-2b70ae8mcnhm80000000/SIG-20250630_12026mdob.jpeg", "SIG-20250630_12026mdob.jpeg")</f>
        <v>SIG-20250630_12026mdob.jpeg</v>
      </c>
      <c r="AT892" s="1" t="s">
        <v>4406</v>
      </c>
      <c r="AU892" s="3" t="str">
        <f>HYPERLINK("https://icf.clappia.com/app/GMB253374/submission/OKY07032290/ICF247370-GMB253374-4fg79iif568000000000/SIG-20250630_1203j36df.jpeg", "SIG-20250630_1203j36df.jpeg")</f>
        <v>SIG-20250630_1203j36df.jpeg</v>
      </c>
      <c r="AV892" s="3" t="str">
        <f>HYPERLINK("https://www.google.com/maps/place/7.9429867%2C-11.6663717", "7.9429867,-11.6663717")</f>
        <v>7.9429867,-11.6663717</v>
      </c>
    </row>
    <row r="893" ht="15.75" customHeight="1">
      <c r="A893" s="1" t="s">
        <v>4407</v>
      </c>
      <c r="B893" s="1" t="s">
        <v>94</v>
      </c>
      <c r="C893" s="1" t="s">
        <v>4408</v>
      </c>
      <c r="D893" s="1" t="s">
        <v>4408</v>
      </c>
      <c r="E893" s="1" t="s">
        <v>4409</v>
      </c>
      <c r="F893" s="1" t="s">
        <v>64</v>
      </c>
      <c r="G893" s="1">
        <v>100.0</v>
      </c>
      <c r="H893" s="1" t="s">
        <v>50</v>
      </c>
      <c r="I893" s="1">
        <v>43.0</v>
      </c>
      <c r="J893" s="1">
        <v>26.0</v>
      </c>
      <c r="K893" s="1">
        <v>26.0</v>
      </c>
      <c r="L893" s="1">
        <v>17.0</v>
      </c>
      <c r="M893" s="1">
        <v>17.0</v>
      </c>
      <c r="N893" s="1" t="s">
        <v>51</v>
      </c>
      <c r="O893" s="1">
        <v>20.0</v>
      </c>
      <c r="P893" s="1">
        <v>8.0</v>
      </c>
      <c r="Q893" s="1">
        <v>8.0</v>
      </c>
      <c r="R893" s="1">
        <v>12.0</v>
      </c>
      <c r="S893" s="1">
        <v>12.0</v>
      </c>
      <c r="T893" s="1" t="s">
        <v>52</v>
      </c>
      <c r="U893" s="1" t="s">
        <v>55</v>
      </c>
      <c r="V893" s="1" t="s">
        <v>55</v>
      </c>
      <c r="W893" s="1" t="s">
        <v>55</v>
      </c>
      <c r="X893" s="1" t="s">
        <v>55</v>
      </c>
      <c r="Y893" s="1" t="s">
        <v>55</v>
      </c>
      <c r="Z893" s="1" t="s">
        <v>53</v>
      </c>
      <c r="AA893" s="1" t="s">
        <v>55</v>
      </c>
      <c r="AB893" s="1" t="s">
        <v>55</v>
      </c>
      <c r="AC893" s="1" t="s">
        <v>55</v>
      </c>
      <c r="AD893" s="1" t="s">
        <v>55</v>
      </c>
      <c r="AE893" s="1" t="s">
        <v>55</v>
      </c>
      <c r="AF893" s="1" t="s">
        <v>54</v>
      </c>
      <c r="AG893" s="1" t="s">
        <v>55</v>
      </c>
      <c r="AH893" s="1" t="s">
        <v>55</v>
      </c>
      <c r="AI893" s="1" t="s">
        <v>55</v>
      </c>
      <c r="AJ893" s="1" t="s">
        <v>55</v>
      </c>
      <c r="AK893" s="1" t="s">
        <v>55</v>
      </c>
      <c r="AL893" s="1">
        <v>63.0</v>
      </c>
      <c r="AM893" s="1" t="s">
        <v>55</v>
      </c>
      <c r="AN893" s="1">
        <v>37.0</v>
      </c>
      <c r="AO893" s="1">
        <v>8.0</v>
      </c>
      <c r="AP893" s="1" t="s">
        <v>4410</v>
      </c>
      <c r="AQ893" s="3" t="str">
        <f>HYPERLINK("https://icf.clappia.com/app/GMB253374/submission/ARJ60984373/ICF247370-GMB253374-62paddf2ad6e00000000/SIG-20250630_1225gk155.jpeg", "SIG-20250630_1225gk155.jpeg")</f>
        <v>SIG-20250630_1225gk155.jpeg</v>
      </c>
      <c r="AR893" s="1" t="s">
        <v>4411</v>
      </c>
      <c r="AS893" s="3" t="str">
        <f>HYPERLINK("https://icf.clappia.com/app/GMB253374/submission/ARJ60984373/ICF247370-GMB253374-2m0hp42f031e00000000/SIG-20250630_122618fb5d.jpeg", "SIG-20250630_122618fb5d.jpeg")</f>
        <v>SIG-20250630_122618fb5d.jpeg</v>
      </c>
      <c r="AT893" s="1" t="s">
        <v>4412</v>
      </c>
      <c r="AU893" s="3" t="str">
        <f>HYPERLINK("https://icf.clappia.com/app/GMB253374/submission/ARJ60984373/ICF247370-GMB253374-1d9nfigi292hg0000000/SIG-20250630_1227ibek1.jpeg", "SIG-20250630_1227ibek1.jpeg")</f>
        <v>SIG-20250630_1227ibek1.jpeg</v>
      </c>
      <c r="AV893" s="3" t="str">
        <f>HYPERLINK("https://www.google.com/maps/place/7.7099133%2C-11.7771817", "7.7099133,-11.7771817")</f>
        <v>7.7099133,-11.7771817</v>
      </c>
    </row>
    <row r="894" ht="15.75" customHeight="1">
      <c r="A894" s="1" t="s">
        <v>4413</v>
      </c>
      <c r="B894" s="1" t="s">
        <v>167</v>
      </c>
      <c r="C894" s="1" t="s">
        <v>4414</v>
      </c>
      <c r="D894" s="1" t="s">
        <v>4414</v>
      </c>
      <c r="E894" s="1" t="s">
        <v>4415</v>
      </c>
      <c r="F894" s="1" t="s">
        <v>64</v>
      </c>
      <c r="G894" s="1">
        <v>132.0</v>
      </c>
      <c r="H894" s="1" t="s">
        <v>50</v>
      </c>
      <c r="I894" s="1">
        <v>49.0</v>
      </c>
      <c r="J894" s="1">
        <v>22.0</v>
      </c>
      <c r="K894" s="1">
        <v>20.0</v>
      </c>
      <c r="L894" s="1">
        <v>27.0</v>
      </c>
      <c r="M894" s="1">
        <v>22.0</v>
      </c>
      <c r="N894" s="1" t="s">
        <v>51</v>
      </c>
      <c r="O894" s="1">
        <v>23.0</v>
      </c>
      <c r="P894" s="1">
        <v>13.0</v>
      </c>
      <c r="Q894" s="1">
        <v>6.0</v>
      </c>
      <c r="R894" s="1">
        <v>10.0</v>
      </c>
      <c r="S894" s="1">
        <v>5.0</v>
      </c>
      <c r="T894" s="1" t="s">
        <v>52</v>
      </c>
      <c r="U894" s="1">
        <v>21.0</v>
      </c>
      <c r="V894" s="1">
        <v>9.0</v>
      </c>
      <c r="W894" s="1">
        <v>5.0</v>
      </c>
      <c r="X894" s="1">
        <v>12.0</v>
      </c>
      <c r="Y894" s="1">
        <v>5.0</v>
      </c>
      <c r="Z894" s="1" t="s">
        <v>53</v>
      </c>
      <c r="AA894" s="1">
        <v>19.0</v>
      </c>
      <c r="AB894" s="1">
        <v>8.0</v>
      </c>
      <c r="AC894" s="1">
        <v>5.0</v>
      </c>
      <c r="AD894" s="1">
        <v>11.0</v>
      </c>
      <c r="AE894" s="1">
        <v>5.0</v>
      </c>
      <c r="AF894" s="1" t="s">
        <v>54</v>
      </c>
      <c r="AG894" s="1">
        <v>20.0</v>
      </c>
      <c r="AH894" s="1">
        <v>9.0</v>
      </c>
      <c r="AI894" s="1">
        <v>4.0</v>
      </c>
      <c r="AJ894" s="1">
        <v>11.0</v>
      </c>
      <c r="AK894" s="1">
        <v>5.0</v>
      </c>
      <c r="AL894" s="1">
        <v>82.0</v>
      </c>
      <c r="AM894" s="1" t="s">
        <v>55</v>
      </c>
      <c r="AN894" s="1">
        <v>50.0</v>
      </c>
      <c r="AO894" s="1">
        <v>50.0</v>
      </c>
      <c r="AP894" s="1" t="s">
        <v>4416</v>
      </c>
      <c r="AQ894" s="3" t="str">
        <f>HYPERLINK("https://icf.clappia.com/app/GMB253374/submission/MIQ74607196/ICF247370-GMB253374-1956i5afolf1i0000000/SIG-20250630_1315haeo5.jpeg", "SIG-20250630_1315haeo5.jpeg")</f>
        <v>SIG-20250630_1315haeo5.jpeg</v>
      </c>
      <c r="AR894" s="1" t="s">
        <v>4417</v>
      </c>
      <c r="AS894" s="3" t="str">
        <f>HYPERLINK("https://icf.clappia.com/app/GMB253374/submission/MIQ74607196/ICF247370-GMB253374-12ekn8flk0pi80000000/SIG-20250630_1236mk4kn.jpeg", "SIG-20250630_1236mk4kn.jpeg")</f>
        <v>SIG-20250630_1236mk4kn.jpeg</v>
      </c>
      <c r="AT894" s="1" t="s">
        <v>2922</v>
      </c>
      <c r="AU894" s="3" t="str">
        <f>HYPERLINK("https://icf.clappia.com/app/GMB253374/submission/MIQ74607196/ICF247370-GMB253374-5jfc35khc4gm00000000/SIG-20250630_1316ld16g.jpeg", "SIG-20250630_1316ld16g.jpeg")</f>
        <v>SIG-20250630_1316ld16g.jpeg</v>
      </c>
      <c r="AV894" s="3" t="str">
        <f>HYPERLINK("https://www.google.com/maps/place/7.94311%2C-11.772785", "7.94311,-11.772785")</f>
        <v>7.94311,-11.772785</v>
      </c>
    </row>
    <row r="895" ht="15.75" customHeight="1">
      <c r="A895" s="1" t="s">
        <v>4418</v>
      </c>
      <c r="B895" s="1" t="s">
        <v>60</v>
      </c>
      <c r="C895" s="1" t="s">
        <v>4414</v>
      </c>
      <c r="D895" s="1" t="s">
        <v>4414</v>
      </c>
      <c r="E895" s="1" t="s">
        <v>4419</v>
      </c>
      <c r="F895" s="1" t="s">
        <v>49</v>
      </c>
      <c r="G895" s="1">
        <v>85.0</v>
      </c>
      <c r="H895" s="1" t="s">
        <v>50</v>
      </c>
      <c r="I895" s="1">
        <v>18.0</v>
      </c>
      <c r="J895" s="1">
        <v>7.0</v>
      </c>
      <c r="K895" s="1">
        <v>2.0</v>
      </c>
      <c r="L895" s="1">
        <v>11.0</v>
      </c>
      <c r="M895" s="1">
        <v>5.0</v>
      </c>
      <c r="N895" s="1" t="s">
        <v>51</v>
      </c>
      <c r="O895" s="1">
        <v>23.0</v>
      </c>
      <c r="P895" s="1">
        <v>10.0</v>
      </c>
      <c r="Q895" s="1">
        <v>1.0</v>
      </c>
      <c r="R895" s="1">
        <v>13.0</v>
      </c>
      <c r="S895" s="1">
        <v>9.0</v>
      </c>
      <c r="T895" s="1" t="s">
        <v>52</v>
      </c>
      <c r="U895" s="1">
        <v>20.0</v>
      </c>
      <c r="V895" s="1">
        <v>7.0</v>
      </c>
      <c r="W895" s="1">
        <v>7.0</v>
      </c>
      <c r="X895" s="1">
        <v>13.0</v>
      </c>
      <c r="Y895" s="1">
        <v>10.0</v>
      </c>
      <c r="Z895" s="1" t="s">
        <v>53</v>
      </c>
      <c r="AA895" s="1">
        <v>19.0</v>
      </c>
      <c r="AB895" s="1">
        <v>11.0</v>
      </c>
      <c r="AC895" s="1">
        <v>6.0</v>
      </c>
      <c r="AD895" s="1">
        <v>8.0</v>
      </c>
      <c r="AE895" s="1">
        <v>5.0</v>
      </c>
      <c r="AF895" s="1" t="s">
        <v>54</v>
      </c>
      <c r="AG895" s="1">
        <v>5.0</v>
      </c>
      <c r="AH895" s="1">
        <v>5.0</v>
      </c>
      <c r="AI895" s="1">
        <v>5.0</v>
      </c>
      <c r="AJ895" s="1" t="s">
        <v>55</v>
      </c>
      <c r="AK895" s="1" t="s">
        <v>55</v>
      </c>
      <c r="AL895" s="1">
        <v>50.0</v>
      </c>
      <c r="AM895" s="1" t="s">
        <v>55</v>
      </c>
      <c r="AN895" s="1">
        <v>35.0</v>
      </c>
      <c r="AO895" s="1" t="s">
        <v>55</v>
      </c>
      <c r="AP895" s="1" t="s">
        <v>3563</v>
      </c>
      <c r="AQ895" s="3" t="str">
        <f>HYPERLINK("https://icf.clappia.com/app/GMB253374/submission/OHK95058632/ICF247370-GMB253374-45e3i367in2g00000000/SIG-20250630_1314hpgm9.jpeg", "SIG-20250630_1314hpgm9.jpeg")</f>
        <v>SIG-20250630_1314hpgm9.jpeg</v>
      </c>
      <c r="AR895" s="1" t="s">
        <v>3562</v>
      </c>
      <c r="AS895" s="3" t="str">
        <f>HYPERLINK("https://icf.clappia.com/app/GMB253374/submission/OHK95058632/ICF247370-GMB253374-4fe126b0cbpk00000000/SIG-20250630_13154127k.jpeg", "SIG-20250630_13154127k.jpeg")</f>
        <v>SIG-20250630_13154127k.jpeg</v>
      </c>
      <c r="AT895" s="1" t="s">
        <v>3564</v>
      </c>
      <c r="AU895" s="3" t="str">
        <f>HYPERLINK("https://icf.clappia.com/app/GMB253374/submission/OHK95058632/ICF247370-GMB253374-53habc2foo4g00000000/SIG-20250630_13169d0nl.jpeg", "SIG-20250630_13169d0nl.jpeg")</f>
        <v>SIG-20250630_13169d0nl.jpeg</v>
      </c>
      <c r="AV895" s="3" t="str">
        <f>HYPERLINK("https://www.google.com/maps/place/8.8674505%2C-12.0566295", "8.8674505,-12.0566295")</f>
        <v>8.8674505,-12.0566295</v>
      </c>
    </row>
    <row r="896" ht="15.75" customHeight="1">
      <c r="A896" s="1" t="s">
        <v>4420</v>
      </c>
      <c r="B896" s="1" t="s">
        <v>69</v>
      </c>
      <c r="C896" s="1" t="s">
        <v>4421</v>
      </c>
      <c r="D896" s="1" t="s">
        <v>4421</v>
      </c>
      <c r="E896" s="1" t="s">
        <v>4422</v>
      </c>
      <c r="F896" s="1" t="s">
        <v>64</v>
      </c>
      <c r="G896" s="1">
        <v>200.0</v>
      </c>
      <c r="H896" s="1" t="s">
        <v>50</v>
      </c>
      <c r="I896" s="1">
        <v>28.0</v>
      </c>
      <c r="J896" s="1">
        <v>17.0</v>
      </c>
      <c r="K896" s="1">
        <v>17.0</v>
      </c>
      <c r="L896" s="1">
        <v>11.0</v>
      </c>
      <c r="M896" s="1">
        <v>8.0</v>
      </c>
      <c r="N896" s="1" t="s">
        <v>51</v>
      </c>
      <c r="O896" s="1">
        <v>21.0</v>
      </c>
      <c r="P896" s="1">
        <v>9.0</v>
      </c>
      <c r="Q896" s="1">
        <v>9.0</v>
      </c>
      <c r="R896" s="1">
        <v>12.0</v>
      </c>
      <c r="S896" s="1">
        <v>12.0</v>
      </c>
      <c r="T896" s="1" t="s">
        <v>52</v>
      </c>
      <c r="U896" s="1">
        <v>37.0</v>
      </c>
      <c r="V896" s="1">
        <v>10.0</v>
      </c>
      <c r="W896" s="1">
        <v>10.0</v>
      </c>
      <c r="X896" s="1">
        <v>27.0</v>
      </c>
      <c r="Y896" s="1">
        <v>21.0</v>
      </c>
      <c r="Z896" s="1" t="s">
        <v>53</v>
      </c>
      <c r="AA896" s="1">
        <v>31.0</v>
      </c>
      <c r="AB896" s="1">
        <v>21.0</v>
      </c>
      <c r="AC896" s="1">
        <v>17.0</v>
      </c>
      <c r="AD896" s="1">
        <v>10.0</v>
      </c>
      <c r="AE896" s="1">
        <v>9.0</v>
      </c>
      <c r="AF896" s="1" t="s">
        <v>54</v>
      </c>
      <c r="AG896" s="1">
        <v>40.0</v>
      </c>
      <c r="AH896" s="1">
        <v>18.0</v>
      </c>
      <c r="AI896" s="1">
        <v>18.0</v>
      </c>
      <c r="AJ896" s="1">
        <v>22.0</v>
      </c>
      <c r="AK896" s="1">
        <v>22.0</v>
      </c>
      <c r="AL896" s="1">
        <v>143.0</v>
      </c>
      <c r="AM896" s="1" t="s">
        <v>55</v>
      </c>
      <c r="AN896" s="1">
        <v>57.0</v>
      </c>
      <c r="AO896" s="1">
        <v>57.0</v>
      </c>
      <c r="AP896" s="1" t="s">
        <v>4423</v>
      </c>
      <c r="AQ896" s="3" t="str">
        <f>HYPERLINK("https://icf.clappia.com/app/GMB253374/submission/KOT91851634/ICF247370-GMB253374-1bc5n3n2kg9120000000/SIG-20250630_122913aejp.jpeg", "SIG-20250630_122913aejp.jpeg")</f>
        <v>SIG-20250630_122913aejp.jpeg</v>
      </c>
      <c r="AR896" s="1" t="s">
        <v>4424</v>
      </c>
      <c r="AS896" s="3" t="str">
        <f>HYPERLINK("https://icf.clappia.com/app/GMB253374/submission/KOT91851634/ICF247370-GMB253374-42ad728oc59o00000000/SIG-20250630_12311145pd.jpeg", "SIG-20250630_12311145pd.jpeg")</f>
        <v>SIG-20250630_12311145pd.jpeg</v>
      </c>
      <c r="AT896" s="1" t="s">
        <v>4425</v>
      </c>
      <c r="AU896" s="3" t="str">
        <f>HYPERLINK("https://icf.clappia.com/app/GMB253374/submission/KOT91851634/ICF247370-GMB253374-856o8dbfk9ck0000000/SIG-20250630_123317f1ea.jpeg", "SIG-20250630_123317f1ea.jpeg")</f>
        <v>SIG-20250630_123317f1ea.jpeg</v>
      </c>
      <c r="AV896" s="3" t="str">
        <f>HYPERLINK("https://www.google.com/maps/place/8.8722333%2C-12.1044", "8.8722333,-12.1044")</f>
        <v>8.8722333,-12.1044</v>
      </c>
    </row>
    <row r="897" ht="15.75" customHeight="1">
      <c r="A897" s="1" t="s">
        <v>4426</v>
      </c>
      <c r="B897" s="1" t="s">
        <v>161</v>
      </c>
      <c r="C897" s="1" t="s">
        <v>4403</v>
      </c>
      <c r="D897" s="1" t="s">
        <v>4403</v>
      </c>
      <c r="E897" s="1" t="s">
        <v>4427</v>
      </c>
      <c r="F897" s="1" t="s">
        <v>64</v>
      </c>
      <c r="G897" s="1">
        <v>422.0</v>
      </c>
      <c r="H897" s="1" t="s">
        <v>50</v>
      </c>
      <c r="I897" s="1">
        <v>82.0</v>
      </c>
      <c r="J897" s="1">
        <v>40.0</v>
      </c>
      <c r="K897" s="1">
        <v>39.0</v>
      </c>
      <c r="L897" s="1">
        <v>42.0</v>
      </c>
      <c r="M897" s="1">
        <v>40.0</v>
      </c>
      <c r="N897" s="1" t="s">
        <v>51</v>
      </c>
      <c r="O897" s="1">
        <v>65.0</v>
      </c>
      <c r="P897" s="1">
        <v>30.0</v>
      </c>
      <c r="Q897" s="1">
        <v>30.0</v>
      </c>
      <c r="R897" s="1">
        <v>35.0</v>
      </c>
      <c r="S897" s="1">
        <v>35.0</v>
      </c>
      <c r="T897" s="1" t="s">
        <v>52</v>
      </c>
      <c r="U897" s="1">
        <v>58.0</v>
      </c>
      <c r="V897" s="1">
        <v>33.0</v>
      </c>
      <c r="W897" s="1">
        <v>31.0</v>
      </c>
      <c r="X897" s="1">
        <v>25.0</v>
      </c>
      <c r="Y897" s="1">
        <v>25.0</v>
      </c>
      <c r="Z897" s="1" t="s">
        <v>53</v>
      </c>
      <c r="AA897" s="1">
        <v>69.0</v>
      </c>
      <c r="AB897" s="1">
        <v>30.0</v>
      </c>
      <c r="AC897" s="1">
        <v>30.0</v>
      </c>
      <c r="AD897" s="1">
        <v>39.0</v>
      </c>
      <c r="AE897" s="1">
        <v>39.0</v>
      </c>
      <c r="AF897" s="1" t="s">
        <v>54</v>
      </c>
      <c r="AG897" s="1">
        <v>77.0</v>
      </c>
      <c r="AH897" s="1">
        <v>45.0</v>
      </c>
      <c r="AI897" s="1">
        <v>45.0</v>
      </c>
      <c r="AJ897" s="1">
        <v>32.0</v>
      </c>
      <c r="AK897" s="1">
        <v>32.0</v>
      </c>
      <c r="AL897" s="1">
        <v>346.0</v>
      </c>
      <c r="AM897" s="1">
        <v>5.0</v>
      </c>
      <c r="AN897" s="1">
        <v>71.0</v>
      </c>
      <c r="AO897" s="1">
        <v>71.0</v>
      </c>
      <c r="AP897" s="1" t="s">
        <v>1200</v>
      </c>
      <c r="AQ897" s="3" t="str">
        <f>HYPERLINK("https://icf.clappia.com/app/GMB253374/submission/USR64835760/ICF247370-GMB253374-1p9e16mbinf0c0000000/SIG-20250630_12406ff96.jpeg", "SIG-20250630_12406ff96.jpeg")</f>
        <v>SIG-20250630_12406ff96.jpeg</v>
      </c>
      <c r="AR897" s="1" t="s">
        <v>1201</v>
      </c>
      <c r="AS897" s="3" t="str">
        <f>HYPERLINK("https://icf.clappia.com/app/GMB253374/submission/USR64835760/ICF247370-GMB253374-h54d99578j360000000/SIG-20250630_1241lga8d.jpeg", "SIG-20250630_1241lga8d.jpeg")</f>
        <v>SIG-20250630_1241lga8d.jpeg</v>
      </c>
      <c r="AT897" s="1" t="s">
        <v>1202</v>
      </c>
      <c r="AU897" s="3" t="str">
        <f>HYPERLINK("https://icf.clappia.com/app/GMB253374/submission/USR64835760/ICF247370-GMB253374-2ijpmf0k59j400000000/SIG-20250630_1241h3lj2.jpeg", "SIG-20250630_1241h3lj2.jpeg")</f>
        <v>SIG-20250630_1241h3lj2.jpeg</v>
      </c>
      <c r="AV897" s="3" t="str">
        <f>HYPERLINK("https://www.google.com/maps/place/7.9425717%2C-11.6662283", "7.9425717,-11.6662283")</f>
        <v>7.9425717,-11.6662283</v>
      </c>
    </row>
    <row r="898" ht="15.75" customHeight="1">
      <c r="A898" s="1" t="s">
        <v>4428</v>
      </c>
      <c r="B898" s="1" t="s">
        <v>342</v>
      </c>
      <c r="C898" s="1" t="s">
        <v>4403</v>
      </c>
      <c r="D898" s="1" t="s">
        <v>4403</v>
      </c>
      <c r="E898" s="1" t="s">
        <v>4429</v>
      </c>
      <c r="F898" s="1" t="s">
        <v>64</v>
      </c>
      <c r="G898" s="1">
        <v>250.0</v>
      </c>
      <c r="H898" s="1" t="s">
        <v>50</v>
      </c>
      <c r="I898" s="1">
        <v>70.0</v>
      </c>
      <c r="J898" s="1">
        <v>42.0</v>
      </c>
      <c r="K898" s="1">
        <v>40.0</v>
      </c>
      <c r="L898" s="1">
        <v>28.0</v>
      </c>
      <c r="M898" s="1">
        <v>27.0</v>
      </c>
      <c r="N898" s="1" t="s">
        <v>51</v>
      </c>
      <c r="O898" s="1">
        <v>60.0</v>
      </c>
      <c r="P898" s="1">
        <v>30.0</v>
      </c>
      <c r="Q898" s="1">
        <v>28.0</v>
      </c>
      <c r="R898" s="1">
        <v>30.0</v>
      </c>
      <c r="S898" s="1">
        <v>29.0</v>
      </c>
      <c r="T898" s="1" t="s">
        <v>52</v>
      </c>
      <c r="U898" s="1">
        <v>32.0</v>
      </c>
      <c r="V898" s="1">
        <v>16.0</v>
      </c>
      <c r="W898" s="1">
        <v>14.0</v>
      </c>
      <c r="X898" s="1">
        <v>16.0</v>
      </c>
      <c r="Y898" s="1">
        <v>15.0</v>
      </c>
      <c r="Z898" s="1" t="s">
        <v>53</v>
      </c>
      <c r="AA898" s="1">
        <v>49.0</v>
      </c>
      <c r="AB898" s="1">
        <v>24.0</v>
      </c>
      <c r="AC898" s="1">
        <v>21.0</v>
      </c>
      <c r="AD898" s="1">
        <v>25.0</v>
      </c>
      <c r="AE898" s="1">
        <v>23.0</v>
      </c>
      <c r="AF898" s="1" t="s">
        <v>54</v>
      </c>
      <c r="AG898" s="1">
        <v>50.0</v>
      </c>
      <c r="AH898" s="1">
        <v>20.0</v>
      </c>
      <c r="AI898" s="1">
        <v>18.0</v>
      </c>
      <c r="AJ898" s="1">
        <v>30.0</v>
      </c>
      <c r="AK898" s="1">
        <v>27.0</v>
      </c>
      <c r="AL898" s="1">
        <v>242.0</v>
      </c>
      <c r="AM898" s="1" t="s">
        <v>55</v>
      </c>
      <c r="AN898" s="1">
        <v>8.0</v>
      </c>
      <c r="AO898" s="1">
        <v>8.0</v>
      </c>
      <c r="AP898" s="1" t="s">
        <v>2785</v>
      </c>
      <c r="AQ898" s="3" t="str">
        <f>HYPERLINK("https://icf.clappia.com/app/GMB253374/submission/NON69347445/ICF247370-GMB253374-1efep44oljcie0000000/SIG-20250630_1254ekph1.jpeg", "SIG-20250630_1254ekph1.jpeg")</f>
        <v>SIG-20250630_1254ekph1.jpeg</v>
      </c>
      <c r="AR898" s="1" t="s">
        <v>4430</v>
      </c>
      <c r="AS898" s="3" t="str">
        <f>HYPERLINK("https://icf.clappia.com/app/GMB253374/submission/NON69347445/ICF247370-GMB253374-1n3j92ea10pck0000000/SIG-20250630_1254m2fnn.jpeg", "SIG-20250630_1254m2fnn.jpeg")</f>
        <v>SIG-20250630_1254m2fnn.jpeg</v>
      </c>
      <c r="AT898" s="1" t="s">
        <v>4431</v>
      </c>
      <c r="AU898" s="3" t="str">
        <f>HYPERLINK("https://icf.clappia.com/app/GMB253374/submission/NON69347445/ICF247370-GMB253374-3kh81g6bio7e00000000/SIG-20250630_1255pko8l.jpeg", "SIG-20250630_1255pko8l.jpeg")</f>
        <v>SIG-20250630_1255pko8l.jpeg</v>
      </c>
      <c r="AV898" s="3" t="str">
        <f>HYPERLINK("https://www.google.com/maps/place/9.0613758%2C-12.4138799", "9.0613758,-12.4138799")</f>
        <v>9.0613758,-12.4138799</v>
      </c>
    </row>
    <row r="899" ht="15.75" customHeight="1">
      <c r="A899" s="1" t="s">
        <v>4432</v>
      </c>
      <c r="B899" s="1" t="s">
        <v>81</v>
      </c>
      <c r="C899" s="1" t="s">
        <v>2855</v>
      </c>
      <c r="D899" s="1" t="s">
        <v>2855</v>
      </c>
      <c r="E899" s="1" t="s">
        <v>4433</v>
      </c>
      <c r="F899" s="1" t="s">
        <v>64</v>
      </c>
      <c r="G899" s="1">
        <v>124.0</v>
      </c>
      <c r="H899" s="1" t="s">
        <v>50</v>
      </c>
      <c r="I899" s="1">
        <v>28.0</v>
      </c>
      <c r="J899" s="1">
        <v>14.0</v>
      </c>
      <c r="K899" s="1">
        <v>14.0</v>
      </c>
      <c r="L899" s="1">
        <v>14.0</v>
      </c>
      <c r="M899" s="1">
        <v>14.0</v>
      </c>
      <c r="N899" s="1" t="s">
        <v>51</v>
      </c>
      <c r="O899" s="1">
        <v>31.0</v>
      </c>
      <c r="P899" s="1">
        <v>16.0</v>
      </c>
      <c r="Q899" s="1">
        <v>16.0</v>
      </c>
      <c r="R899" s="1">
        <v>15.0</v>
      </c>
      <c r="S899" s="1">
        <v>15.0</v>
      </c>
      <c r="T899" s="1" t="s">
        <v>52</v>
      </c>
      <c r="U899" s="1">
        <v>23.0</v>
      </c>
      <c r="V899" s="1">
        <v>9.0</v>
      </c>
      <c r="W899" s="1">
        <v>9.0</v>
      </c>
      <c r="X899" s="1">
        <v>14.0</v>
      </c>
      <c r="Y899" s="1">
        <v>14.0</v>
      </c>
      <c r="Z899" s="1" t="s">
        <v>53</v>
      </c>
      <c r="AA899" s="1">
        <v>25.0</v>
      </c>
      <c r="AB899" s="1">
        <v>11.0</v>
      </c>
      <c r="AC899" s="1">
        <v>11.0</v>
      </c>
      <c r="AD899" s="1">
        <v>14.0</v>
      </c>
      <c r="AE899" s="1">
        <v>14.0</v>
      </c>
      <c r="AF899" s="1" t="s">
        <v>54</v>
      </c>
      <c r="AG899" s="1">
        <v>17.0</v>
      </c>
      <c r="AH899" s="1">
        <v>6.0</v>
      </c>
      <c r="AI899" s="1">
        <v>6.0</v>
      </c>
      <c r="AJ899" s="1">
        <v>11.0</v>
      </c>
      <c r="AK899" s="1">
        <v>11.0</v>
      </c>
      <c r="AL899" s="1">
        <v>124.0</v>
      </c>
      <c r="AM899" s="1" t="s">
        <v>55</v>
      </c>
      <c r="AN899" s="1" t="s">
        <v>55</v>
      </c>
      <c r="AO899" s="1" t="s">
        <v>55</v>
      </c>
      <c r="AP899" s="1" t="s">
        <v>4434</v>
      </c>
      <c r="AQ899" s="3" t="str">
        <f>HYPERLINK("https://icf.clappia.com/app/GMB253374/submission/KHW13554408/ICF247370-GMB253374-5nl2lg9dp8g600000000/SIG-20250630_1258gbaff.jpeg", "SIG-20250630_1258gbaff.jpeg")</f>
        <v>SIG-20250630_1258gbaff.jpeg</v>
      </c>
      <c r="AR899" s="1" t="s">
        <v>4435</v>
      </c>
      <c r="AS899" s="3" t="str">
        <f>HYPERLINK("https://icf.clappia.com/app/GMB253374/submission/KHW13554408/ICF247370-GMB253374-5l4bfa8cecok00000000/SIG-20250630_1252e91hd.jpeg", "SIG-20250630_1252e91hd.jpeg")</f>
        <v>SIG-20250630_1252e91hd.jpeg</v>
      </c>
      <c r="AT899" s="1" t="s">
        <v>873</v>
      </c>
      <c r="AU899" s="3" t="str">
        <f>HYPERLINK("https://icf.clappia.com/app/GMB253374/submission/KHW13554408/ICF247370-GMB253374-4eilob7e803600000000/SIG-20250630_12584d33h.jpeg", "SIG-20250630_12584d33h.jpeg")</f>
        <v>SIG-20250630_12584d33h.jpeg</v>
      </c>
      <c r="AV899" s="3" t="str">
        <f>HYPERLINK("https://www.google.com/maps/place/7.94724%2C-11.721475", "7.94724,-11.721475")</f>
        <v>7.94724,-11.721475</v>
      </c>
    </row>
    <row r="900" ht="15.75" customHeight="1">
      <c r="A900" s="1" t="s">
        <v>4436</v>
      </c>
      <c r="B900" s="1" t="s">
        <v>167</v>
      </c>
      <c r="C900" s="1" t="s">
        <v>2855</v>
      </c>
      <c r="D900" s="1" t="s">
        <v>2855</v>
      </c>
      <c r="E900" s="1" t="s">
        <v>4437</v>
      </c>
      <c r="F900" s="1" t="s">
        <v>64</v>
      </c>
      <c r="G900" s="1">
        <v>259.0</v>
      </c>
      <c r="H900" s="1" t="s">
        <v>50</v>
      </c>
      <c r="I900" s="1">
        <v>41.0</v>
      </c>
      <c r="J900" s="1">
        <v>16.0</v>
      </c>
      <c r="K900" s="1">
        <v>16.0</v>
      </c>
      <c r="L900" s="1">
        <v>25.0</v>
      </c>
      <c r="M900" s="1">
        <v>18.0</v>
      </c>
      <c r="N900" s="1" t="s">
        <v>51</v>
      </c>
      <c r="O900" s="1">
        <v>35.0</v>
      </c>
      <c r="P900" s="1">
        <v>20.0</v>
      </c>
      <c r="Q900" s="1">
        <v>15.0</v>
      </c>
      <c r="R900" s="1">
        <v>15.0</v>
      </c>
      <c r="S900" s="1">
        <v>11.0</v>
      </c>
      <c r="T900" s="1" t="s">
        <v>52</v>
      </c>
      <c r="U900" s="1">
        <v>50.0</v>
      </c>
      <c r="V900" s="1">
        <v>25.0</v>
      </c>
      <c r="W900" s="1">
        <v>18.0</v>
      </c>
      <c r="X900" s="1">
        <v>25.0</v>
      </c>
      <c r="Y900" s="1">
        <v>16.0</v>
      </c>
      <c r="Z900" s="1" t="s">
        <v>53</v>
      </c>
      <c r="AA900" s="1">
        <v>41.0</v>
      </c>
      <c r="AB900" s="1">
        <v>19.0</v>
      </c>
      <c r="AC900" s="1">
        <v>14.0</v>
      </c>
      <c r="AD900" s="1">
        <v>22.0</v>
      </c>
      <c r="AE900" s="1">
        <v>16.0</v>
      </c>
      <c r="AF900" s="1" t="s">
        <v>54</v>
      </c>
      <c r="AG900" s="1">
        <v>35.0</v>
      </c>
      <c r="AH900" s="1">
        <v>14.0</v>
      </c>
      <c r="AI900" s="1">
        <v>14.0</v>
      </c>
      <c r="AJ900" s="1">
        <v>21.0</v>
      </c>
      <c r="AK900" s="1">
        <v>21.0</v>
      </c>
      <c r="AL900" s="1">
        <v>159.0</v>
      </c>
      <c r="AM900" s="1" t="s">
        <v>55</v>
      </c>
      <c r="AN900" s="1">
        <v>100.0</v>
      </c>
      <c r="AO900" s="1">
        <v>100.0</v>
      </c>
      <c r="AP900" s="1" t="s">
        <v>4438</v>
      </c>
      <c r="AQ900" s="3" t="str">
        <f>HYPERLINK("https://icf.clappia.com/app/GMB253374/submission/OKT33443519/ICF247370-GMB253374-6140lmm9gaio00000000/SIG-20250630_1310a4mkn.jpeg", "SIG-20250630_1310a4mkn.jpeg")</f>
        <v>SIG-20250630_1310a4mkn.jpeg</v>
      </c>
      <c r="AR900" s="1" t="s">
        <v>4439</v>
      </c>
      <c r="AS900" s="3" t="str">
        <f>HYPERLINK("https://icf.clappia.com/app/GMB253374/submission/OKT33443519/ICF247370-GMB253374-5hmg63n827me00000000/SIG-20250630_1230p6fcb.jpeg", "SIG-20250630_1230p6fcb.jpeg")</f>
        <v>SIG-20250630_1230p6fcb.jpeg</v>
      </c>
      <c r="AT900" s="1" t="s">
        <v>4440</v>
      </c>
      <c r="AU900" s="3" t="str">
        <f>HYPERLINK("https://icf.clappia.com/app/GMB253374/submission/OKT33443519/ICF247370-GMB253374-3i02p39ae2di00000000/SIG-20250630_1307d7di.jpeg", "SIG-20250630_1307d7di.jpeg")</f>
        <v>SIG-20250630_1307d7di.jpeg</v>
      </c>
      <c r="AV900" s="3" t="str">
        <f>HYPERLINK("https://www.google.com/maps/place/7.9251551%2C-11.7326301", "7.9251551,-11.7326301")</f>
        <v>7.9251551,-11.7326301</v>
      </c>
    </row>
    <row r="901" ht="15.75" customHeight="1">
      <c r="A901" s="1" t="s">
        <v>4441</v>
      </c>
      <c r="B901" s="1" t="s">
        <v>69</v>
      </c>
      <c r="C901" s="1" t="s">
        <v>4442</v>
      </c>
      <c r="D901" s="1" t="s">
        <v>4442</v>
      </c>
      <c r="E901" s="1" t="s">
        <v>4443</v>
      </c>
      <c r="F901" s="1" t="s">
        <v>64</v>
      </c>
      <c r="G901" s="1">
        <v>200.0</v>
      </c>
      <c r="H901" s="1" t="s">
        <v>50</v>
      </c>
      <c r="I901" s="1">
        <v>55.0</v>
      </c>
      <c r="J901" s="1">
        <v>22.0</v>
      </c>
      <c r="K901" s="1">
        <v>22.0</v>
      </c>
      <c r="L901" s="1">
        <v>33.0</v>
      </c>
      <c r="M901" s="1">
        <v>32.0</v>
      </c>
      <c r="N901" s="1" t="s">
        <v>51</v>
      </c>
      <c r="O901" s="1">
        <v>48.0</v>
      </c>
      <c r="P901" s="1">
        <v>23.0</v>
      </c>
      <c r="Q901" s="1">
        <v>23.0</v>
      </c>
      <c r="R901" s="1">
        <v>25.0</v>
      </c>
      <c r="S901" s="1">
        <v>24.0</v>
      </c>
      <c r="T901" s="1" t="s">
        <v>52</v>
      </c>
      <c r="U901" s="1">
        <v>40.0</v>
      </c>
      <c r="V901" s="1">
        <v>23.0</v>
      </c>
      <c r="W901" s="1">
        <v>23.0</v>
      </c>
      <c r="X901" s="1">
        <v>17.0</v>
      </c>
      <c r="Y901" s="1">
        <v>17.0</v>
      </c>
      <c r="Z901" s="1" t="s">
        <v>53</v>
      </c>
      <c r="AA901" s="1">
        <v>40.0</v>
      </c>
      <c r="AB901" s="1">
        <v>20.0</v>
      </c>
      <c r="AC901" s="1">
        <v>20.0</v>
      </c>
      <c r="AD901" s="1">
        <v>15.0</v>
      </c>
      <c r="AE901" s="1">
        <v>15.0</v>
      </c>
      <c r="AF901" s="1" t="s">
        <v>54</v>
      </c>
      <c r="AG901" s="1">
        <v>29.0</v>
      </c>
      <c r="AH901" s="1">
        <v>16.0</v>
      </c>
      <c r="AI901" s="1">
        <v>16.0</v>
      </c>
      <c r="AJ901" s="1">
        <v>13.0</v>
      </c>
      <c r="AK901" s="1">
        <v>8.0</v>
      </c>
      <c r="AL901" s="1">
        <v>200.0</v>
      </c>
      <c r="AM901" s="1" t="s">
        <v>55</v>
      </c>
      <c r="AN901" s="1" t="s">
        <v>55</v>
      </c>
      <c r="AO901" s="1" t="s">
        <v>55</v>
      </c>
      <c r="AP901" s="1" t="s">
        <v>4444</v>
      </c>
      <c r="AQ901" s="3" t="str">
        <f>HYPERLINK("https://icf.clappia.com/app/GMB253374/submission/NPE19089147/ICF247370-GMB253374-5hlh3a5hc8c000000000/SIG-20250630_1256k0762.jpeg", "SIG-20250630_1256k0762.jpeg")</f>
        <v>SIG-20250630_1256k0762.jpeg</v>
      </c>
      <c r="AR901" s="1" t="s">
        <v>4445</v>
      </c>
      <c r="AS901" s="3" t="str">
        <f>HYPERLINK("https://icf.clappia.com/app/GMB253374/submission/NPE19089147/ICF247370-GMB253374-33eo0b4kgi2400000000/SIG-20250630_1257106ci4.jpeg", "SIG-20250630_1257106ci4.jpeg")</f>
        <v>SIG-20250630_1257106ci4.jpeg</v>
      </c>
      <c r="AT901" s="1" t="s">
        <v>3115</v>
      </c>
      <c r="AU901" s="3" t="str">
        <f>HYPERLINK("https://icf.clappia.com/app/GMB253374/submission/NPE19089147/ICF247370-GMB253374-3bfklgp86c8i0000000/SIG-20250630_1258ngee4.jpeg", "SIG-20250630_1258ngee4.jpeg")</f>
        <v>SIG-20250630_1258ngee4.jpeg</v>
      </c>
      <c r="AV901" s="3" t="str">
        <f>HYPERLINK("https://www.google.com/maps/place/8.8398367%2C-12.1545167", "8.8398367,-12.1545167")</f>
        <v>8.8398367,-12.1545167</v>
      </c>
    </row>
    <row r="902" ht="15.75" customHeight="1">
      <c r="A902" s="1" t="s">
        <v>4446</v>
      </c>
      <c r="B902" s="1" t="s">
        <v>802</v>
      </c>
      <c r="C902" s="1" t="s">
        <v>4447</v>
      </c>
      <c r="D902" s="1" t="s">
        <v>4447</v>
      </c>
      <c r="E902" s="1" t="s">
        <v>4448</v>
      </c>
      <c r="F902" s="1" t="s">
        <v>64</v>
      </c>
      <c r="G902" s="1">
        <v>357.0</v>
      </c>
      <c r="H902" s="1" t="s">
        <v>50</v>
      </c>
      <c r="I902" s="1">
        <v>146.0</v>
      </c>
      <c r="J902" s="1">
        <v>80.0</v>
      </c>
      <c r="K902" s="1">
        <v>80.0</v>
      </c>
      <c r="L902" s="1">
        <v>66.0</v>
      </c>
      <c r="M902" s="1">
        <v>66.0</v>
      </c>
      <c r="N902" s="1" t="s">
        <v>51</v>
      </c>
      <c r="O902" s="1">
        <v>60.0</v>
      </c>
      <c r="P902" s="1">
        <v>38.0</v>
      </c>
      <c r="Q902" s="1">
        <v>38.0</v>
      </c>
      <c r="R902" s="1">
        <v>22.0</v>
      </c>
      <c r="S902" s="1">
        <v>22.0</v>
      </c>
      <c r="T902" s="1" t="s">
        <v>52</v>
      </c>
      <c r="U902" s="1">
        <v>45.0</v>
      </c>
      <c r="V902" s="1">
        <v>25.0</v>
      </c>
      <c r="W902" s="1">
        <v>25.0</v>
      </c>
      <c r="X902" s="1">
        <v>20.0</v>
      </c>
      <c r="Y902" s="1">
        <v>20.0</v>
      </c>
      <c r="Z902" s="1" t="s">
        <v>53</v>
      </c>
      <c r="AA902" s="1">
        <v>59.0</v>
      </c>
      <c r="AB902" s="1">
        <v>39.0</v>
      </c>
      <c r="AC902" s="1">
        <v>39.0</v>
      </c>
      <c r="AD902" s="1">
        <v>20.0</v>
      </c>
      <c r="AE902" s="1">
        <v>20.0</v>
      </c>
      <c r="AF902" s="1" t="s">
        <v>54</v>
      </c>
      <c r="AG902" s="1">
        <v>47.0</v>
      </c>
      <c r="AH902" s="1">
        <v>30.0</v>
      </c>
      <c r="AI902" s="1">
        <v>30.0</v>
      </c>
      <c r="AJ902" s="1">
        <v>17.0</v>
      </c>
      <c r="AK902" s="1">
        <v>17.0</v>
      </c>
      <c r="AL902" s="1">
        <v>357.0</v>
      </c>
      <c r="AM902" s="1" t="s">
        <v>55</v>
      </c>
      <c r="AN902" s="1" t="s">
        <v>55</v>
      </c>
      <c r="AO902" s="1" t="s">
        <v>55</v>
      </c>
      <c r="AP902" s="1" t="s">
        <v>4449</v>
      </c>
      <c r="AQ902" s="3" t="str">
        <f>HYPERLINK("https://icf.clappia.com/app/GMB253374/submission/DFP87838815/ICF247370-GMB253374-360kcj0alaac0000000/SIG-20250630_1306e66m8.jpeg", "SIG-20250630_1306e66m8.jpeg")</f>
        <v>SIG-20250630_1306e66m8.jpeg</v>
      </c>
      <c r="AR902" s="1" t="s">
        <v>4450</v>
      </c>
      <c r="AS902" s="3" t="str">
        <f>HYPERLINK("https://icf.clappia.com/app/GMB253374/submission/DFP87838815/ICF247370-GMB253374-3g2bbaeldi4g00000000/SIG-20250630_1058caelg.jpeg", "SIG-20250630_1058caelg.jpeg")</f>
        <v>SIG-20250630_1058caelg.jpeg</v>
      </c>
      <c r="AT902" s="1" t="s">
        <v>1214</v>
      </c>
      <c r="AU902" s="3" t="str">
        <f>HYPERLINK("https://icf.clappia.com/app/GMB253374/submission/DFP87838815/ICF247370-GMB253374-576lepg728g000000000/SIG-20250630_1107nmb7g.jpeg", "SIG-20250630_1107nmb7g.jpeg")</f>
        <v>SIG-20250630_1107nmb7g.jpeg</v>
      </c>
      <c r="AV902" s="3" t="str">
        <f>HYPERLINK("https://www.google.com/maps/place/7.7648017%2C-11.47308", "7.7648017,-11.47308")</f>
        <v>7.7648017,-11.47308</v>
      </c>
    </row>
    <row r="903" ht="15.75" customHeight="1">
      <c r="A903" s="1" t="s">
        <v>4451</v>
      </c>
      <c r="B903" s="1" t="s">
        <v>167</v>
      </c>
      <c r="C903" s="1" t="s">
        <v>4452</v>
      </c>
      <c r="D903" s="1" t="s">
        <v>4452</v>
      </c>
      <c r="E903" s="1" t="s">
        <v>4453</v>
      </c>
      <c r="F903" s="1" t="s">
        <v>64</v>
      </c>
      <c r="G903" s="1">
        <v>358.0</v>
      </c>
      <c r="H903" s="1" t="s">
        <v>50</v>
      </c>
      <c r="I903" s="1">
        <v>73.0</v>
      </c>
      <c r="J903" s="1">
        <v>30.0</v>
      </c>
      <c r="K903" s="1">
        <v>29.0</v>
      </c>
      <c r="L903" s="1">
        <v>43.0</v>
      </c>
      <c r="M903" s="1">
        <v>34.0</v>
      </c>
      <c r="N903" s="1" t="s">
        <v>51</v>
      </c>
      <c r="O903" s="1">
        <v>48.0</v>
      </c>
      <c r="P903" s="1">
        <v>23.0</v>
      </c>
      <c r="Q903" s="1">
        <v>21.0</v>
      </c>
      <c r="R903" s="1">
        <v>25.0</v>
      </c>
      <c r="S903" s="1">
        <v>23.0</v>
      </c>
      <c r="T903" s="1" t="s">
        <v>52</v>
      </c>
      <c r="U903" s="1">
        <v>82.0</v>
      </c>
      <c r="V903" s="1">
        <v>42.0</v>
      </c>
      <c r="W903" s="1">
        <v>33.0</v>
      </c>
      <c r="X903" s="1">
        <v>40.0</v>
      </c>
      <c r="Y903" s="1">
        <v>32.0</v>
      </c>
      <c r="Z903" s="1" t="s">
        <v>53</v>
      </c>
      <c r="AA903" s="1">
        <v>47.0</v>
      </c>
      <c r="AB903" s="1">
        <v>25.0</v>
      </c>
      <c r="AC903" s="1">
        <v>24.0</v>
      </c>
      <c r="AD903" s="1">
        <v>22.0</v>
      </c>
      <c r="AE903" s="1">
        <v>22.0</v>
      </c>
      <c r="AF903" s="1" t="s">
        <v>54</v>
      </c>
      <c r="AG903" s="1">
        <v>60.0</v>
      </c>
      <c r="AH903" s="1">
        <v>30.0</v>
      </c>
      <c r="AI903" s="1">
        <v>25.0</v>
      </c>
      <c r="AJ903" s="1">
        <v>30.0</v>
      </c>
      <c r="AK903" s="1">
        <v>26.0</v>
      </c>
      <c r="AL903" s="1">
        <v>269.0</v>
      </c>
      <c r="AM903" s="1" t="s">
        <v>55</v>
      </c>
      <c r="AN903" s="1">
        <v>89.0</v>
      </c>
      <c r="AO903" s="1">
        <v>89.0</v>
      </c>
      <c r="AP903" s="1" t="s">
        <v>1995</v>
      </c>
      <c r="AQ903" s="3" t="str">
        <f>HYPERLINK("https://icf.clappia.com/app/GMB253374/submission/TJZ58042393/ICF247370-GMB253374-of9fhidl3am40000000/SIG-20250630_1303eda3b.jpeg", "SIG-20250630_1303eda3b.jpeg")</f>
        <v>SIG-20250630_1303eda3b.jpeg</v>
      </c>
      <c r="AR903" s="1" t="s">
        <v>4454</v>
      </c>
      <c r="AS903" s="3" t="str">
        <f>HYPERLINK("https://icf.clappia.com/app/GMB253374/submission/TJZ58042393/ICF247370-GMB253374-1meg3bdfl5p040000000/SIG-20250630_130415k6j.jpeg", "SIG-20250630_130415k6j.jpeg")</f>
        <v>SIG-20250630_130415k6j.jpeg</v>
      </c>
      <c r="AT903" s="1" t="s">
        <v>4455</v>
      </c>
      <c r="AU903" s="3" t="str">
        <f>HYPERLINK("https://icf.clappia.com/app/GMB253374/submission/TJZ58042393/ICF247370-GMB253374-9o51o58j3dp20000000/SIG-20250630_12566cl9k.jpeg", "SIG-20250630_12566cl9k.jpeg")</f>
        <v>SIG-20250630_12566cl9k.jpeg</v>
      </c>
      <c r="AV903" s="3" t="str">
        <f>HYPERLINK("https://www.google.com/maps/place/7.8637302%2C-11.7066515", "7.8637302,-11.7066515")</f>
        <v>7.8637302,-11.7066515</v>
      </c>
    </row>
    <row r="904" ht="15.75" customHeight="1">
      <c r="A904" s="1" t="s">
        <v>4456</v>
      </c>
      <c r="B904" s="1" t="s">
        <v>2054</v>
      </c>
      <c r="C904" s="1" t="s">
        <v>4457</v>
      </c>
      <c r="D904" s="1" t="s">
        <v>2794</v>
      </c>
      <c r="E904" s="1" t="s">
        <v>4458</v>
      </c>
      <c r="F904" s="1" t="s">
        <v>64</v>
      </c>
      <c r="G904" s="1">
        <v>100.0</v>
      </c>
      <c r="H904" s="1" t="s">
        <v>50</v>
      </c>
      <c r="I904" s="1">
        <v>31.0</v>
      </c>
      <c r="J904" s="1">
        <v>11.0</v>
      </c>
      <c r="K904" s="1">
        <v>11.0</v>
      </c>
      <c r="L904" s="1">
        <v>20.0</v>
      </c>
      <c r="M904" s="1">
        <v>20.0</v>
      </c>
      <c r="N904" s="1" t="s">
        <v>51</v>
      </c>
      <c r="O904" s="1">
        <v>20.0</v>
      </c>
      <c r="P904" s="1">
        <v>8.0</v>
      </c>
      <c r="Q904" s="1">
        <v>8.0</v>
      </c>
      <c r="R904" s="1">
        <v>12.0</v>
      </c>
      <c r="S904" s="1">
        <v>12.0</v>
      </c>
      <c r="T904" s="1" t="s">
        <v>52</v>
      </c>
      <c r="U904" s="1">
        <v>14.0</v>
      </c>
      <c r="V904" s="1">
        <v>8.0</v>
      </c>
      <c r="W904" s="1">
        <v>8.0</v>
      </c>
      <c r="X904" s="1">
        <v>6.0</v>
      </c>
      <c r="Y904" s="1">
        <v>6.0</v>
      </c>
      <c r="Z904" s="1" t="s">
        <v>53</v>
      </c>
      <c r="AA904" s="1">
        <v>16.0</v>
      </c>
      <c r="AB904" s="1">
        <v>4.0</v>
      </c>
      <c r="AC904" s="1">
        <v>4.0</v>
      </c>
      <c r="AD904" s="1">
        <v>12.0</v>
      </c>
      <c r="AE904" s="1">
        <v>12.0</v>
      </c>
      <c r="AF904" s="1" t="s">
        <v>54</v>
      </c>
      <c r="AG904" s="1">
        <v>8.0</v>
      </c>
      <c r="AH904" s="1">
        <v>6.0</v>
      </c>
      <c r="AI904" s="1">
        <v>6.0</v>
      </c>
      <c r="AJ904" s="1">
        <v>2.0</v>
      </c>
      <c r="AK904" s="1">
        <v>2.0</v>
      </c>
      <c r="AL904" s="1">
        <v>89.0</v>
      </c>
      <c r="AM904" s="1" t="s">
        <v>55</v>
      </c>
      <c r="AN904" s="1">
        <v>11.0</v>
      </c>
      <c r="AO904" s="1">
        <v>11.0</v>
      </c>
      <c r="AP904" s="1" t="s">
        <v>4459</v>
      </c>
      <c r="AQ904" s="3" t="str">
        <f>HYPERLINK("https://icf.clappia.com/app/GMB253374/submission/RAW53481743/ICF247370-GMB253374-3d87dj757l4a00000000/SIG-20250630_1155357ap.jpeg", "SIG-20250630_1155357ap.jpeg")</f>
        <v>SIG-20250630_1155357ap.jpeg</v>
      </c>
      <c r="AR904" s="1" t="s">
        <v>4460</v>
      </c>
      <c r="AS904" s="3" t="str">
        <f>HYPERLINK("https://icf.clappia.com/app/GMB253374/submission/RAW53481743/ICF247370-GMB253374-2mm2fhdiah8600000000/SIG-20250630_1157o11dl.jpeg", "SIG-20250630_1157o11dl.jpeg")</f>
        <v>SIG-20250630_1157o11dl.jpeg</v>
      </c>
      <c r="AT904" s="1" t="s">
        <v>2190</v>
      </c>
      <c r="AU904" s="3" t="str">
        <f>HYPERLINK("https://icf.clappia.com/app/GMB253374/submission/RAW53481743/ICF247370-GMB253374-5e1clpi7h8gc00000000/SIG-20250630_1200l6jgl.jpeg", "SIG-20250630_1200l6jgl.jpeg")</f>
        <v>SIG-20250630_1200l6jgl.jpeg</v>
      </c>
      <c r="AV904" s="3" t="str">
        <f>HYPERLINK("https://www.google.com/maps/place/8.2021833%2C-11.509685", "8.2021833,-11.509685")</f>
        <v>8.2021833,-11.509685</v>
      </c>
    </row>
    <row r="905" ht="15.75" customHeight="1">
      <c r="A905" s="1" t="s">
        <v>4461</v>
      </c>
      <c r="B905" s="1" t="s">
        <v>215</v>
      </c>
      <c r="C905" s="1" t="s">
        <v>4457</v>
      </c>
      <c r="D905" s="1" t="s">
        <v>4462</v>
      </c>
      <c r="E905" s="1" t="s">
        <v>4463</v>
      </c>
      <c r="F905" s="1" t="s">
        <v>64</v>
      </c>
      <c r="G905" s="1">
        <v>300.0</v>
      </c>
      <c r="H905" s="1" t="s">
        <v>50</v>
      </c>
      <c r="I905" s="1">
        <v>74.0</v>
      </c>
      <c r="J905" s="1">
        <v>39.0</v>
      </c>
      <c r="K905" s="1">
        <v>38.0</v>
      </c>
      <c r="L905" s="1">
        <v>35.0</v>
      </c>
      <c r="M905" s="1">
        <v>34.0</v>
      </c>
      <c r="N905" s="1" t="s">
        <v>51</v>
      </c>
      <c r="O905" s="1">
        <v>72.0</v>
      </c>
      <c r="P905" s="1">
        <v>34.0</v>
      </c>
      <c r="Q905" s="1">
        <v>33.0</v>
      </c>
      <c r="R905" s="1">
        <v>38.0</v>
      </c>
      <c r="S905" s="1">
        <v>37.0</v>
      </c>
      <c r="T905" s="1" t="s">
        <v>52</v>
      </c>
      <c r="U905" s="1">
        <v>61.0</v>
      </c>
      <c r="V905" s="1">
        <v>32.0</v>
      </c>
      <c r="W905" s="1">
        <v>32.0</v>
      </c>
      <c r="X905" s="1">
        <v>29.0</v>
      </c>
      <c r="Y905" s="1">
        <v>29.0</v>
      </c>
      <c r="Z905" s="1" t="s">
        <v>53</v>
      </c>
      <c r="AA905" s="1">
        <v>59.0</v>
      </c>
      <c r="AB905" s="1">
        <v>29.0</v>
      </c>
      <c r="AC905" s="1">
        <v>29.0</v>
      </c>
      <c r="AD905" s="1">
        <v>30.0</v>
      </c>
      <c r="AE905" s="1">
        <v>30.0</v>
      </c>
      <c r="AF905" s="1" t="s">
        <v>54</v>
      </c>
      <c r="AG905" s="1">
        <v>26.0</v>
      </c>
      <c r="AH905" s="1">
        <v>12.0</v>
      </c>
      <c r="AI905" s="1">
        <v>12.0</v>
      </c>
      <c r="AJ905" s="1">
        <v>14.0</v>
      </c>
      <c r="AK905" s="1">
        <v>14.0</v>
      </c>
      <c r="AL905" s="1">
        <v>288.0</v>
      </c>
      <c r="AM905" s="1">
        <v>4.0</v>
      </c>
      <c r="AN905" s="1">
        <v>8.0</v>
      </c>
      <c r="AO905" s="1">
        <v>8.0</v>
      </c>
      <c r="AP905" s="1" t="s">
        <v>4464</v>
      </c>
      <c r="AQ905" s="3" t="str">
        <f>HYPERLINK("https://icf.clappia.com/app/GMB253374/submission/QBI50750291/ICF247370-GMB253374-3f3h23hlgc8g00000000/SIG-20250630_1259a2b7l.jpeg", "SIG-20250630_1259a2b7l.jpeg")</f>
        <v>SIG-20250630_1259a2b7l.jpeg</v>
      </c>
      <c r="AR905" s="1" t="s">
        <v>2581</v>
      </c>
      <c r="AS905" s="3" t="str">
        <f>HYPERLINK("https://icf.clappia.com/app/GMB253374/submission/QBI50750291/ICF247370-GMB253374-2l3o77if4l2c00000000/SIG-20250630_1259gmf64.jpeg", "SIG-20250630_1259gmf64.jpeg")</f>
        <v>SIG-20250630_1259gmf64.jpeg</v>
      </c>
      <c r="AT905" s="1" t="s">
        <v>2582</v>
      </c>
      <c r="AU905" s="3" t="str">
        <f>HYPERLINK("https://icf.clappia.com/app/GMB253374/submission/QBI50750291/ICF247370-GMB253374-eogcf8fif2pc0000000/SIG-20250630_1259onn4i.jpeg", "SIG-20250630_1259onn4i.jpeg")</f>
        <v>SIG-20250630_1259onn4i.jpeg</v>
      </c>
      <c r="AV905" s="3" t="str">
        <f>HYPERLINK("https://www.google.com/maps/place/8.662992%2C-12.2063411", "8.662992,-12.2063411")</f>
        <v>8.662992,-12.2063411</v>
      </c>
    </row>
    <row r="906" ht="15.75" customHeight="1">
      <c r="A906" s="1" t="s">
        <v>4465</v>
      </c>
      <c r="B906" s="1" t="s">
        <v>81</v>
      </c>
      <c r="C906" s="1" t="s">
        <v>4466</v>
      </c>
      <c r="D906" s="1" t="s">
        <v>4466</v>
      </c>
      <c r="E906" s="1" t="s">
        <v>4467</v>
      </c>
      <c r="F906" s="1" t="s">
        <v>64</v>
      </c>
      <c r="G906" s="1">
        <v>100.0</v>
      </c>
      <c r="H906" s="1" t="s">
        <v>50</v>
      </c>
      <c r="I906" s="1">
        <v>42.0</v>
      </c>
      <c r="J906" s="1">
        <v>20.0</v>
      </c>
      <c r="K906" s="1">
        <v>13.0</v>
      </c>
      <c r="L906" s="1">
        <v>22.0</v>
      </c>
      <c r="M906" s="1">
        <v>11.0</v>
      </c>
      <c r="N906" s="1" t="s">
        <v>51</v>
      </c>
      <c r="O906" s="1">
        <v>45.0</v>
      </c>
      <c r="P906" s="1">
        <v>26.0</v>
      </c>
      <c r="Q906" s="1">
        <v>11.0</v>
      </c>
      <c r="R906" s="1">
        <v>19.0</v>
      </c>
      <c r="S906" s="1">
        <v>8.0</v>
      </c>
      <c r="T906" s="1" t="s">
        <v>52</v>
      </c>
      <c r="U906" s="1">
        <v>48.0</v>
      </c>
      <c r="V906" s="1">
        <v>20.0</v>
      </c>
      <c r="W906" s="1">
        <v>5.0</v>
      </c>
      <c r="X906" s="1">
        <v>28.0</v>
      </c>
      <c r="Y906" s="1">
        <v>16.0</v>
      </c>
      <c r="Z906" s="1" t="s">
        <v>53</v>
      </c>
      <c r="AA906" s="1">
        <v>23.0</v>
      </c>
      <c r="AB906" s="1">
        <v>13.0</v>
      </c>
      <c r="AC906" s="1">
        <v>12.0</v>
      </c>
      <c r="AD906" s="1">
        <v>10.0</v>
      </c>
      <c r="AE906" s="1">
        <v>9.0</v>
      </c>
      <c r="AF906" s="1" t="s">
        <v>54</v>
      </c>
      <c r="AG906" s="1">
        <v>22.0</v>
      </c>
      <c r="AH906" s="1">
        <v>12.0</v>
      </c>
      <c r="AI906" s="1">
        <v>5.0</v>
      </c>
      <c r="AJ906" s="1">
        <v>10.0</v>
      </c>
      <c r="AK906" s="1">
        <v>6.0</v>
      </c>
      <c r="AL906" s="1">
        <v>96.0</v>
      </c>
      <c r="AM906" s="1" t="s">
        <v>55</v>
      </c>
      <c r="AN906" s="1">
        <v>4.0</v>
      </c>
      <c r="AO906" s="1" t="s">
        <v>55</v>
      </c>
      <c r="AP906" s="1" t="s">
        <v>4468</v>
      </c>
      <c r="AQ906" s="3" t="str">
        <f>HYPERLINK("https://icf.clappia.com/app/GMB253374/submission/MVD58319835/ICF247370-GMB253374-1532oe9h88bjm0000000/SIG-20250630_125245b06.jpeg", "SIG-20250630_125245b06.jpeg")</f>
        <v>SIG-20250630_125245b06.jpeg</v>
      </c>
      <c r="AR906" s="1" t="s">
        <v>4469</v>
      </c>
      <c r="AS906" s="3" t="str">
        <f>HYPERLINK("https://icf.clappia.com/app/GMB253374/submission/MVD58319835/ICF247370-GMB253374-214jc2h7d22jg0000000/SIG-20250630_1254f7n7i.jpeg", "SIG-20250630_1254f7n7i.jpeg")</f>
        <v>SIG-20250630_1254f7n7i.jpeg</v>
      </c>
      <c r="AT906" s="1" t="s">
        <v>716</v>
      </c>
      <c r="AU906" s="3" t="str">
        <f>HYPERLINK("https://icf.clappia.com/app/GMB253374/submission/MVD58319835/ICF247370-GMB253374-57a28g6kn55a00000000/SIG-20250630_1256178am.jpeg", "SIG-20250630_1256178am.jpeg")</f>
        <v>SIG-20250630_1256178am.jpeg</v>
      </c>
      <c r="AV906" s="3" t="str">
        <f>HYPERLINK("https://www.google.com/maps/place/7.9344661%2C-11.7344097", "7.9344661,-11.7344097")</f>
        <v>7.9344661,-11.7344097</v>
      </c>
    </row>
    <row r="907" ht="15.75" customHeight="1">
      <c r="A907" s="1" t="s">
        <v>4470</v>
      </c>
      <c r="B907" s="1" t="s">
        <v>248</v>
      </c>
      <c r="C907" s="1" t="s">
        <v>4466</v>
      </c>
      <c r="D907" s="1" t="s">
        <v>4466</v>
      </c>
      <c r="E907" s="1" t="s">
        <v>4471</v>
      </c>
      <c r="F907" s="1" t="s">
        <v>64</v>
      </c>
      <c r="G907" s="1">
        <v>230.0</v>
      </c>
      <c r="H907" s="1" t="s">
        <v>50</v>
      </c>
      <c r="I907" s="1">
        <v>59.0</v>
      </c>
      <c r="J907" s="1">
        <v>27.0</v>
      </c>
      <c r="K907" s="1">
        <v>27.0</v>
      </c>
      <c r="L907" s="1">
        <v>32.0</v>
      </c>
      <c r="M907" s="1">
        <v>32.0</v>
      </c>
      <c r="N907" s="1" t="s">
        <v>51</v>
      </c>
      <c r="O907" s="1">
        <v>45.0</v>
      </c>
      <c r="P907" s="1">
        <v>20.0</v>
      </c>
      <c r="Q907" s="1">
        <v>20.0</v>
      </c>
      <c r="R907" s="1">
        <v>25.0</v>
      </c>
      <c r="S907" s="1">
        <v>25.0</v>
      </c>
      <c r="T907" s="1" t="s">
        <v>52</v>
      </c>
      <c r="U907" s="1">
        <v>57.0</v>
      </c>
      <c r="V907" s="1">
        <v>28.0</v>
      </c>
      <c r="W907" s="1">
        <v>28.0</v>
      </c>
      <c r="X907" s="1">
        <v>29.0</v>
      </c>
      <c r="Y907" s="1">
        <v>29.0</v>
      </c>
      <c r="Z907" s="1" t="s">
        <v>53</v>
      </c>
      <c r="AA907" s="1">
        <v>48.0</v>
      </c>
      <c r="AB907" s="1">
        <v>29.0</v>
      </c>
      <c r="AC907" s="1">
        <v>29.0</v>
      </c>
      <c r="AD907" s="1">
        <v>19.0</v>
      </c>
      <c r="AE907" s="1">
        <v>19.0</v>
      </c>
      <c r="AF907" s="1" t="s">
        <v>54</v>
      </c>
      <c r="AG907" s="1">
        <v>21.0</v>
      </c>
      <c r="AH907" s="1">
        <v>12.0</v>
      </c>
      <c r="AI907" s="1">
        <v>12.0</v>
      </c>
      <c r="AJ907" s="1">
        <v>9.0</v>
      </c>
      <c r="AK907" s="1">
        <v>9.0</v>
      </c>
      <c r="AL907" s="1">
        <v>230.0</v>
      </c>
      <c r="AM907" s="1" t="s">
        <v>55</v>
      </c>
      <c r="AN907" s="1" t="s">
        <v>55</v>
      </c>
      <c r="AO907" s="1" t="s">
        <v>55</v>
      </c>
      <c r="AP907" s="1" t="s">
        <v>4472</v>
      </c>
      <c r="AQ907" s="3" t="str">
        <f>HYPERLINK("https://icf.clappia.com/app/GMB253374/submission/KGU46572619/ICF247370-GMB253374-k883ncdb5aac0000000/SIG-20250630_1301k43mc.jpeg", "SIG-20250630_1301k43mc.jpeg")</f>
        <v>SIG-20250630_1301k43mc.jpeg</v>
      </c>
      <c r="AR907" s="1" t="s">
        <v>4473</v>
      </c>
      <c r="AS907" s="3" t="str">
        <f>HYPERLINK("https://icf.clappia.com/app/GMB253374/submission/KGU46572619/ICF247370-GMB253374-2h4kknl60f3a00000000/SIG-20250630_130112ljkk.jpeg", "SIG-20250630_130112ljkk.jpeg")</f>
        <v>SIG-20250630_130112ljkk.jpeg</v>
      </c>
      <c r="AT907" s="1" t="s">
        <v>1261</v>
      </c>
      <c r="AU907" s="3" t="str">
        <f>HYPERLINK("https://icf.clappia.com/app/GMB253374/submission/KGU46572619/ICF247370-GMB253374-36ok9n0h0g8400000000/SIG-20250630_1300ce4id.jpeg", "SIG-20250630_1300ce4id.jpeg")</f>
        <v>SIG-20250630_1300ce4id.jpeg</v>
      </c>
      <c r="AV907" s="3" t="str">
        <f>HYPERLINK("https://www.google.com/maps/place/7.92454%2C-11.5124683", "7.92454,-11.5124683")</f>
        <v>7.92454,-11.5124683</v>
      </c>
    </row>
    <row r="908" ht="15.75" customHeight="1">
      <c r="A908" s="1" t="s">
        <v>4474</v>
      </c>
      <c r="B908" s="1" t="s">
        <v>690</v>
      </c>
      <c r="C908" s="1" t="s">
        <v>4475</v>
      </c>
      <c r="D908" s="1" t="s">
        <v>4475</v>
      </c>
      <c r="E908" s="1" t="s">
        <v>4476</v>
      </c>
      <c r="F908" s="1" t="s">
        <v>64</v>
      </c>
      <c r="G908" s="1">
        <v>350.0</v>
      </c>
      <c r="H908" s="1" t="s">
        <v>50</v>
      </c>
      <c r="I908" s="1">
        <v>104.0</v>
      </c>
      <c r="J908" s="1">
        <v>43.0</v>
      </c>
      <c r="K908" s="1">
        <v>42.0</v>
      </c>
      <c r="L908" s="1">
        <v>61.0</v>
      </c>
      <c r="M908" s="1">
        <v>59.0</v>
      </c>
      <c r="N908" s="1" t="s">
        <v>51</v>
      </c>
      <c r="O908" s="1">
        <v>57.0</v>
      </c>
      <c r="P908" s="1">
        <v>32.0</v>
      </c>
      <c r="Q908" s="1">
        <v>31.0</v>
      </c>
      <c r="R908" s="1">
        <v>25.0</v>
      </c>
      <c r="S908" s="1">
        <v>24.0</v>
      </c>
      <c r="T908" s="1" t="s">
        <v>52</v>
      </c>
      <c r="U908" s="1">
        <v>58.0</v>
      </c>
      <c r="V908" s="1">
        <v>30.0</v>
      </c>
      <c r="W908" s="1">
        <v>29.0</v>
      </c>
      <c r="X908" s="1">
        <v>28.0</v>
      </c>
      <c r="Y908" s="1">
        <v>28.0</v>
      </c>
      <c r="Z908" s="1" t="s">
        <v>53</v>
      </c>
      <c r="AA908" s="1">
        <v>50.0</v>
      </c>
      <c r="AB908" s="1">
        <v>24.0</v>
      </c>
      <c r="AC908" s="1">
        <v>24.0</v>
      </c>
      <c r="AD908" s="1">
        <v>26.0</v>
      </c>
      <c r="AE908" s="1">
        <v>25.0</v>
      </c>
      <c r="AF908" s="1" t="s">
        <v>54</v>
      </c>
      <c r="AG908" s="1">
        <v>45.0</v>
      </c>
      <c r="AH908" s="1">
        <v>20.0</v>
      </c>
      <c r="AI908" s="1">
        <v>20.0</v>
      </c>
      <c r="AJ908" s="1">
        <v>25.0</v>
      </c>
      <c r="AK908" s="1">
        <v>25.0</v>
      </c>
      <c r="AL908" s="1">
        <v>307.0</v>
      </c>
      <c r="AM908" s="1">
        <v>7.0</v>
      </c>
      <c r="AN908" s="1">
        <v>36.0</v>
      </c>
      <c r="AO908" s="1">
        <v>36.0</v>
      </c>
      <c r="AP908" s="1" t="s">
        <v>1732</v>
      </c>
      <c r="AQ908" s="3" t="str">
        <f>HYPERLINK("https://icf.clappia.com/app/GMB253374/submission/BSC52653994/ICF247370-GMB253374-32haojdi40da00000000/SIG-20250630_1257o38fl.jpeg", "SIG-20250630_1257o38fl.jpeg")</f>
        <v>SIG-20250630_1257o38fl.jpeg</v>
      </c>
      <c r="AR908" s="1" t="s">
        <v>4477</v>
      </c>
      <c r="AS908" s="3" t="str">
        <f>HYPERLINK("https://icf.clappia.com/app/GMB253374/submission/BSC52653994/ICF247370-GMB253374-32io3oj45a5m00000000/SIG-20250630_125812b4f0.jpeg", "SIG-20250630_125812b4f0.jpeg")</f>
        <v>SIG-20250630_125812b4f0.jpeg</v>
      </c>
      <c r="AT908" s="1" t="s">
        <v>4478</v>
      </c>
      <c r="AU908" s="3" t="str">
        <f>HYPERLINK("https://icf.clappia.com/app/GMB253374/submission/BSC52653994/ICF247370-GMB253374-2n4g7cndcc4o00000000/SIG-20250630_125941d1e.jpeg", "SIG-20250630_125941d1e.jpeg")</f>
        <v>SIG-20250630_125941d1e.jpeg</v>
      </c>
      <c r="AV908" s="3" t="str">
        <f>HYPERLINK("https://www.google.com/maps/place/8.805244%2C-12.0395062", "8.805244,-12.0395062")</f>
        <v>8.805244,-12.0395062</v>
      </c>
    </row>
    <row r="909" ht="15.75" customHeight="1">
      <c r="A909" s="1" t="s">
        <v>4479</v>
      </c>
      <c r="B909" s="1" t="s">
        <v>94</v>
      </c>
      <c r="C909" s="1" t="s">
        <v>4475</v>
      </c>
      <c r="D909" s="1" t="s">
        <v>4475</v>
      </c>
      <c r="E909" s="1" t="s">
        <v>4480</v>
      </c>
      <c r="F909" s="1" t="s">
        <v>64</v>
      </c>
      <c r="G909" s="1">
        <v>359.0</v>
      </c>
      <c r="H909" s="1" t="s">
        <v>50</v>
      </c>
      <c r="I909" s="1">
        <v>34.0</v>
      </c>
      <c r="J909" s="1">
        <v>16.0</v>
      </c>
      <c r="K909" s="1">
        <v>16.0</v>
      </c>
      <c r="L909" s="1">
        <v>18.0</v>
      </c>
      <c r="M909" s="1">
        <v>18.0</v>
      </c>
      <c r="N909" s="1" t="s">
        <v>51</v>
      </c>
      <c r="O909" s="1">
        <v>60.0</v>
      </c>
      <c r="P909" s="1">
        <v>32.0</v>
      </c>
      <c r="Q909" s="1">
        <v>32.0</v>
      </c>
      <c r="R909" s="1">
        <v>28.0</v>
      </c>
      <c r="S909" s="1">
        <v>28.0</v>
      </c>
      <c r="T909" s="1" t="s">
        <v>52</v>
      </c>
      <c r="U909" s="1">
        <v>80.0</v>
      </c>
      <c r="V909" s="1">
        <v>36.0</v>
      </c>
      <c r="W909" s="1">
        <v>36.0</v>
      </c>
      <c r="X909" s="1">
        <v>44.0</v>
      </c>
      <c r="Y909" s="1">
        <v>44.0</v>
      </c>
      <c r="Z909" s="1" t="s">
        <v>53</v>
      </c>
      <c r="AA909" s="1">
        <v>61.0</v>
      </c>
      <c r="AB909" s="1">
        <v>28.0</v>
      </c>
      <c r="AC909" s="1">
        <v>28.0</v>
      </c>
      <c r="AD909" s="1">
        <v>33.0</v>
      </c>
      <c r="AE909" s="1">
        <v>33.0</v>
      </c>
      <c r="AF909" s="1" t="s">
        <v>54</v>
      </c>
      <c r="AG909" s="1">
        <v>60.0</v>
      </c>
      <c r="AH909" s="1">
        <v>20.0</v>
      </c>
      <c r="AI909" s="1">
        <v>20.0</v>
      </c>
      <c r="AJ909" s="1">
        <v>40.0</v>
      </c>
      <c r="AK909" s="1">
        <v>40.0</v>
      </c>
      <c r="AL909" s="1">
        <v>295.0</v>
      </c>
      <c r="AM909" s="1" t="s">
        <v>55</v>
      </c>
      <c r="AN909" s="1">
        <v>64.0</v>
      </c>
      <c r="AO909" s="1">
        <v>64.0</v>
      </c>
      <c r="AP909" s="1" t="s">
        <v>865</v>
      </c>
      <c r="AQ909" s="3" t="str">
        <f>HYPERLINK("https://icf.clappia.com/app/GMB253374/submission/TBN19221599/ICF247370-GMB253374-11l3125h698cg0000000/SIG-20250630_1255gjo47.jpeg", "SIG-20250630_1255gjo47.jpeg")</f>
        <v>SIG-20250630_1255gjo47.jpeg</v>
      </c>
      <c r="AR909" s="1" t="s">
        <v>866</v>
      </c>
      <c r="AS909" s="3" t="str">
        <f>HYPERLINK("https://icf.clappia.com/app/GMB253374/submission/TBN19221599/ICF247370-GMB253374-30l8d9kj7a6m00000000/SIG-20250630_1256gom61.jpeg", "SIG-20250630_1256gom61.jpeg")</f>
        <v>SIG-20250630_1256gom61.jpeg</v>
      </c>
      <c r="AT909" s="1" t="s">
        <v>867</v>
      </c>
      <c r="AU909" s="3" t="str">
        <f>HYPERLINK("https://icf.clappia.com/app/GMB253374/submission/TBN19221599/ICF247370-GMB253374-np8n4ho84gj80000000/SIG-20250630_1257ad6j5.jpeg", "SIG-20250630_1257ad6j5.jpeg")</f>
        <v>SIG-20250630_1257ad6j5.jpeg</v>
      </c>
      <c r="AV909" s="3" t="str">
        <f>HYPERLINK("https://www.google.com/maps/place/7.6525101%2C-11.9639366", "7.6525101,-11.9639366")</f>
        <v>7.6525101,-11.9639366</v>
      </c>
    </row>
    <row r="910" ht="15.75" customHeight="1">
      <c r="A910" s="1" t="s">
        <v>4481</v>
      </c>
      <c r="B910" s="1" t="s">
        <v>81</v>
      </c>
      <c r="C910" s="1" t="s">
        <v>2013</v>
      </c>
      <c r="D910" s="1" t="s">
        <v>2013</v>
      </c>
      <c r="E910" s="1" t="s">
        <v>4482</v>
      </c>
      <c r="F910" s="1" t="s">
        <v>64</v>
      </c>
      <c r="G910" s="1">
        <v>343.0</v>
      </c>
      <c r="H910" s="1" t="s">
        <v>50</v>
      </c>
      <c r="I910" s="1">
        <v>20.0</v>
      </c>
      <c r="J910" s="1" t="s">
        <v>919</v>
      </c>
      <c r="K910" s="1" t="s">
        <v>919</v>
      </c>
      <c r="L910" s="1">
        <v>11.0</v>
      </c>
      <c r="M910" s="1">
        <v>11.0</v>
      </c>
      <c r="N910" s="1" t="s">
        <v>51</v>
      </c>
      <c r="O910" s="1">
        <v>13.0</v>
      </c>
      <c r="P910" s="1">
        <v>5.0</v>
      </c>
      <c r="Q910" s="1">
        <v>5.0</v>
      </c>
      <c r="R910" s="1">
        <v>8.0</v>
      </c>
      <c r="S910" s="1">
        <v>8.0</v>
      </c>
      <c r="T910" s="1" t="s">
        <v>52</v>
      </c>
      <c r="U910" s="1">
        <v>19.0</v>
      </c>
      <c r="V910" s="1">
        <v>13.0</v>
      </c>
      <c r="W910" s="1">
        <v>13.0</v>
      </c>
      <c r="X910" s="1">
        <v>6.0</v>
      </c>
      <c r="Y910" s="1">
        <v>6.0</v>
      </c>
      <c r="Z910" s="1" t="s">
        <v>53</v>
      </c>
      <c r="AA910" s="1">
        <v>9.0</v>
      </c>
      <c r="AB910" s="1">
        <v>5.0</v>
      </c>
      <c r="AC910" s="1">
        <v>5.0</v>
      </c>
      <c r="AD910" s="1">
        <v>4.0</v>
      </c>
      <c r="AE910" s="1">
        <v>4.0</v>
      </c>
      <c r="AF910" s="1" t="s">
        <v>54</v>
      </c>
      <c r="AG910" s="1">
        <v>8.0</v>
      </c>
      <c r="AH910" s="1">
        <v>5.0</v>
      </c>
      <c r="AI910" s="1">
        <v>5.0</v>
      </c>
      <c r="AJ910" s="1">
        <v>3.0</v>
      </c>
      <c r="AK910" s="1">
        <v>3.0</v>
      </c>
      <c r="AL910" s="1">
        <v>69.0</v>
      </c>
      <c r="AM910" s="1">
        <v>9.0</v>
      </c>
      <c r="AN910" s="1">
        <v>265.0</v>
      </c>
      <c r="AO910" s="1">
        <v>187.0</v>
      </c>
      <c r="AP910" s="1" t="s">
        <v>921</v>
      </c>
      <c r="AQ910" s="3" t="str">
        <f>HYPERLINK("https://icf.clappia.com/app/GMB253374/submission/XTK84758885/ICF247370-GMB253374-5389i8974k8600000000/SIG-20250630_125312b1b3.jpeg", "SIG-20250630_125312b1b3.jpeg")</f>
        <v>SIG-20250630_125312b1b3.jpeg</v>
      </c>
      <c r="AR910" s="1" t="s">
        <v>2126</v>
      </c>
      <c r="AS910" s="3" t="str">
        <f>HYPERLINK("https://icf.clappia.com/app/GMB253374/submission/XTK84758885/ICF247370-GMB253374-5en35fd8ff2k00000000/SIG-20250630_1254mml1b.jpeg", "SIG-20250630_1254mml1b.jpeg")</f>
        <v>SIG-20250630_1254mml1b.jpeg</v>
      </c>
      <c r="AT910" s="1" t="s">
        <v>922</v>
      </c>
      <c r="AU910" s="3" t="str">
        <f>HYPERLINK("https://icf.clappia.com/app/GMB253374/submission/XTK84758885/ICF247370-GMB253374-51ahmfo683k800000000/SIG-20250630_12564hlna.jpeg", "SIG-20250630_12564hlna.jpeg")</f>
        <v>SIG-20250630_12564hlna.jpeg</v>
      </c>
      <c r="AV910" s="3" t="str">
        <f>HYPERLINK("https://www.google.com/maps/place/7.9349984%2C-11.7368833", "7.9349984,-11.7368833")</f>
        <v>7.9349984,-11.7368833</v>
      </c>
    </row>
    <row r="911" ht="15.75" customHeight="1">
      <c r="A911" s="1" t="s">
        <v>4483</v>
      </c>
      <c r="B911" s="1" t="s">
        <v>60</v>
      </c>
      <c r="C911" s="1" t="s">
        <v>2013</v>
      </c>
      <c r="D911" s="1" t="s">
        <v>2013</v>
      </c>
      <c r="E911" s="1" t="s">
        <v>4484</v>
      </c>
      <c r="F911" s="1" t="s">
        <v>64</v>
      </c>
      <c r="G911" s="1">
        <v>150.0</v>
      </c>
      <c r="H911" s="1" t="s">
        <v>50</v>
      </c>
      <c r="I911" s="1">
        <v>59.0</v>
      </c>
      <c r="J911" s="1">
        <v>33.0</v>
      </c>
      <c r="K911" s="1">
        <v>33.0</v>
      </c>
      <c r="L911" s="1">
        <v>26.0</v>
      </c>
      <c r="M911" s="1">
        <v>26.0</v>
      </c>
      <c r="N911" s="1" t="s">
        <v>51</v>
      </c>
      <c r="O911" s="1">
        <v>39.0</v>
      </c>
      <c r="P911" s="1">
        <v>23.0</v>
      </c>
      <c r="Q911" s="1">
        <v>23.0</v>
      </c>
      <c r="R911" s="1">
        <v>16.0</v>
      </c>
      <c r="S911" s="1">
        <v>5.0</v>
      </c>
      <c r="T911" s="1" t="s">
        <v>52</v>
      </c>
      <c r="U911" s="1">
        <v>34.0</v>
      </c>
      <c r="V911" s="1">
        <v>21.0</v>
      </c>
      <c r="W911" s="1">
        <v>10.0</v>
      </c>
      <c r="X911" s="1">
        <v>13.0</v>
      </c>
      <c r="Y911" s="1">
        <v>5.0</v>
      </c>
      <c r="Z911" s="1" t="s">
        <v>53</v>
      </c>
      <c r="AA911" s="1">
        <v>42.0</v>
      </c>
      <c r="AB911" s="1">
        <v>20.0</v>
      </c>
      <c r="AC911" s="1">
        <v>8.0</v>
      </c>
      <c r="AD911" s="1">
        <v>22.0</v>
      </c>
      <c r="AE911" s="1">
        <v>9.0</v>
      </c>
      <c r="AF911" s="1" t="s">
        <v>54</v>
      </c>
      <c r="AG911" s="1">
        <v>36.0</v>
      </c>
      <c r="AH911" s="1">
        <v>19.0</v>
      </c>
      <c r="AI911" s="1">
        <v>17.0</v>
      </c>
      <c r="AJ911" s="1">
        <v>16.0</v>
      </c>
      <c r="AK911" s="1">
        <v>14.0</v>
      </c>
      <c r="AL911" s="1">
        <v>150.0</v>
      </c>
      <c r="AM911" s="1" t="s">
        <v>55</v>
      </c>
      <c r="AN911" s="1" t="s">
        <v>55</v>
      </c>
      <c r="AO911" s="1" t="s">
        <v>55</v>
      </c>
      <c r="AP911" s="1" t="s">
        <v>4485</v>
      </c>
      <c r="AQ911" s="3" t="str">
        <f>HYPERLINK("https://icf.clappia.com/app/GMB253374/submission/QZW30658063/ICF247370-GMB253374-cg0n1ja9og9e0000000/SIG-20250630_1251123hdi.jpeg", "SIG-20250630_1251123hdi.jpeg")</f>
        <v>SIG-20250630_1251123hdi.jpeg</v>
      </c>
      <c r="AR911" s="1" t="s">
        <v>3035</v>
      </c>
      <c r="AS911" s="3" t="str">
        <f>HYPERLINK("https://icf.clappia.com/app/GMB253374/submission/QZW30658063/ICF247370-GMB253374-1e558gd1i15ci0000000/SIG-20250630_1251181hhb.jpeg", "SIG-20250630_1251181hhb.jpeg")</f>
        <v>SIG-20250630_1251181hhb.jpeg</v>
      </c>
      <c r="AT911" s="1" t="s">
        <v>4486</v>
      </c>
      <c r="AU911" s="3" t="str">
        <f>HYPERLINK("https://icf.clappia.com/app/GMB253374/submission/QZW30658063/ICF247370-GMB253374-4bh7i7l2pa9e00000000/SIG-20250630_125215p48k.jpeg", "SIG-20250630_125215p48k.jpeg")</f>
        <v>SIG-20250630_125215p48k.jpeg</v>
      </c>
      <c r="AV911" s="3" t="str">
        <f>HYPERLINK("https://www.google.com/maps/place/8.7352578%2C-11.9521033", "8.7352578,-11.9521033")</f>
        <v>8.7352578,-11.9521033</v>
      </c>
    </row>
    <row r="912" ht="15.75" customHeight="1">
      <c r="A912" s="1" t="s">
        <v>4487</v>
      </c>
      <c r="B912" s="1" t="s">
        <v>167</v>
      </c>
      <c r="C912" s="1" t="s">
        <v>4488</v>
      </c>
      <c r="D912" s="1" t="s">
        <v>4488</v>
      </c>
      <c r="E912" s="1" t="s">
        <v>4489</v>
      </c>
      <c r="F912" s="1" t="s">
        <v>64</v>
      </c>
      <c r="G912" s="1">
        <v>350.0</v>
      </c>
      <c r="H912" s="1" t="s">
        <v>50</v>
      </c>
      <c r="I912" s="1">
        <v>60.0</v>
      </c>
      <c r="J912" s="1">
        <v>35.0</v>
      </c>
      <c r="K912" s="1">
        <v>35.0</v>
      </c>
      <c r="L912" s="1">
        <v>25.0</v>
      </c>
      <c r="M912" s="1">
        <v>25.0</v>
      </c>
      <c r="N912" s="1" t="s">
        <v>51</v>
      </c>
      <c r="O912" s="1">
        <v>70.0</v>
      </c>
      <c r="P912" s="1">
        <v>40.0</v>
      </c>
      <c r="Q912" s="1">
        <v>40.0</v>
      </c>
      <c r="R912" s="1">
        <v>30.0</v>
      </c>
      <c r="S912" s="1">
        <v>30.0</v>
      </c>
      <c r="T912" s="1" t="s">
        <v>52</v>
      </c>
      <c r="U912" s="1">
        <v>45.0</v>
      </c>
      <c r="V912" s="1">
        <v>20.0</v>
      </c>
      <c r="W912" s="1">
        <v>20.0</v>
      </c>
      <c r="X912" s="1">
        <v>25.0</v>
      </c>
      <c r="Y912" s="1">
        <v>25.0</v>
      </c>
      <c r="Z912" s="1" t="s">
        <v>53</v>
      </c>
      <c r="AA912" s="1">
        <v>72.0</v>
      </c>
      <c r="AB912" s="1">
        <v>42.0</v>
      </c>
      <c r="AC912" s="1">
        <v>42.0</v>
      </c>
      <c r="AD912" s="1">
        <v>30.0</v>
      </c>
      <c r="AE912" s="1">
        <v>30.0</v>
      </c>
      <c r="AF912" s="1" t="s">
        <v>54</v>
      </c>
      <c r="AG912" s="1">
        <v>82.0</v>
      </c>
      <c r="AH912" s="1">
        <v>52.0</v>
      </c>
      <c r="AI912" s="1">
        <v>52.0</v>
      </c>
      <c r="AJ912" s="1">
        <v>30.0</v>
      </c>
      <c r="AK912" s="1">
        <v>30.0</v>
      </c>
      <c r="AL912" s="1">
        <v>329.0</v>
      </c>
      <c r="AM912" s="1" t="s">
        <v>55</v>
      </c>
      <c r="AN912" s="1">
        <v>21.0</v>
      </c>
      <c r="AO912" s="1">
        <v>21.0</v>
      </c>
      <c r="AP912" s="1" t="s">
        <v>818</v>
      </c>
      <c r="AQ912" s="3" t="str">
        <f>HYPERLINK("https://icf.clappia.com/app/GMB253374/submission/IDX95905470/ICF247370-GMB253374-jfne3nogm71i0000000/SIG-20250630_122713h8jl.jpeg", "SIG-20250630_122713h8jl.jpeg")</f>
        <v>SIG-20250630_122713h8jl.jpeg</v>
      </c>
      <c r="AR912" s="1" t="s">
        <v>2144</v>
      </c>
      <c r="AS912" s="3" t="str">
        <f>HYPERLINK("https://icf.clappia.com/app/GMB253374/submission/IDX95905470/ICF247370-GMB253374-600bk2cj1be200000000/SIG-20250630_12401a1bid.jpeg", "SIG-20250630_12401a1bid.jpeg")</f>
        <v>SIG-20250630_12401a1bid.jpeg</v>
      </c>
      <c r="AT912" s="1" t="s">
        <v>2145</v>
      </c>
      <c r="AU912" s="3" t="str">
        <f>HYPERLINK("https://icf.clappia.com/app/GMB253374/submission/IDX95905470/ICF247370-GMB253374-1elfil91dc3eo0000000/SIG-20250630_1246oe2m3.jpeg", "SIG-20250630_1246oe2m3.jpeg")</f>
        <v>SIG-20250630_1246oe2m3.jpeg</v>
      </c>
      <c r="AV912" s="3" t="str">
        <f>HYPERLINK("https://www.google.com/maps/place/7.8852287%2C-11.785319", "7.8852287,-11.785319")</f>
        <v>7.8852287,-11.785319</v>
      </c>
    </row>
    <row r="913" ht="15.75" customHeight="1">
      <c r="A913" s="1" t="s">
        <v>4490</v>
      </c>
      <c r="B913" s="1" t="s">
        <v>248</v>
      </c>
      <c r="C913" s="1" t="s">
        <v>4488</v>
      </c>
      <c r="D913" s="1" t="s">
        <v>4488</v>
      </c>
      <c r="E913" s="1" t="s">
        <v>4491</v>
      </c>
      <c r="F913" s="1" t="s">
        <v>64</v>
      </c>
      <c r="G913" s="1">
        <v>118.0</v>
      </c>
      <c r="H913" s="1" t="s">
        <v>50</v>
      </c>
      <c r="I913" s="1" t="s">
        <v>55</v>
      </c>
      <c r="J913" s="1" t="s">
        <v>55</v>
      </c>
      <c r="K913" s="1" t="s">
        <v>55</v>
      </c>
      <c r="L913" s="1" t="s">
        <v>55</v>
      </c>
      <c r="M913" s="1" t="s">
        <v>55</v>
      </c>
      <c r="N913" s="1" t="s">
        <v>51</v>
      </c>
      <c r="O913" s="1" t="s">
        <v>55</v>
      </c>
      <c r="P913" s="1" t="s">
        <v>55</v>
      </c>
      <c r="Q913" s="1" t="s">
        <v>55</v>
      </c>
      <c r="R913" s="1" t="s">
        <v>55</v>
      </c>
      <c r="S913" s="1" t="s">
        <v>55</v>
      </c>
      <c r="T913" s="1" t="s">
        <v>52</v>
      </c>
      <c r="U913" s="1" t="s">
        <v>55</v>
      </c>
      <c r="V913" s="1" t="s">
        <v>55</v>
      </c>
      <c r="W913" s="1" t="s">
        <v>55</v>
      </c>
      <c r="X913" s="1" t="s">
        <v>55</v>
      </c>
      <c r="Y913" s="1" t="s">
        <v>55</v>
      </c>
      <c r="Z913" s="1" t="s">
        <v>53</v>
      </c>
      <c r="AA913" s="1">
        <v>68.0</v>
      </c>
      <c r="AB913" s="1">
        <v>30.0</v>
      </c>
      <c r="AC913" s="1">
        <v>30.0</v>
      </c>
      <c r="AD913" s="1">
        <v>38.0</v>
      </c>
      <c r="AE913" s="1">
        <v>38.0</v>
      </c>
      <c r="AF913" s="1" t="s">
        <v>54</v>
      </c>
      <c r="AG913" s="1">
        <v>50.0</v>
      </c>
      <c r="AH913" s="1">
        <v>30.0</v>
      </c>
      <c r="AI913" s="1">
        <v>30.0</v>
      </c>
      <c r="AJ913" s="1">
        <v>20.0</v>
      </c>
      <c r="AK913" s="1">
        <v>20.0</v>
      </c>
      <c r="AL913" s="1">
        <v>118.0</v>
      </c>
      <c r="AM913" s="1" t="s">
        <v>55</v>
      </c>
      <c r="AN913" s="1" t="s">
        <v>55</v>
      </c>
      <c r="AO913" s="1" t="s">
        <v>55</v>
      </c>
      <c r="AP913" s="1" t="s">
        <v>4492</v>
      </c>
      <c r="AQ913" s="3" t="str">
        <f>HYPERLINK("https://icf.clappia.com/app/GMB253374/submission/OVX58241833/ICF247370-GMB253374-1ji72e8ihb7ao0000000/SIG-20250630_125618c23p.jpeg", "SIG-20250630_125618c23p.jpeg")</f>
        <v>SIG-20250630_125618c23p.jpeg</v>
      </c>
      <c r="AR913" s="1" t="s">
        <v>463</v>
      </c>
      <c r="AS913" s="3" t="str">
        <f>HYPERLINK("https://icf.clappia.com/app/GMB253374/submission/OVX58241833/ICF247370-GMB253374-joffh4g3l8he0000000/SIG-20250630_1238107240.jpeg", "SIG-20250630_1238107240.jpeg")</f>
        <v>SIG-20250630_1238107240.jpeg</v>
      </c>
      <c r="AT913" s="1" t="s">
        <v>458</v>
      </c>
      <c r="AU913" s="3" t="str">
        <f>HYPERLINK("https://icf.clappia.com/app/GMB253374/submission/OVX58241833/ICF247370-GMB253374-643g77cmb12000000000/SIG-20250630_1239158ne4.jpeg", "SIG-20250630_1239158ne4.jpeg")</f>
        <v>SIG-20250630_1239158ne4.jpeg</v>
      </c>
      <c r="AV913" s="3" t="str">
        <f>HYPERLINK("https://www.google.com/maps/place/7.9282901%2C-11.4415451", "7.9282901,-11.4415451")</f>
        <v>7.9282901,-11.4415451</v>
      </c>
    </row>
    <row r="914" ht="15.75" customHeight="1">
      <c r="A914" s="1" t="s">
        <v>4493</v>
      </c>
      <c r="B914" s="1" t="s">
        <v>60</v>
      </c>
      <c r="C914" s="1" t="s">
        <v>4494</v>
      </c>
      <c r="D914" s="1" t="s">
        <v>4494</v>
      </c>
      <c r="E914" s="1" t="s">
        <v>4495</v>
      </c>
      <c r="F914" s="1" t="s">
        <v>49</v>
      </c>
      <c r="G914" s="1">
        <v>250.0</v>
      </c>
      <c r="H914" s="1" t="s">
        <v>50</v>
      </c>
      <c r="I914" s="1">
        <v>16.0</v>
      </c>
      <c r="J914" s="1">
        <v>8.0</v>
      </c>
      <c r="K914" s="1">
        <v>6.0</v>
      </c>
      <c r="L914" s="1">
        <v>8.0</v>
      </c>
      <c r="M914" s="1">
        <v>7.0</v>
      </c>
      <c r="N914" s="1" t="s">
        <v>51</v>
      </c>
      <c r="O914" s="1">
        <v>23.0</v>
      </c>
      <c r="P914" s="1">
        <v>10.0</v>
      </c>
      <c r="Q914" s="1">
        <v>8.0</v>
      </c>
      <c r="R914" s="1">
        <v>13.0</v>
      </c>
      <c r="S914" s="1">
        <v>11.0</v>
      </c>
      <c r="T914" s="1" t="s">
        <v>52</v>
      </c>
      <c r="U914" s="1">
        <v>25.0</v>
      </c>
      <c r="V914" s="1">
        <v>10.0</v>
      </c>
      <c r="W914" s="1">
        <v>9.0</v>
      </c>
      <c r="X914" s="1">
        <v>15.0</v>
      </c>
      <c r="Y914" s="1">
        <v>13.0</v>
      </c>
      <c r="Z914" s="1" t="s">
        <v>53</v>
      </c>
      <c r="AA914" s="1">
        <v>22.0</v>
      </c>
      <c r="AB914" s="1">
        <v>10.0</v>
      </c>
      <c r="AC914" s="1">
        <v>10.0</v>
      </c>
      <c r="AD914" s="1">
        <v>12.0</v>
      </c>
      <c r="AE914" s="1">
        <v>12.0</v>
      </c>
      <c r="AF914" s="1" t="s">
        <v>54</v>
      </c>
      <c r="AG914" s="1">
        <v>24.0</v>
      </c>
      <c r="AH914" s="1">
        <v>12.0</v>
      </c>
      <c r="AI914" s="1">
        <v>12.0</v>
      </c>
      <c r="AJ914" s="1">
        <v>12.0</v>
      </c>
      <c r="AK914" s="1">
        <v>12.0</v>
      </c>
      <c r="AL914" s="1">
        <v>100.0</v>
      </c>
      <c r="AM914" s="1">
        <v>10.0</v>
      </c>
      <c r="AN914" s="1">
        <v>140.0</v>
      </c>
      <c r="AO914" s="1">
        <v>140.0</v>
      </c>
      <c r="AP914" s="1" t="s">
        <v>3542</v>
      </c>
      <c r="AQ914" s="3" t="str">
        <f>HYPERLINK("https://icf.clappia.com/app/GMB253374/submission/SSQ62048656/ICF247370-GMB253374-3iofi49m3f0c00000000/SIG-20250630_1223eokaf.jpeg", "SIG-20250630_1223eokaf.jpeg")</f>
        <v>SIG-20250630_1223eokaf.jpeg</v>
      </c>
      <c r="AR914" s="1" t="s">
        <v>3543</v>
      </c>
      <c r="AS914" s="3" t="str">
        <f>HYPERLINK("https://icf.clappia.com/app/GMB253374/submission/SSQ62048656/ICF247370-GMB253374-1f5e5mc577l680000000/SIG-20250630_12543ke1g.jpeg", "SIG-20250630_12543ke1g.jpeg")</f>
        <v>SIG-20250630_12543ke1g.jpeg</v>
      </c>
      <c r="AT914" s="1" t="s">
        <v>3544</v>
      </c>
      <c r="AU914" s="3" t="str">
        <f>HYPERLINK("https://icf.clappia.com/app/GMB253374/submission/SSQ62048656/ICF247370-GMB253374-5o5032d7beek00000000/SIG-20250630_123184f00.jpeg", "SIG-20250630_123184f00.jpeg")</f>
        <v>SIG-20250630_123184f00.jpeg</v>
      </c>
      <c r="AV914" s="3" t="str">
        <f>HYPERLINK("https://www.google.com/maps/place/8.88302%2C-12.0524038", "8.88302,-12.0524038")</f>
        <v>8.88302,-12.0524038</v>
      </c>
    </row>
    <row r="915" ht="15.75" customHeight="1">
      <c r="A915" s="1" t="s">
        <v>4496</v>
      </c>
      <c r="B915" s="1" t="s">
        <v>342</v>
      </c>
      <c r="C915" s="1" t="s">
        <v>4497</v>
      </c>
      <c r="D915" s="1" t="s">
        <v>4497</v>
      </c>
      <c r="E915" s="1" t="s">
        <v>4498</v>
      </c>
      <c r="F915" s="1" t="s">
        <v>64</v>
      </c>
      <c r="G915" s="1">
        <v>200.0</v>
      </c>
      <c r="H915" s="1" t="s">
        <v>50</v>
      </c>
      <c r="I915" s="1">
        <v>48.0</v>
      </c>
      <c r="J915" s="1">
        <v>25.0</v>
      </c>
      <c r="K915" s="1">
        <v>20.0</v>
      </c>
      <c r="L915" s="1">
        <v>23.0</v>
      </c>
      <c r="M915" s="1">
        <v>18.0</v>
      </c>
      <c r="N915" s="1" t="s">
        <v>51</v>
      </c>
      <c r="O915" s="1">
        <v>42.0</v>
      </c>
      <c r="P915" s="1">
        <v>20.0</v>
      </c>
      <c r="Q915" s="1">
        <v>18.0</v>
      </c>
      <c r="R915" s="1">
        <v>22.0</v>
      </c>
      <c r="S915" s="1">
        <v>20.0</v>
      </c>
      <c r="T915" s="1" t="s">
        <v>52</v>
      </c>
      <c r="U915" s="1">
        <v>63.0</v>
      </c>
      <c r="V915" s="1">
        <v>30.0</v>
      </c>
      <c r="W915" s="1">
        <v>26.0</v>
      </c>
      <c r="X915" s="1">
        <v>33.0</v>
      </c>
      <c r="Y915" s="1">
        <v>28.0</v>
      </c>
      <c r="Z915" s="1" t="s">
        <v>53</v>
      </c>
      <c r="AA915" s="1">
        <v>49.0</v>
      </c>
      <c r="AB915" s="1">
        <v>31.0</v>
      </c>
      <c r="AC915" s="1">
        <v>26.0</v>
      </c>
      <c r="AD915" s="1">
        <v>18.0</v>
      </c>
      <c r="AE915" s="1">
        <v>14.0</v>
      </c>
      <c r="AF915" s="1" t="s">
        <v>54</v>
      </c>
      <c r="AG915" s="1">
        <v>34.0</v>
      </c>
      <c r="AH915" s="1">
        <v>14.0</v>
      </c>
      <c r="AI915" s="1">
        <v>13.0</v>
      </c>
      <c r="AJ915" s="1">
        <v>20.0</v>
      </c>
      <c r="AK915" s="1">
        <v>13.0</v>
      </c>
      <c r="AL915" s="1">
        <v>196.0</v>
      </c>
      <c r="AM915" s="1" t="s">
        <v>55</v>
      </c>
      <c r="AN915" s="1">
        <v>4.0</v>
      </c>
      <c r="AO915" s="1">
        <v>4.0</v>
      </c>
      <c r="AP915" s="1" t="s">
        <v>4499</v>
      </c>
      <c r="AQ915" s="3" t="str">
        <f>HYPERLINK("https://icf.clappia.com/app/GMB253374/submission/UYN84044846/ICF247370-GMB253374-4oiiojlegn2m00000000/SIG-20250630_1252aiiid.jpeg", "SIG-20250630_1252aiiid.jpeg")</f>
        <v>SIG-20250630_1252aiiid.jpeg</v>
      </c>
      <c r="AR915" s="1" t="s">
        <v>4500</v>
      </c>
      <c r="AS915" s="3" t="str">
        <f>HYPERLINK("https://icf.clappia.com/app/GMB253374/submission/UYN84044846/ICF247370-GMB253374-3k2hki216hn400000000/SIG-20250630_1253l70o.jpeg", "SIG-20250630_1253l70o.jpeg")</f>
        <v>SIG-20250630_1253l70o.jpeg</v>
      </c>
      <c r="AT915" s="1" t="s">
        <v>4501</v>
      </c>
      <c r="AU915" s="3" t="str">
        <f>HYPERLINK("https://icf.clappia.com/app/GMB253374/submission/UYN84044846/ICF247370-GMB253374-52ne5hadh46c00000000/SIG-20250630_125319f7ne.jpeg", "SIG-20250630_125319f7ne.jpeg")</f>
        <v>SIG-20250630_125319f7ne.jpeg</v>
      </c>
      <c r="AV915" s="3" t="str">
        <f>HYPERLINK("https://www.google.com/maps/place/9.1065167%2C-12.2079283", "9.1065167,-12.2079283")</f>
        <v>9.1065167,-12.2079283</v>
      </c>
    </row>
    <row r="916" ht="15.75" customHeight="1">
      <c r="A916" s="1" t="s">
        <v>4502</v>
      </c>
      <c r="B916" s="1" t="s">
        <v>690</v>
      </c>
      <c r="C916" s="1" t="s">
        <v>4503</v>
      </c>
      <c r="D916" s="1" t="s">
        <v>4503</v>
      </c>
      <c r="E916" s="1" t="s">
        <v>4504</v>
      </c>
      <c r="F916" s="1" t="s">
        <v>64</v>
      </c>
      <c r="G916" s="1">
        <v>300.0</v>
      </c>
      <c r="H916" s="1" t="s">
        <v>50</v>
      </c>
      <c r="I916" s="1">
        <v>90.0</v>
      </c>
      <c r="J916" s="1">
        <v>50.0</v>
      </c>
      <c r="K916" s="1">
        <v>50.0</v>
      </c>
      <c r="L916" s="1">
        <v>40.0</v>
      </c>
      <c r="M916" s="1">
        <v>40.0</v>
      </c>
      <c r="N916" s="1" t="s">
        <v>51</v>
      </c>
      <c r="O916" s="1">
        <v>45.0</v>
      </c>
      <c r="P916" s="1">
        <v>20.0</v>
      </c>
      <c r="Q916" s="1">
        <v>20.0</v>
      </c>
      <c r="R916" s="1">
        <v>25.0</v>
      </c>
      <c r="S916" s="1">
        <v>25.0</v>
      </c>
      <c r="T916" s="1" t="s">
        <v>52</v>
      </c>
      <c r="U916" s="1">
        <v>59.0</v>
      </c>
      <c r="V916" s="1">
        <v>29.0</v>
      </c>
      <c r="W916" s="1">
        <v>29.0</v>
      </c>
      <c r="X916" s="1">
        <v>30.0</v>
      </c>
      <c r="Y916" s="1">
        <v>30.0</v>
      </c>
      <c r="Z916" s="1" t="s">
        <v>53</v>
      </c>
      <c r="AA916" s="1">
        <v>56.0</v>
      </c>
      <c r="AB916" s="1">
        <v>27.0</v>
      </c>
      <c r="AC916" s="1">
        <v>27.0</v>
      </c>
      <c r="AD916" s="1">
        <v>29.0</v>
      </c>
      <c r="AE916" s="1">
        <v>29.0</v>
      </c>
      <c r="AF916" s="1" t="s">
        <v>54</v>
      </c>
      <c r="AG916" s="1">
        <v>47.0</v>
      </c>
      <c r="AH916" s="1">
        <v>26.0</v>
      </c>
      <c r="AI916" s="1">
        <v>26.0</v>
      </c>
      <c r="AJ916" s="1">
        <v>21.0</v>
      </c>
      <c r="AK916" s="1">
        <v>21.0</v>
      </c>
      <c r="AL916" s="1">
        <v>297.0</v>
      </c>
      <c r="AM916" s="1" t="s">
        <v>55</v>
      </c>
      <c r="AN916" s="1">
        <v>3.0</v>
      </c>
      <c r="AO916" s="1">
        <v>3.0</v>
      </c>
      <c r="AP916" s="1" t="s">
        <v>3782</v>
      </c>
      <c r="AQ916" s="3" t="str">
        <f>HYPERLINK("https://icf.clappia.com/app/GMB253374/submission/QXL23486274/ICF247370-GMB253374-23c18c601m1600000000/SIG-20250630_1247mag6l.jpeg", "SIG-20250630_1247mag6l.jpeg")</f>
        <v>SIG-20250630_1247mag6l.jpeg</v>
      </c>
      <c r="AR916" s="1" t="s">
        <v>4505</v>
      </c>
      <c r="AS916" s="3" t="str">
        <f>HYPERLINK("https://icf.clappia.com/app/GMB253374/submission/QXL23486274/ICF247370-GMB253374-1m8mg2a0k4k320000000/SIG-20250630_124919on30.jpeg", "SIG-20250630_124919on30.jpeg")</f>
        <v>SIG-20250630_124919on30.jpeg</v>
      </c>
      <c r="AT916" s="1" t="s">
        <v>3784</v>
      </c>
      <c r="AU916" s="3" t="str">
        <f>HYPERLINK("https://icf.clappia.com/app/GMB253374/submission/QXL23486274/ICF247370-GMB253374-30aih899c1g600000000/SIG-20250630_1251hd8op.jpeg", "SIG-20250630_1251hd8op.jpeg")</f>
        <v>SIG-20250630_1251hd8op.jpeg</v>
      </c>
      <c r="AV916" s="3" t="str">
        <f>HYPERLINK("https://www.google.com/maps/place/8.7924683%2C-12.0593633", "8.7924683,-12.0593633")</f>
        <v>8.7924683,-12.0593633</v>
      </c>
    </row>
    <row r="917" ht="15.75" customHeight="1">
      <c r="A917" s="1" t="s">
        <v>4506</v>
      </c>
      <c r="B917" s="1" t="s">
        <v>60</v>
      </c>
      <c r="C917" s="1" t="s">
        <v>4503</v>
      </c>
      <c r="D917" s="1" t="s">
        <v>4503</v>
      </c>
      <c r="E917" s="1" t="s">
        <v>4507</v>
      </c>
      <c r="F917" s="1" t="s">
        <v>64</v>
      </c>
      <c r="G917" s="1">
        <v>316.0</v>
      </c>
      <c r="H917" s="1" t="s">
        <v>50</v>
      </c>
      <c r="I917" s="1">
        <v>119.0</v>
      </c>
      <c r="J917" s="1">
        <v>60.0</v>
      </c>
      <c r="K917" s="1">
        <v>60.0</v>
      </c>
      <c r="L917" s="1">
        <v>59.0</v>
      </c>
      <c r="M917" s="1">
        <v>59.0</v>
      </c>
      <c r="N917" s="1" t="s">
        <v>51</v>
      </c>
      <c r="O917" s="1">
        <v>40.0</v>
      </c>
      <c r="P917" s="1">
        <v>18.0</v>
      </c>
      <c r="Q917" s="1">
        <v>18.0</v>
      </c>
      <c r="R917" s="1">
        <v>22.0</v>
      </c>
      <c r="S917" s="1">
        <v>22.0</v>
      </c>
      <c r="T917" s="1" t="s">
        <v>52</v>
      </c>
      <c r="U917" s="1">
        <v>49.0</v>
      </c>
      <c r="V917" s="1">
        <v>24.0</v>
      </c>
      <c r="W917" s="1">
        <v>24.0</v>
      </c>
      <c r="X917" s="1">
        <v>25.0</v>
      </c>
      <c r="Y917" s="1">
        <v>25.0</v>
      </c>
      <c r="Z917" s="1" t="s">
        <v>53</v>
      </c>
      <c r="AA917" s="1">
        <v>39.0</v>
      </c>
      <c r="AB917" s="1">
        <v>19.0</v>
      </c>
      <c r="AC917" s="1">
        <v>19.0</v>
      </c>
      <c r="AD917" s="1">
        <v>20.0</v>
      </c>
      <c r="AE917" s="1">
        <v>20.0</v>
      </c>
      <c r="AF917" s="1" t="s">
        <v>54</v>
      </c>
      <c r="AG917" s="1">
        <v>69.0</v>
      </c>
      <c r="AH917" s="1">
        <v>36.0</v>
      </c>
      <c r="AI917" s="1">
        <v>36.0</v>
      </c>
      <c r="AJ917" s="1">
        <v>33.0</v>
      </c>
      <c r="AK917" s="1">
        <v>33.0</v>
      </c>
      <c r="AL917" s="1">
        <v>316.0</v>
      </c>
      <c r="AM917" s="1" t="s">
        <v>55</v>
      </c>
      <c r="AN917" s="1" t="s">
        <v>55</v>
      </c>
      <c r="AO917" s="1" t="s">
        <v>55</v>
      </c>
      <c r="AP917" s="1" t="s">
        <v>3668</v>
      </c>
      <c r="AQ917" s="3" t="str">
        <f>HYPERLINK("https://icf.clappia.com/app/GMB253374/submission/YZJ00603504/ICF247370-GMB253374-20i94n04ae4ic0000000/SIG-20250630_12495hde0.jpeg", "SIG-20250630_12495hde0.jpeg")</f>
        <v>SIG-20250630_12495hde0.jpeg</v>
      </c>
      <c r="AR917" s="1" t="s">
        <v>3669</v>
      </c>
      <c r="AS917" s="3" t="str">
        <f>HYPERLINK("https://icf.clappia.com/app/GMB253374/submission/YZJ00603504/ICF247370-GMB253374-49m6hoo7mb8m00000000/SIG-20250630_12502ai5l.jpeg", "SIG-20250630_12502ai5l.jpeg")</f>
        <v>SIG-20250630_12502ai5l.jpeg</v>
      </c>
      <c r="AT917" s="1" t="s">
        <v>3670</v>
      </c>
      <c r="AU917" s="3" t="str">
        <f>HYPERLINK("https://icf.clappia.com/app/GMB253374/submission/YZJ00603504/ICF247370-GMB253374-93l2opap8dhe0000000/SIG-20250630_1250a8729.jpeg", "SIG-20250630_1250a8729.jpeg")</f>
        <v>SIG-20250630_1250a8729.jpeg</v>
      </c>
      <c r="AV917" s="3" t="str">
        <f>HYPERLINK("https://www.google.com/maps/place/8.1071017%2C-11.5599618", "8.1071017,-11.5599618")</f>
        <v>8.1071017,-11.5599618</v>
      </c>
    </row>
    <row r="918" ht="15.75" customHeight="1">
      <c r="A918" s="1" t="s">
        <v>4508</v>
      </c>
      <c r="B918" s="1" t="s">
        <v>81</v>
      </c>
      <c r="C918" s="1" t="s">
        <v>4503</v>
      </c>
      <c r="D918" s="1" t="s">
        <v>4503</v>
      </c>
      <c r="E918" s="1" t="s">
        <v>4509</v>
      </c>
      <c r="F918" s="1" t="s">
        <v>64</v>
      </c>
      <c r="G918" s="1">
        <v>150.0</v>
      </c>
      <c r="H918" s="1" t="s">
        <v>50</v>
      </c>
      <c r="I918" s="1">
        <v>22.0</v>
      </c>
      <c r="J918" s="1">
        <v>8.0</v>
      </c>
      <c r="K918" s="1">
        <v>8.0</v>
      </c>
      <c r="L918" s="1">
        <v>14.0</v>
      </c>
      <c r="M918" s="1">
        <v>14.0</v>
      </c>
      <c r="N918" s="1" t="s">
        <v>51</v>
      </c>
      <c r="O918" s="1">
        <v>23.0</v>
      </c>
      <c r="P918" s="1">
        <v>12.0</v>
      </c>
      <c r="Q918" s="1">
        <v>12.0</v>
      </c>
      <c r="R918" s="1">
        <v>11.0</v>
      </c>
      <c r="S918" s="1">
        <v>11.0</v>
      </c>
      <c r="T918" s="1" t="s">
        <v>52</v>
      </c>
      <c r="U918" s="1">
        <v>22.0</v>
      </c>
      <c r="V918" s="1">
        <v>12.0</v>
      </c>
      <c r="W918" s="1">
        <v>12.0</v>
      </c>
      <c r="X918" s="1">
        <v>10.0</v>
      </c>
      <c r="Y918" s="1">
        <v>10.0</v>
      </c>
      <c r="Z918" s="1" t="s">
        <v>53</v>
      </c>
      <c r="AA918" s="1">
        <v>25.0</v>
      </c>
      <c r="AB918" s="1">
        <v>16.0</v>
      </c>
      <c r="AC918" s="1">
        <v>16.0</v>
      </c>
      <c r="AD918" s="1">
        <v>9.0</v>
      </c>
      <c r="AE918" s="1">
        <v>9.0</v>
      </c>
      <c r="AF918" s="1" t="s">
        <v>54</v>
      </c>
      <c r="AG918" s="1">
        <v>44.0</v>
      </c>
      <c r="AH918" s="1">
        <v>20.0</v>
      </c>
      <c r="AI918" s="1">
        <v>20.0</v>
      </c>
      <c r="AJ918" s="1">
        <v>24.0</v>
      </c>
      <c r="AK918" s="1">
        <v>24.0</v>
      </c>
      <c r="AL918" s="1">
        <v>136.0</v>
      </c>
      <c r="AM918" s="1" t="s">
        <v>55</v>
      </c>
      <c r="AN918" s="1">
        <v>14.0</v>
      </c>
      <c r="AO918" s="1">
        <v>14.0</v>
      </c>
      <c r="AP918" s="1" t="s">
        <v>4510</v>
      </c>
      <c r="AQ918" s="3" t="str">
        <f>HYPERLINK("https://icf.clappia.com/app/GMB253374/submission/XWW71743808/ICF247370-GMB253374-c85m9b6c205e0000000/SIG-20250630_1224hep0p.jpeg", "SIG-20250630_1224hep0p.jpeg")</f>
        <v>SIG-20250630_1224hep0p.jpeg</v>
      </c>
      <c r="AR918" s="1" t="s">
        <v>3382</v>
      </c>
      <c r="AS918" s="3" t="str">
        <f>HYPERLINK("https://icf.clappia.com/app/GMB253374/submission/XWW71743808/ICF247370-GMB253374-ah9e3mo7m5f40000000/SIG-20250630_122568egl.jpeg", "SIG-20250630_122568egl.jpeg")</f>
        <v>SIG-20250630_122568egl.jpeg</v>
      </c>
      <c r="AT918" s="1" t="s">
        <v>3381</v>
      </c>
      <c r="AU918" s="3" t="str">
        <f>HYPERLINK("https://icf.clappia.com/app/GMB253374/submission/XWW71743808/ICF247370-GMB253374-3bpjnjkogk4000000000/SIG-20250630_12271acl8n.jpeg", "SIG-20250630_12271acl8n.jpeg")</f>
        <v>SIG-20250630_12271acl8n.jpeg</v>
      </c>
      <c r="AV918" s="3" t="str">
        <f>HYPERLINK("https://www.google.com/maps/place/7.9577307%2C-11.741897", "7.9577307,-11.741897")</f>
        <v>7.9577307,-11.741897</v>
      </c>
    </row>
    <row r="919" ht="15.75" customHeight="1">
      <c r="A919" s="1" t="s">
        <v>4511</v>
      </c>
      <c r="B919" s="1" t="s">
        <v>60</v>
      </c>
      <c r="C919" s="1" t="s">
        <v>4512</v>
      </c>
      <c r="D919" s="1" t="s">
        <v>4512</v>
      </c>
      <c r="E919" s="1" t="s">
        <v>4513</v>
      </c>
      <c r="F919" s="1" t="s">
        <v>49</v>
      </c>
      <c r="G919" s="1">
        <v>250.0</v>
      </c>
      <c r="H919" s="1" t="s">
        <v>50</v>
      </c>
      <c r="I919" s="1">
        <v>69.0</v>
      </c>
      <c r="J919" s="1">
        <v>31.0</v>
      </c>
      <c r="K919" s="1">
        <v>29.0</v>
      </c>
      <c r="L919" s="1">
        <v>38.0</v>
      </c>
      <c r="M919" s="1">
        <v>36.0</v>
      </c>
      <c r="N919" s="1" t="s">
        <v>51</v>
      </c>
      <c r="O919" s="1">
        <v>38.0</v>
      </c>
      <c r="P919" s="1">
        <v>13.0</v>
      </c>
      <c r="Q919" s="1">
        <v>13.0</v>
      </c>
      <c r="R919" s="1">
        <v>25.0</v>
      </c>
      <c r="S919" s="1">
        <v>24.0</v>
      </c>
      <c r="T919" s="1" t="s">
        <v>52</v>
      </c>
      <c r="U919" s="1">
        <v>42.0</v>
      </c>
      <c r="V919" s="1">
        <v>18.0</v>
      </c>
      <c r="W919" s="1">
        <v>18.0</v>
      </c>
      <c r="X919" s="1">
        <v>24.0</v>
      </c>
      <c r="Y919" s="1">
        <v>22.0</v>
      </c>
      <c r="Z919" s="1" t="s">
        <v>53</v>
      </c>
      <c r="AA919" s="1">
        <v>42.0</v>
      </c>
      <c r="AB919" s="1">
        <v>22.0</v>
      </c>
      <c r="AC919" s="1">
        <v>21.0</v>
      </c>
      <c r="AD919" s="1">
        <v>20.0</v>
      </c>
      <c r="AE919" s="1">
        <v>19.0</v>
      </c>
      <c r="AF919" s="1" t="s">
        <v>54</v>
      </c>
      <c r="AG919" s="1">
        <v>31.0</v>
      </c>
      <c r="AH919" s="1">
        <v>17.0</v>
      </c>
      <c r="AI919" s="1">
        <v>14.0</v>
      </c>
      <c r="AJ919" s="1">
        <v>14.0</v>
      </c>
      <c r="AK919" s="1">
        <v>13.0</v>
      </c>
      <c r="AL919" s="1">
        <v>209.0</v>
      </c>
      <c r="AM919" s="1" t="s">
        <v>55</v>
      </c>
      <c r="AN919" s="1">
        <v>41.0</v>
      </c>
      <c r="AO919" s="1">
        <v>41.0</v>
      </c>
      <c r="AP919" s="1" t="s">
        <v>4514</v>
      </c>
      <c r="AQ919" s="3" t="str">
        <f>HYPERLINK("https://icf.clappia.com/app/GMB253374/submission/HFJ22794410/ICF247370-GMB253374-663j8noche7200000000/SIG-20250630_124919oo8o.jpeg", "SIG-20250630_124919oo8o.jpeg")</f>
        <v>SIG-20250630_124919oo8o.jpeg</v>
      </c>
      <c r="AR919" s="1" t="s">
        <v>759</v>
      </c>
      <c r="AS919" s="3" t="str">
        <f>HYPERLINK("https://icf.clappia.com/app/GMB253374/submission/HFJ22794410/ICF247370-GMB253374-43pa2io1bh9m00000000/SIG-20250630_124913ema1.jpeg", "SIG-20250630_124913ema1.jpeg")</f>
        <v>SIG-20250630_124913ema1.jpeg</v>
      </c>
      <c r="AT919" s="1" t="s">
        <v>760</v>
      </c>
      <c r="AU919" s="3" t="str">
        <f>HYPERLINK("https://icf.clappia.com/app/GMB253374/submission/HFJ22794410/ICF247370-GMB253374-17diad2i3m1280000000/SIG-20250630_1249go9d2.jpeg", "SIG-20250630_1249go9d2.jpeg")</f>
        <v>SIG-20250630_1249go9d2.jpeg</v>
      </c>
      <c r="AV919" s="3" t="str">
        <f>HYPERLINK("https://www.google.com/maps/place/8.9147217%2C-12.0330667", "8.9147217,-12.0330667")</f>
        <v>8.9147217,-12.0330667</v>
      </c>
    </row>
    <row r="920" ht="15.75" customHeight="1">
      <c r="A920" s="1" t="s">
        <v>4515</v>
      </c>
      <c r="B920" s="1" t="s">
        <v>161</v>
      </c>
      <c r="C920" s="1" t="s">
        <v>4516</v>
      </c>
      <c r="D920" s="1" t="s">
        <v>4517</v>
      </c>
      <c r="E920" s="1" t="s">
        <v>4518</v>
      </c>
      <c r="F920" s="1" t="s">
        <v>64</v>
      </c>
      <c r="G920" s="1">
        <v>157.0</v>
      </c>
      <c r="H920" s="1" t="s">
        <v>50</v>
      </c>
      <c r="I920" s="1">
        <v>49.0</v>
      </c>
      <c r="J920" s="1">
        <v>18.0</v>
      </c>
      <c r="K920" s="1">
        <v>6.0</v>
      </c>
      <c r="L920" s="1">
        <v>31.0</v>
      </c>
      <c r="M920" s="1">
        <v>14.0</v>
      </c>
      <c r="N920" s="1" t="s">
        <v>51</v>
      </c>
      <c r="O920" s="1">
        <v>71.0</v>
      </c>
      <c r="P920" s="1">
        <v>32.0</v>
      </c>
      <c r="Q920" s="1">
        <v>16.0</v>
      </c>
      <c r="R920" s="1">
        <v>39.0</v>
      </c>
      <c r="S920" s="1">
        <v>21.0</v>
      </c>
      <c r="T920" s="1" t="s">
        <v>52</v>
      </c>
      <c r="U920" s="1">
        <v>44.0</v>
      </c>
      <c r="V920" s="1">
        <v>14.0</v>
      </c>
      <c r="W920" s="1">
        <v>14.0</v>
      </c>
      <c r="X920" s="1">
        <v>30.0</v>
      </c>
      <c r="Y920" s="1">
        <v>24.0</v>
      </c>
      <c r="Z920" s="1" t="s">
        <v>53</v>
      </c>
      <c r="AA920" s="1">
        <v>44.0</v>
      </c>
      <c r="AB920" s="1">
        <v>21.0</v>
      </c>
      <c r="AC920" s="1">
        <v>20.0</v>
      </c>
      <c r="AD920" s="1">
        <v>23.0</v>
      </c>
      <c r="AE920" s="1">
        <v>20.0</v>
      </c>
      <c r="AF920" s="1" t="s">
        <v>54</v>
      </c>
      <c r="AG920" s="1">
        <v>43.0</v>
      </c>
      <c r="AH920" s="1">
        <v>13.0</v>
      </c>
      <c r="AI920" s="1">
        <v>12.0</v>
      </c>
      <c r="AJ920" s="1">
        <v>30.0</v>
      </c>
      <c r="AK920" s="1">
        <v>10.0</v>
      </c>
      <c r="AL920" s="1">
        <v>157.0</v>
      </c>
      <c r="AM920" s="1" t="s">
        <v>55</v>
      </c>
      <c r="AN920" s="1" t="s">
        <v>55</v>
      </c>
      <c r="AO920" s="1" t="s">
        <v>55</v>
      </c>
      <c r="AP920" s="1" t="s">
        <v>2204</v>
      </c>
      <c r="AQ920" s="3" t="str">
        <f>HYPERLINK("https://icf.clappia.com/app/GMB253374/submission/XEY73100732/ICF247370-GMB253374-2moa8eppjj6o00000000/SIG-20250630_122918jff4.jpeg", "SIG-20250630_122918jff4.jpeg")</f>
        <v>SIG-20250630_122918jff4.jpeg</v>
      </c>
      <c r="AR920" s="1" t="s">
        <v>4519</v>
      </c>
      <c r="AS920" s="3" t="str">
        <f>HYPERLINK("https://icf.clappia.com/app/GMB253374/submission/XEY73100732/ICF247370-GMB253374-5bjob1n9i3le00000000/SIG-20250630_1229132gk2.jpeg", "SIG-20250630_1229132gk2.jpeg")</f>
        <v>SIG-20250630_1229132gk2.jpeg</v>
      </c>
      <c r="AT920" s="1" t="s">
        <v>4520</v>
      </c>
      <c r="AU920" s="3" t="str">
        <f>HYPERLINK("https://icf.clappia.com/app/GMB253374/submission/XEY73100732/ICF247370-GMB253374-1oad6i854deee0000000/SIG-20250630_1242mkdnd.jpeg", "SIG-20250630_1242mkdnd.jpeg")</f>
        <v>SIG-20250630_1242mkdnd.jpeg</v>
      </c>
      <c r="AV920" s="3" t="str">
        <f>HYPERLINK("https://www.google.com/maps/place/7.9332386%2C-11.7187503", "7.9332386,-11.7187503")</f>
        <v>7.9332386,-11.7187503</v>
      </c>
    </row>
    <row r="921" ht="15.75" customHeight="1">
      <c r="A921" s="1" t="s">
        <v>4521</v>
      </c>
      <c r="B921" s="1" t="s">
        <v>189</v>
      </c>
      <c r="C921" s="1" t="s">
        <v>4517</v>
      </c>
      <c r="D921" s="1" t="s">
        <v>4517</v>
      </c>
      <c r="E921" s="1" t="s">
        <v>4522</v>
      </c>
      <c r="F921" s="1" t="s">
        <v>49</v>
      </c>
      <c r="G921" s="1">
        <v>100.0</v>
      </c>
      <c r="H921" s="1" t="s">
        <v>50</v>
      </c>
      <c r="I921" s="1">
        <v>26.0</v>
      </c>
      <c r="J921" s="1">
        <v>13.0</v>
      </c>
      <c r="K921" s="1">
        <v>12.0</v>
      </c>
      <c r="L921" s="1">
        <v>13.0</v>
      </c>
      <c r="M921" s="1">
        <v>8.0</v>
      </c>
      <c r="N921" s="1" t="s">
        <v>51</v>
      </c>
      <c r="O921" s="1">
        <v>13.0</v>
      </c>
      <c r="P921" s="1">
        <v>9.0</v>
      </c>
      <c r="Q921" s="1">
        <v>9.0</v>
      </c>
      <c r="R921" s="1">
        <v>4.0</v>
      </c>
      <c r="S921" s="1">
        <v>4.0</v>
      </c>
      <c r="T921" s="1" t="s">
        <v>52</v>
      </c>
      <c r="U921" s="1">
        <v>11.0</v>
      </c>
      <c r="V921" s="1">
        <v>5.0</v>
      </c>
      <c r="W921" s="1">
        <v>5.0</v>
      </c>
      <c r="X921" s="1">
        <v>6.0</v>
      </c>
      <c r="Y921" s="1">
        <v>6.0</v>
      </c>
      <c r="Z921" s="1" t="s">
        <v>53</v>
      </c>
      <c r="AA921" s="1">
        <v>8.0</v>
      </c>
      <c r="AB921" s="1">
        <v>3.0</v>
      </c>
      <c r="AC921" s="1">
        <v>3.0</v>
      </c>
      <c r="AD921" s="1">
        <v>5.0</v>
      </c>
      <c r="AE921" s="1">
        <v>5.0</v>
      </c>
      <c r="AF921" s="1" t="s">
        <v>54</v>
      </c>
      <c r="AG921" s="1">
        <v>11.0</v>
      </c>
      <c r="AH921" s="1">
        <v>6.0</v>
      </c>
      <c r="AI921" s="1">
        <v>5.0</v>
      </c>
      <c r="AJ921" s="1">
        <v>5.0</v>
      </c>
      <c r="AK921" s="1">
        <v>3.0</v>
      </c>
      <c r="AL921" s="1">
        <v>60.0</v>
      </c>
      <c r="AM921" s="1" t="s">
        <v>55</v>
      </c>
      <c r="AN921" s="1">
        <v>40.0</v>
      </c>
      <c r="AO921" s="1">
        <v>40.0</v>
      </c>
      <c r="AP921" s="1" t="s">
        <v>2501</v>
      </c>
      <c r="AQ921" s="3" t="str">
        <f>HYPERLINK("https://icf.clappia.com/app/GMB253374/submission/YRY11174129/ICF247370-GMB253374-6abe5fghf4e000000000/SIG-20250630_12465d5ap.jpeg", "SIG-20250630_12465d5ap.jpeg")</f>
        <v>SIG-20250630_12465d5ap.jpeg</v>
      </c>
      <c r="AR921" s="1" t="s">
        <v>2502</v>
      </c>
      <c r="AS921" s="3" t="str">
        <f>HYPERLINK("https://icf.clappia.com/app/GMB253374/submission/YRY11174129/ICF247370-GMB253374-19cofeng3d21m0000000/SIG-20250630_1247e78l6.jpeg", "SIG-20250630_1247e78l6.jpeg")</f>
        <v>SIG-20250630_1247e78l6.jpeg</v>
      </c>
      <c r="AT921" s="1" t="s">
        <v>2503</v>
      </c>
      <c r="AU921" s="3" t="str">
        <f>HYPERLINK("https://icf.clappia.com/app/GMB253374/submission/YRY11174129/ICF247370-GMB253374-1i4go88d5jf8c0000000/SIG-20250630_1247db7de.jpeg", "SIG-20250630_1247db7de.jpeg")</f>
        <v>SIG-20250630_1247db7de.jpeg</v>
      </c>
      <c r="AV921" s="3" t="str">
        <f>HYPERLINK("https://www.google.com/maps/place/8.8682749%2C-12.0316671", "8.8682749,-12.0316671")</f>
        <v>8.8682749,-12.0316671</v>
      </c>
    </row>
    <row r="922" ht="15.75" customHeight="1">
      <c r="A922" s="1" t="s">
        <v>4523</v>
      </c>
      <c r="B922" s="1" t="s">
        <v>102</v>
      </c>
      <c r="C922" s="1" t="s">
        <v>4524</v>
      </c>
      <c r="D922" s="1" t="s">
        <v>4524</v>
      </c>
      <c r="E922" s="1" t="s">
        <v>4525</v>
      </c>
      <c r="F922" s="1" t="s">
        <v>64</v>
      </c>
      <c r="G922" s="1">
        <v>300.0</v>
      </c>
      <c r="H922" s="1" t="s">
        <v>50</v>
      </c>
      <c r="I922" s="1">
        <v>70.0</v>
      </c>
      <c r="J922" s="1">
        <v>36.0</v>
      </c>
      <c r="K922" s="1">
        <v>34.0</v>
      </c>
      <c r="L922" s="1">
        <v>34.0</v>
      </c>
      <c r="M922" s="1">
        <v>32.0</v>
      </c>
      <c r="N922" s="1" t="s">
        <v>51</v>
      </c>
      <c r="O922" s="1">
        <v>62.0</v>
      </c>
      <c r="P922" s="1">
        <v>30.0</v>
      </c>
      <c r="Q922" s="1">
        <v>30.0</v>
      </c>
      <c r="R922" s="1">
        <v>32.0</v>
      </c>
      <c r="S922" s="1">
        <v>30.0</v>
      </c>
      <c r="T922" s="1" t="s">
        <v>52</v>
      </c>
      <c r="U922" s="1">
        <v>52.0</v>
      </c>
      <c r="V922" s="1">
        <v>27.0</v>
      </c>
      <c r="W922" s="1">
        <v>27.0</v>
      </c>
      <c r="X922" s="1">
        <v>25.0</v>
      </c>
      <c r="Y922" s="1">
        <v>25.0</v>
      </c>
      <c r="Z922" s="1" t="s">
        <v>53</v>
      </c>
      <c r="AA922" s="1">
        <v>55.0</v>
      </c>
      <c r="AB922" s="1">
        <v>27.0</v>
      </c>
      <c r="AC922" s="1">
        <v>26.0</v>
      </c>
      <c r="AD922" s="1">
        <v>28.0</v>
      </c>
      <c r="AE922" s="1">
        <v>28.0</v>
      </c>
      <c r="AF922" s="1" t="s">
        <v>54</v>
      </c>
      <c r="AG922" s="1">
        <v>45.0</v>
      </c>
      <c r="AH922" s="1">
        <v>25.0</v>
      </c>
      <c r="AI922" s="1">
        <v>23.0</v>
      </c>
      <c r="AJ922" s="1">
        <v>20.0</v>
      </c>
      <c r="AK922" s="1">
        <v>19.0</v>
      </c>
      <c r="AL922" s="1">
        <v>274.0</v>
      </c>
      <c r="AM922" s="1">
        <v>10.0</v>
      </c>
      <c r="AN922" s="1">
        <v>16.0</v>
      </c>
      <c r="AO922" s="1">
        <v>16.0</v>
      </c>
      <c r="AP922" s="1" t="s">
        <v>4526</v>
      </c>
      <c r="AQ922" s="3" t="str">
        <f>HYPERLINK("https://icf.clappia.com/app/GMB253374/submission/XCN67989682/ICF247370-GMB253374-68bhj8gbbmn200000000/SIG-20250630_1243keia5.jpeg", "SIG-20250630_1243keia5.jpeg")</f>
        <v>SIG-20250630_1243keia5.jpeg</v>
      </c>
      <c r="AR922" s="1" t="s">
        <v>4527</v>
      </c>
      <c r="AS922" s="3" t="str">
        <f>HYPERLINK("https://icf.clappia.com/app/GMB253374/submission/XCN67989682/ICF247370-GMB253374-2054cndd5m8c80000000/SIG-20250630_1244mgc4k.jpeg", "SIG-20250630_1244mgc4k.jpeg")</f>
        <v>SIG-20250630_1244mgc4k.jpeg</v>
      </c>
      <c r="AT922" s="1" t="s">
        <v>4528</v>
      </c>
      <c r="AU922" s="3" t="str">
        <f>HYPERLINK("https://icf.clappia.com/app/GMB253374/submission/XCN67989682/ICF247370-GMB253374-34h43j9c3fk400000000/SIG-20250630_124426i8d.jpeg", "SIG-20250630_124426i8d.jpeg")</f>
        <v>SIG-20250630_124426i8d.jpeg</v>
      </c>
      <c r="AV922" s="3" t="str">
        <f>HYPERLINK("https://www.google.com/maps/place/9.06745%2C-11.9543233", "9.06745,-11.9543233")</f>
        <v>9.06745,-11.9543233</v>
      </c>
    </row>
    <row r="923" ht="15.75" customHeight="1">
      <c r="A923" s="1" t="s">
        <v>4529</v>
      </c>
      <c r="B923" s="1" t="s">
        <v>248</v>
      </c>
      <c r="C923" s="1" t="s">
        <v>4516</v>
      </c>
      <c r="D923" s="1" t="s">
        <v>4516</v>
      </c>
      <c r="E923" s="1" t="s">
        <v>4530</v>
      </c>
      <c r="F923" s="1" t="s">
        <v>64</v>
      </c>
      <c r="G923" s="1">
        <v>300.0</v>
      </c>
      <c r="H923" s="1" t="s">
        <v>50</v>
      </c>
      <c r="I923" s="1">
        <v>200.0</v>
      </c>
      <c r="J923" s="1">
        <v>40.0</v>
      </c>
      <c r="K923" s="1">
        <v>40.0</v>
      </c>
      <c r="L923" s="1">
        <v>50.0</v>
      </c>
      <c r="M923" s="1">
        <v>50.0</v>
      </c>
      <c r="N923" s="1" t="s">
        <v>51</v>
      </c>
      <c r="O923" s="1">
        <v>60.0</v>
      </c>
      <c r="P923" s="1">
        <v>25.0</v>
      </c>
      <c r="Q923" s="1">
        <v>25.0</v>
      </c>
      <c r="R923" s="1">
        <v>35.0</v>
      </c>
      <c r="S923" s="1">
        <v>35.0</v>
      </c>
      <c r="T923" s="1" t="s">
        <v>52</v>
      </c>
      <c r="U923" s="1">
        <v>50.0</v>
      </c>
      <c r="V923" s="1">
        <v>20.0</v>
      </c>
      <c r="W923" s="1">
        <v>20.0</v>
      </c>
      <c r="X923" s="1">
        <v>30.0</v>
      </c>
      <c r="Y923" s="1">
        <v>30.0</v>
      </c>
      <c r="Z923" s="1" t="s">
        <v>53</v>
      </c>
      <c r="AA923" s="1" t="s">
        <v>55</v>
      </c>
      <c r="AB923" s="1" t="s">
        <v>55</v>
      </c>
      <c r="AC923" s="1" t="s">
        <v>55</v>
      </c>
      <c r="AD923" s="1" t="s">
        <v>55</v>
      </c>
      <c r="AE923" s="1" t="s">
        <v>55</v>
      </c>
      <c r="AF923" s="1" t="s">
        <v>54</v>
      </c>
      <c r="AG923" s="1" t="s">
        <v>55</v>
      </c>
      <c r="AH923" s="1" t="s">
        <v>55</v>
      </c>
      <c r="AI923" s="1" t="s">
        <v>55</v>
      </c>
      <c r="AJ923" s="1" t="s">
        <v>55</v>
      </c>
      <c r="AK923" s="1" t="s">
        <v>55</v>
      </c>
      <c r="AL923" s="1">
        <v>200.0</v>
      </c>
      <c r="AM923" s="1" t="s">
        <v>55</v>
      </c>
      <c r="AN923" s="1">
        <v>100.0</v>
      </c>
      <c r="AO923" s="1" t="s">
        <v>55</v>
      </c>
      <c r="AP923" s="1" t="s">
        <v>456</v>
      </c>
      <c r="AQ923" s="3" t="str">
        <f>HYPERLINK("https://icf.clappia.com/app/GMB253374/submission/ZOM52930135/ICF247370-GMB253374-4laimd2bifg600000000/SIG-20250630_1242ffng.jpeg", "SIG-20250630_1242ffng.jpeg")</f>
        <v>SIG-20250630_1242ffng.jpeg</v>
      </c>
      <c r="AR923" s="1" t="s">
        <v>4531</v>
      </c>
      <c r="AS923" s="3" t="str">
        <f>HYPERLINK("https://icf.clappia.com/app/GMB253374/submission/ZOM52930135/ICF247370-GMB253374-3mm4mlbcjc6000000000/SIG-20250630_1241131518.jpeg", "SIG-20250630_1241131518.jpeg")</f>
        <v>SIG-20250630_1241131518.jpeg</v>
      </c>
      <c r="AT923" s="1" t="s">
        <v>4532</v>
      </c>
      <c r="AU923" s="3" t="str">
        <f>HYPERLINK("https://icf.clappia.com/app/GMB253374/submission/ZOM52930135/ICF247370-GMB253374-5bhlkkkkbg4000000000/SIG-20250630_1242ie0f7.jpeg", "SIG-20250630_1242ie0f7.jpeg")</f>
        <v>SIG-20250630_1242ie0f7.jpeg</v>
      </c>
      <c r="AV923" s="3" t="str">
        <f>HYPERLINK("https://www.google.com/maps/place/7.9286051%2C-11.4422549", "7.9286051,-11.4422549")</f>
        <v>7.9286051,-11.4422549</v>
      </c>
    </row>
    <row r="924" ht="15.75" customHeight="1">
      <c r="A924" s="1" t="s">
        <v>4533</v>
      </c>
      <c r="B924" s="1" t="s">
        <v>1521</v>
      </c>
      <c r="C924" s="1" t="s">
        <v>4534</v>
      </c>
      <c r="D924" s="1" t="s">
        <v>4534</v>
      </c>
      <c r="E924" s="1" t="s">
        <v>4535</v>
      </c>
      <c r="F924" s="1" t="s">
        <v>64</v>
      </c>
      <c r="G924" s="1">
        <v>150.0</v>
      </c>
      <c r="H924" s="1" t="s">
        <v>50</v>
      </c>
      <c r="I924" s="1">
        <v>16.0</v>
      </c>
      <c r="J924" s="1">
        <v>9.0</v>
      </c>
      <c r="K924" s="1">
        <v>9.0</v>
      </c>
      <c r="L924" s="1">
        <v>7.0</v>
      </c>
      <c r="M924" s="1">
        <v>7.0</v>
      </c>
      <c r="N924" s="1" t="s">
        <v>51</v>
      </c>
      <c r="O924" s="1">
        <v>10.0</v>
      </c>
      <c r="P924" s="1">
        <v>3.0</v>
      </c>
      <c r="Q924" s="1">
        <v>3.0</v>
      </c>
      <c r="R924" s="1">
        <v>3.0</v>
      </c>
      <c r="S924" s="1">
        <v>3.0</v>
      </c>
      <c r="T924" s="1" t="s">
        <v>52</v>
      </c>
      <c r="U924" s="1">
        <v>5.0</v>
      </c>
      <c r="V924" s="1">
        <v>4.0</v>
      </c>
      <c r="W924" s="1">
        <v>4.0</v>
      </c>
      <c r="X924" s="1">
        <v>1.0</v>
      </c>
      <c r="Y924" s="1">
        <v>1.0</v>
      </c>
      <c r="Z924" s="1" t="s">
        <v>53</v>
      </c>
      <c r="AA924" s="1">
        <v>8.0</v>
      </c>
      <c r="AB924" s="1">
        <v>6.0</v>
      </c>
      <c r="AC924" s="1">
        <v>6.0</v>
      </c>
      <c r="AD924" s="1">
        <v>2.0</v>
      </c>
      <c r="AE924" s="1">
        <v>2.0</v>
      </c>
      <c r="AF924" s="1" t="s">
        <v>54</v>
      </c>
      <c r="AG924" s="1">
        <v>8.0</v>
      </c>
      <c r="AH924" s="1" t="s">
        <v>55</v>
      </c>
      <c r="AI924" s="1" t="s">
        <v>55</v>
      </c>
      <c r="AJ924" s="1">
        <v>2.0</v>
      </c>
      <c r="AK924" s="1">
        <v>2.0</v>
      </c>
      <c r="AL924" s="1">
        <v>37.0</v>
      </c>
      <c r="AM924" s="1">
        <v>10.0</v>
      </c>
      <c r="AN924" s="1">
        <v>103.0</v>
      </c>
      <c r="AO924" s="1">
        <v>103.0</v>
      </c>
      <c r="AP924" s="1" t="s">
        <v>2109</v>
      </c>
      <c r="AQ924" s="3" t="str">
        <f>HYPERLINK("https://icf.clappia.com/app/GMB253374/submission/TSG59452380/ICF247370-GMB253374-5n13mibbghmo00000000/SIG-20250630_1233h43le.jpeg", "SIG-20250630_1233h43le.jpeg")</f>
        <v>SIG-20250630_1233h43le.jpeg</v>
      </c>
      <c r="AR924" s="1" t="s">
        <v>2108</v>
      </c>
      <c r="AS924" s="3" t="str">
        <f>HYPERLINK("https://icf.clappia.com/app/GMB253374/submission/TSG59452380/ICF247370-GMB253374-25km4lekp47gk0000000/SIG-20250630_12348k427.jpeg", "SIG-20250630_12348k427.jpeg")</f>
        <v>SIG-20250630_12348k427.jpeg</v>
      </c>
      <c r="AT924" s="1" t="s">
        <v>4536</v>
      </c>
      <c r="AU924" s="3" t="str">
        <f>HYPERLINK("https://icf.clappia.com/app/GMB253374/submission/TSG59452380/ICF247370-GMB253374-9073pdafdl280000000/SIG-20250630_12362841n.jpeg", "SIG-20250630_12362841n.jpeg")</f>
        <v>SIG-20250630_12362841n.jpeg</v>
      </c>
      <c r="AV924" s="3" t="str">
        <f>HYPERLINK("https://www.google.com/maps/place/8.0708742%2C-11.8202222", "8.0708742,-11.8202222")</f>
        <v>8.0708742,-11.8202222</v>
      </c>
    </row>
    <row r="925" ht="15.75" customHeight="1">
      <c r="A925" s="1" t="s">
        <v>4537</v>
      </c>
      <c r="B925" s="1" t="s">
        <v>189</v>
      </c>
      <c r="C925" s="1" t="s">
        <v>4221</v>
      </c>
      <c r="D925" s="1" t="s">
        <v>4221</v>
      </c>
      <c r="E925" s="1" t="s">
        <v>4538</v>
      </c>
      <c r="F925" s="1" t="s">
        <v>49</v>
      </c>
      <c r="G925" s="1">
        <v>150.0</v>
      </c>
      <c r="H925" s="1" t="s">
        <v>50</v>
      </c>
      <c r="I925" s="1">
        <v>26.0</v>
      </c>
      <c r="J925" s="1">
        <v>13.0</v>
      </c>
      <c r="K925" s="1">
        <v>10.0</v>
      </c>
      <c r="L925" s="1">
        <v>13.0</v>
      </c>
      <c r="M925" s="1">
        <v>6.0</v>
      </c>
      <c r="N925" s="1" t="s">
        <v>51</v>
      </c>
      <c r="O925" s="1">
        <v>19.0</v>
      </c>
      <c r="P925" s="1">
        <v>10.0</v>
      </c>
      <c r="Q925" s="1">
        <v>9.0</v>
      </c>
      <c r="R925" s="1">
        <v>9.0</v>
      </c>
      <c r="S925" s="1">
        <v>8.0</v>
      </c>
      <c r="T925" s="1" t="s">
        <v>52</v>
      </c>
      <c r="U925" s="1">
        <v>16.0</v>
      </c>
      <c r="V925" s="1">
        <v>5.0</v>
      </c>
      <c r="W925" s="1">
        <v>4.0</v>
      </c>
      <c r="X925" s="1">
        <v>11.0</v>
      </c>
      <c r="Y925" s="1">
        <v>9.0</v>
      </c>
      <c r="Z925" s="1" t="s">
        <v>53</v>
      </c>
      <c r="AA925" s="1">
        <v>19.0</v>
      </c>
      <c r="AB925" s="1">
        <v>12.0</v>
      </c>
      <c r="AC925" s="1">
        <v>11.0</v>
      </c>
      <c r="AD925" s="1">
        <v>7.0</v>
      </c>
      <c r="AE925" s="1">
        <v>4.0</v>
      </c>
      <c r="AF925" s="1" t="s">
        <v>54</v>
      </c>
      <c r="AG925" s="1">
        <v>13.0</v>
      </c>
      <c r="AH925" s="1">
        <v>4.0</v>
      </c>
      <c r="AI925" s="1">
        <v>4.0</v>
      </c>
      <c r="AJ925" s="1">
        <v>9.0</v>
      </c>
      <c r="AK925" s="1">
        <v>8.0</v>
      </c>
      <c r="AL925" s="1">
        <v>73.0</v>
      </c>
      <c r="AM925" s="1" t="s">
        <v>55</v>
      </c>
      <c r="AN925" s="1">
        <v>77.0</v>
      </c>
      <c r="AO925" s="1">
        <v>77.0</v>
      </c>
      <c r="AP925" s="1" t="s">
        <v>1012</v>
      </c>
      <c r="AQ925" s="3" t="str">
        <f>HYPERLINK("https://icf.clappia.com/app/GMB253374/submission/XWH86274748/ICF247370-GMB253374-10ljep126bci40000000/SIG-20250630_12178c2ha.jpeg", "SIG-20250630_12178c2ha.jpeg")</f>
        <v>SIG-20250630_12178c2ha.jpeg</v>
      </c>
      <c r="AR925" s="1" t="s">
        <v>4539</v>
      </c>
      <c r="AS925" s="3" t="str">
        <f>HYPERLINK("https://icf.clappia.com/app/GMB253374/submission/XWH86274748/ICF247370-GMB253374-64bbfoihohaa00000000/SIG-20250630_1234118c52.jpeg", "SIG-20250630_1234118c52.jpeg")</f>
        <v>SIG-20250630_1234118c52.jpeg</v>
      </c>
      <c r="AT925" s="1" t="s">
        <v>1013</v>
      </c>
      <c r="AU925" s="3" t="str">
        <f>HYPERLINK("https://icf.clappia.com/app/GMB253374/submission/XWH86274748/ICF247370-GMB253374-4o86a66an3ok0000000/SIG-20250630_123382gj0.jpeg", "SIG-20250630_123382gj0.jpeg")</f>
        <v>SIG-20250630_123382gj0.jpeg</v>
      </c>
      <c r="AV925" s="3" t="str">
        <f>HYPERLINK("https://www.google.com/maps/place/8.87828%2C-12.0496783", "8.87828,-12.0496783")</f>
        <v>8.87828,-12.0496783</v>
      </c>
    </row>
    <row r="926" ht="15.75" customHeight="1">
      <c r="A926" s="1" t="s">
        <v>4540</v>
      </c>
      <c r="B926" s="1" t="s">
        <v>81</v>
      </c>
      <c r="C926" s="1" t="s">
        <v>4541</v>
      </c>
      <c r="D926" s="1" t="s">
        <v>4541</v>
      </c>
      <c r="E926" s="1" t="s">
        <v>4542</v>
      </c>
      <c r="F926" s="1" t="s">
        <v>64</v>
      </c>
      <c r="G926" s="1">
        <v>400.0</v>
      </c>
      <c r="H926" s="1" t="s">
        <v>50</v>
      </c>
      <c r="I926" s="1">
        <v>126.0</v>
      </c>
      <c r="J926" s="1" t="s">
        <v>55</v>
      </c>
      <c r="K926" s="1" t="s">
        <v>55</v>
      </c>
      <c r="L926" s="1">
        <v>126.0</v>
      </c>
      <c r="M926" s="1">
        <v>71.0</v>
      </c>
      <c r="N926" s="1" t="s">
        <v>51</v>
      </c>
      <c r="O926" s="1">
        <v>91.0</v>
      </c>
      <c r="P926" s="1" t="s">
        <v>55</v>
      </c>
      <c r="Q926" s="1" t="s">
        <v>55</v>
      </c>
      <c r="R926" s="1">
        <v>91.0</v>
      </c>
      <c r="S926" s="1">
        <v>58.0</v>
      </c>
      <c r="T926" s="1" t="s">
        <v>52</v>
      </c>
      <c r="U926" s="1">
        <v>79.0</v>
      </c>
      <c r="V926" s="1" t="s">
        <v>55</v>
      </c>
      <c r="W926" s="1" t="s">
        <v>55</v>
      </c>
      <c r="X926" s="1">
        <v>79.0</v>
      </c>
      <c r="Y926" s="1">
        <v>71.0</v>
      </c>
      <c r="Z926" s="1" t="s">
        <v>53</v>
      </c>
      <c r="AA926" s="1">
        <v>103.0</v>
      </c>
      <c r="AB926" s="1" t="s">
        <v>55</v>
      </c>
      <c r="AC926" s="1" t="s">
        <v>55</v>
      </c>
      <c r="AD926" s="1">
        <v>103.0</v>
      </c>
      <c r="AE926" s="1">
        <v>90.0</v>
      </c>
      <c r="AF926" s="1" t="s">
        <v>54</v>
      </c>
      <c r="AG926" s="1">
        <v>84.0</v>
      </c>
      <c r="AH926" s="1" t="s">
        <v>55</v>
      </c>
      <c r="AI926" s="1" t="s">
        <v>55</v>
      </c>
      <c r="AJ926" s="1">
        <v>84.0</v>
      </c>
      <c r="AK926" s="1">
        <v>74.0</v>
      </c>
      <c r="AL926" s="1">
        <v>364.0</v>
      </c>
      <c r="AM926" s="1">
        <v>10.0</v>
      </c>
      <c r="AN926" s="1">
        <v>26.0</v>
      </c>
      <c r="AO926" s="1">
        <v>16.0</v>
      </c>
      <c r="AP926" s="1" t="s">
        <v>3722</v>
      </c>
      <c r="AQ926" s="3" t="str">
        <f>HYPERLINK("https://icf.clappia.com/app/GMB253374/submission/CCE58524124/ICF247370-GMB253374-4oa0hanp0dog00000000/SIG-20250630_122317efd7.jpeg", "SIG-20250630_122317efd7.jpeg")</f>
        <v>SIG-20250630_122317efd7.jpeg</v>
      </c>
      <c r="AR926" s="1" t="s">
        <v>4543</v>
      </c>
      <c r="AS926" s="3" t="str">
        <f>HYPERLINK("https://icf.clappia.com/app/GMB253374/submission/CCE58524124/ICF247370-GMB253374-40fga2dkf50c0000000/SIG-20250630_122416afj9.jpeg", "SIG-20250630_122416afj9.jpeg")</f>
        <v>SIG-20250630_122416afj9.jpeg</v>
      </c>
      <c r="AT926" s="1" t="s">
        <v>4544</v>
      </c>
      <c r="AU926" s="3" t="str">
        <f>HYPERLINK("https://icf.clappia.com/app/GMB253374/submission/CCE58524124/ICF247370-GMB253374-2kkpgn7gj48800000000/SIG-20250630_1229gh00p.jpeg", "SIG-20250630_1229gh00p.jpeg")</f>
        <v>SIG-20250630_1229gh00p.jpeg</v>
      </c>
      <c r="AV926" s="3" t="str">
        <f>HYPERLINK("https://www.google.com/maps/place/7.9538312%2C-11.7354775", "7.9538312,-11.7354775")</f>
        <v>7.9538312,-11.7354775</v>
      </c>
    </row>
    <row r="927" ht="15.75" customHeight="1">
      <c r="A927" s="1" t="s">
        <v>4545</v>
      </c>
      <c r="B927" s="1" t="s">
        <v>81</v>
      </c>
      <c r="C927" s="1" t="s">
        <v>4546</v>
      </c>
      <c r="D927" s="1" t="s">
        <v>4546</v>
      </c>
      <c r="E927" s="1" t="s">
        <v>4547</v>
      </c>
      <c r="F927" s="1" t="s">
        <v>64</v>
      </c>
      <c r="G927" s="1">
        <v>169.0</v>
      </c>
      <c r="H927" s="1" t="s">
        <v>50</v>
      </c>
      <c r="I927" s="1">
        <v>53.0</v>
      </c>
      <c r="J927" s="1">
        <v>30.0</v>
      </c>
      <c r="K927" s="1">
        <v>26.0</v>
      </c>
      <c r="L927" s="1">
        <v>23.0</v>
      </c>
      <c r="M927" s="1">
        <v>20.0</v>
      </c>
      <c r="N927" s="1" t="s">
        <v>51</v>
      </c>
      <c r="O927" s="1">
        <v>44.0</v>
      </c>
      <c r="P927" s="1">
        <v>20.0</v>
      </c>
      <c r="Q927" s="1">
        <v>16.0</v>
      </c>
      <c r="R927" s="1">
        <v>24.0</v>
      </c>
      <c r="S927" s="1">
        <v>23.0</v>
      </c>
      <c r="T927" s="1" t="s">
        <v>52</v>
      </c>
      <c r="U927" s="1">
        <v>39.0</v>
      </c>
      <c r="V927" s="1">
        <v>13.0</v>
      </c>
      <c r="W927" s="1">
        <v>13.0</v>
      </c>
      <c r="X927" s="1">
        <v>26.0</v>
      </c>
      <c r="Y927" s="1">
        <v>25.0</v>
      </c>
      <c r="Z927" s="1" t="s">
        <v>53</v>
      </c>
      <c r="AA927" s="1">
        <v>24.0</v>
      </c>
      <c r="AB927" s="1">
        <v>8.0</v>
      </c>
      <c r="AC927" s="1">
        <v>7.0</v>
      </c>
      <c r="AD927" s="1">
        <v>16.0</v>
      </c>
      <c r="AE927" s="1">
        <v>16.0</v>
      </c>
      <c r="AF927" s="1" t="s">
        <v>54</v>
      </c>
      <c r="AG927" s="1">
        <v>29.0</v>
      </c>
      <c r="AH927" s="1">
        <v>21.0</v>
      </c>
      <c r="AI927" s="1">
        <v>15.0</v>
      </c>
      <c r="AJ927" s="1">
        <v>8.0</v>
      </c>
      <c r="AK927" s="1">
        <v>8.0</v>
      </c>
      <c r="AL927" s="1">
        <v>169.0</v>
      </c>
      <c r="AM927" s="1" t="s">
        <v>55</v>
      </c>
      <c r="AN927" s="1" t="s">
        <v>55</v>
      </c>
      <c r="AO927" s="1" t="s">
        <v>55</v>
      </c>
      <c r="AP927" s="1" t="s">
        <v>3441</v>
      </c>
      <c r="AQ927" s="3" t="str">
        <f>HYPERLINK("https://icf.clappia.com/app/GMB253374/submission/WDK81865760/ICF247370-GMB253374-n7gckgm0op280000000/SIG-20250630_122816mi6l.jpeg", "SIG-20250630_122816mi6l.jpeg")</f>
        <v>SIG-20250630_122816mi6l.jpeg</v>
      </c>
      <c r="AR927" s="1" t="s">
        <v>3442</v>
      </c>
      <c r="AS927" s="3" t="str">
        <f>HYPERLINK("https://icf.clappia.com/app/GMB253374/submission/WDK81865760/ICF247370-GMB253374-l0of98361d840000000/SIG-20250630_1228160cgm.jpeg", "SIG-20250630_1228160cgm.jpeg")</f>
        <v>SIG-20250630_1228160cgm.jpeg</v>
      </c>
      <c r="AT927" s="1" t="s">
        <v>3443</v>
      </c>
      <c r="AU927" s="3" t="str">
        <f>HYPERLINK("https://icf.clappia.com/app/GMB253374/submission/WDK81865760/ICF247370-GMB253374-1najdggm5fmii0000000/SIG-20250630_12311300ag.jpeg", "SIG-20250630_12311300ag.jpeg")</f>
        <v>SIG-20250630_12311300ag.jpeg</v>
      </c>
      <c r="AV927" s="3" t="str">
        <f>HYPERLINK("https://www.google.com/maps/place/7.9368267%2C-11.74965", "7.9368267,-11.74965")</f>
        <v>7.9368267,-11.74965</v>
      </c>
    </row>
    <row r="928" ht="15.75" customHeight="1">
      <c r="A928" s="1" t="s">
        <v>4548</v>
      </c>
      <c r="B928" s="1" t="s">
        <v>75</v>
      </c>
      <c r="C928" s="1" t="s">
        <v>4549</v>
      </c>
      <c r="D928" s="1" t="s">
        <v>4549</v>
      </c>
      <c r="E928" s="1" t="s">
        <v>4550</v>
      </c>
      <c r="F928" s="1" t="s">
        <v>64</v>
      </c>
      <c r="G928" s="1">
        <v>300.0</v>
      </c>
      <c r="H928" s="1" t="s">
        <v>50</v>
      </c>
      <c r="I928" s="1">
        <v>63.0</v>
      </c>
      <c r="J928" s="1">
        <v>41.0</v>
      </c>
      <c r="K928" s="1">
        <v>41.0</v>
      </c>
      <c r="L928" s="1">
        <v>22.0</v>
      </c>
      <c r="M928" s="1">
        <v>22.0</v>
      </c>
      <c r="N928" s="1" t="s">
        <v>51</v>
      </c>
      <c r="O928" s="1">
        <v>48.0</v>
      </c>
      <c r="P928" s="1">
        <v>34.0</v>
      </c>
      <c r="Q928" s="1">
        <v>34.0</v>
      </c>
      <c r="R928" s="1">
        <v>14.0</v>
      </c>
      <c r="S928" s="1">
        <v>14.0</v>
      </c>
      <c r="T928" s="1" t="s">
        <v>52</v>
      </c>
      <c r="U928" s="1">
        <v>57.0</v>
      </c>
      <c r="V928" s="1">
        <v>25.0</v>
      </c>
      <c r="W928" s="1">
        <v>25.0</v>
      </c>
      <c r="X928" s="1">
        <v>32.0</v>
      </c>
      <c r="Y928" s="1">
        <v>32.0</v>
      </c>
      <c r="Z928" s="1" t="s">
        <v>53</v>
      </c>
      <c r="AA928" s="1">
        <v>55.0</v>
      </c>
      <c r="AB928" s="1">
        <v>25.0</v>
      </c>
      <c r="AC928" s="1">
        <v>25.0</v>
      </c>
      <c r="AD928" s="1">
        <v>30.0</v>
      </c>
      <c r="AE928" s="1">
        <v>30.0</v>
      </c>
      <c r="AF928" s="1" t="s">
        <v>54</v>
      </c>
      <c r="AG928" s="1">
        <v>47.0</v>
      </c>
      <c r="AH928" s="1">
        <v>25.0</v>
      </c>
      <c r="AI928" s="1">
        <v>25.0</v>
      </c>
      <c r="AJ928" s="1">
        <v>22.0</v>
      </c>
      <c r="AK928" s="1">
        <v>22.0</v>
      </c>
      <c r="AL928" s="1">
        <v>270.0</v>
      </c>
      <c r="AM928" s="1" t="s">
        <v>55</v>
      </c>
      <c r="AN928" s="1">
        <v>30.0</v>
      </c>
      <c r="AO928" s="1">
        <v>30.0</v>
      </c>
      <c r="AP928" s="1" t="s">
        <v>4551</v>
      </c>
      <c r="AQ928" s="3" t="str">
        <f>HYPERLINK("https://icf.clappia.com/app/GMB253374/submission/HVD62101551/ICF247370-GMB253374-a9e9m99lopbm0000000/SIG-20250630_12237kn7a.jpeg", "SIG-20250630_12237kn7a.jpeg")</f>
        <v>SIG-20250630_12237kn7a.jpeg</v>
      </c>
      <c r="AR928" s="1" t="s">
        <v>4552</v>
      </c>
      <c r="AS928" s="3" t="str">
        <f>HYPERLINK("https://icf.clappia.com/app/GMB253374/submission/HVD62101551/ICF247370-GMB253374-4cj5j22ca81c00000000/SIG-20250630_1223npeep.jpeg", "SIG-20250630_1223npeep.jpeg")</f>
        <v>SIG-20250630_1223npeep.jpeg</v>
      </c>
      <c r="AT928" s="1" t="s">
        <v>4553</v>
      </c>
      <c r="AU928" s="3" t="str">
        <f>HYPERLINK("https://icf.clappia.com/app/GMB253374/submission/HVD62101551/ICF247370-GMB253374-k4djjn5f1hjm0000000/SIG-20250630_12285o5jh.jpeg", "SIG-20250630_12285o5jh.jpeg")</f>
        <v>SIG-20250630_12285o5jh.jpeg</v>
      </c>
      <c r="AV928" s="3" t="str">
        <f>HYPERLINK("https://www.google.com/maps/place/8.9515667%2C-12.224055", "8.9515667,-12.224055")</f>
        <v>8.9515667,-12.224055</v>
      </c>
    </row>
    <row r="929" ht="15.75" customHeight="1">
      <c r="A929" s="1" t="s">
        <v>4554</v>
      </c>
      <c r="B929" s="1" t="s">
        <v>161</v>
      </c>
      <c r="C929" s="1" t="s">
        <v>4555</v>
      </c>
      <c r="D929" s="1" t="s">
        <v>4555</v>
      </c>
      <c r="E929" s="1" t="s">
        <v>4556</v>
      </c>
      <c r="F929" s="1" t="s">
        <v>49</v>
      </c>
      <c r="G929" s="1">
        <v>66.0</v>
      </c>
      <c r="H929" s="1" t="s">
        <v>50</v>
      </c>
      <c r="I929" s="1">
        <v>10.0</v>
      </c>
      <c r="J929" s="1">
        <v>5.0</v>
      </c>
      <c r="K929" s="1">
        <v>5.0</v>
      </c>
      <c r="L929" s="1">
        <v>5.0</v>
      </c>
      <c r="M929" s="1">
        <v>5.0</v>
      </c>
      <c r="N929" s="1" t="s">
        <v>51</v>
      </c>
      <c r="O929" s="1">
        <v>13.0</v>
      </c>
      <c r="P929" s="1">
        <v>9.0</v>
      </c>
      <c r="Q929" s="1">
        <v>4.0</v>
      </c>
      <c r="R929" s="1">
        <v>4.0</v>
      </c>
      <c r="S929" s="1">
        <v>1.0</v>
      </c>
      <c r="T929" s="1" t="s">
        <v>52</v>
      </c>
      <c r="U929" s="1">
        <v>7.0</v>
      </c>
      <c r="V929" s="1">
        <v>4.0</v>
      </c>
      <c r="W929" s="1">
        <v>1.0</v>
      </c>
      <c r="X929" s="1">
        <v>3.0</v>
      </c>
      <c r="Y929" s="1">
        <v>2.0</v>
      </c>
      <c r="Z929" s="1" t="s">
        <v>53</v>
      </c>
      <c r="AA929" s="1">
        <v>7.0</v>
      </c>
      <c r="AB929" s="1">
        <v>3.0</v>
      </c>
      <c r="AC929" s="1">
        <v>2.0</v>
      </c>
      <c r="AD929" s="1">
        <v>4.0</v>
      </c>
      <c r="AE929" s="1">
        <v>3.0</v>
      </c>
      <c r="AF929" s="1" t="s">
        <v>54</v>
      </c>
      <c r="AG929" s="1">
        <v>5.0</v>
      </c>
      <c r="AH929" s="1">
        <v>1.0</v>
      </c>
      <c r="AI929" s="1">
        <v>1.0</v>
      </c>
      <c r="AJ929" s="1">
        <v>4.0</v>
      </c>
      <c r="AK929" s="1" t="s">
        <v>55</v>
      </c>
      <c r="AL929" s="1">
        <v>24.0</v>
      </c>
      <c r="AM929" s="1">
        <v>10.0</v>
      </c>
      <c r="AN929" s="1">
        <v>32.0</v>
      </c>
      <c r="AO929" s="1">
        <v>32.0</v>
      </c>
      <c r="AP929" s="1" t="s">
        <v>4557</v>
      </c>
      <c r="AQ929" s="3" t="str">
        <f>HYPERLINK("https://icf.clappia.com/app/GMB253374/submission/UAL61708653/ICF247370-GMB253374-1jdkne8e4jkn20000000/SIG-20250630_121310l4l.jpeg", "SIG-20250630_121310l4l.jpeg")</f>
        <v>SIG-20250630_121310l4l.jpeg</v>
      </c>
      <c r="AR929" s="1" t="s">
        <v>887</v>
      </c>
      <c r="AS929" s="3" t="str">
        <f>HYPERLINK("https://icf.clappia.com/app/GMB253374/submission/UAL61708653/ICF247370-GMB253374-61cf5ee396km000000/SIG-20250630_121416b0fd.jpeg", "SIG-20250630_121416b0fd.jpeg")</f>
        <v>SIG-20250630_121416b0fd.jpeg</v>
      </c>
      <c r="AT929" s="1" t="s">
        <v>3359</v>
      </c>
      <c r="AU929" s="3" t="str">
        <f>HYPERLINK("https://icf.clappia.com/app/GMB253374/submission/UAL61708653/ICF247370-GMB253374-675bdd3l86n600000000/SIG-20250630_1218mmll9.jpeg", "SIG-20250630_1218mmll9.jpeg")</f>
        <v>SIG-20250630_1218mmll9.jpeg</v>
      </c>
      <c r="AV929" s="3" t="str">
        <f>HYPERLINK("https://www.google.com/maps/place/7.9474455%2C-11.6825576", "7.9474455,-11.6825576")</f>
        <v>7.9474455,-11.6825576</v>
      </c>
    </row>
    <row r="930" ht="15.75" customHeight="1">
      <c r="A930" s="1" t="s">
        <v>4558</v>
      </c>
      <c r="B930" s="1" t="s">
        <v>438</v>
      </c>
      <c r="C930" s="1" t="s">
        <v>4559</v>
      </c>
      <c r="D930" s="1" t="s">
        <v>4559</v>
      </c>
      <c r="E930" s="1" t="s">
        <v>4560</v>
      </c>
      <c r="F930" s="1" t="s">
        <v>64</v>
      </c>
      <c r="G930" s="1">
        <v>150.0</v>
      </c>
      <c r="H930" s="1" t="s">
        <v>50</v>
      </c>
      <c r="I930" s="1">
        <v>68.0</v>
      </c>
      <c r="J930" s="1">
        <v>35.0</v>
      </c>
      <c r="K930" s="1">
        <v>25.0</v>
      </c>
      <c r="L930" s="1">
        <v>33.0</v>
      </c>
      <c r="M930" s="1">
        <v>24.0</v>
      </c>
      <c r="N930" s="1" t="s">
        <v>51</v>
      </c>
      <c r="O930" s="1">
        <v>60.0</v>
      </c>
      <c r="P930" s="1">
        <v>31.0</v>
      </c>
      <c r="Q930" s="1">
        <v>20.0</v>
      </c>
      <c r="R930" s="1">
        <v>29.0</v>
      </c>
      <c r="S930" s="1">
        <v>18.0</v>
      </c>
      <c r="T930" s="1" t="s">
        <v>52</v>
      </c>
      <c r="U930" s="1">
        <v>53.0</v>
      </c>
      <c r="V930" s="1">
        <v>28.0</v>
      </c>
      <c r="W930" s="1">
        <v>18.0</v>
      </c>
      <c r="X930" s="1">
        <v>25.0</v>
      </c>
      <c r="Y930" s="1">
        <v>16.0</v>
      </c>
      <c r="Z930" s="1" t="s">
        <v>53</v>
      </c>
      <c r="AA930" s="1">
        <v>44.0</v>
      </c>
      <c r="AB930" s="1">
        <v>25.0</v>
      </c>
      <c r="AC930" s="1">
        <v>8.0</v>
      </c>
      <c r="AD930" s="1">
        <v>19.0</v>
      </c>
      <c r="AE930" s="1">
        <v>4.0</v>
      </c>
      <c r="AF930" s="1" t="s">
        <v>54</v>
      </c>
      <c r="AG930" s="1">
        <v>34.0</v>
      </c>
      <c r="AH930" s="1">
        <v>18.0</v>
      </c>
      <c r="AI930" s="1">
        <v>10.0</v>
      </c>
      <c r="AJ930" s="1">
        <v>16.0</v>
      </c>
      <c r="AK930" s="1">
        <v>7.0</v>
      </c>
      <c r="AL930" s="1">
        <v>150.0</v>
      </c>
      <c r="AM930" s="1" t="s">
        <v>55</v>
      </c>
      <c r="AN930" s="1" t="s">
        <v>55</v>
      </c>
      <c r="AO930" s="1" t="s">
        <v>55</v>
      </c>
      <c r="AP930" s="1" t="s">
        <v>4561</v>
      </c>
      <c r="AQ930" s="3" t="str">
        <f>HYPERLINK("https://icf.clappia.com/app/GMB253374/submission/ZFJ65860817/ICF247370-GMB253374-24861f4ja20480000000/SIG-20250630_1213pke54.jpeg", "SIG-20250630_1213pke54.jpeg")</f>
        <v>SIG-20250630_1213pke54.jpeg</v>
      </c>
      <c r="AR930" s="1" t="s">
        <v>4562</v>
      </c>
      <c r="AS930" s="3" t="str">
        <f>HYPERLINK("https://icf.clappia.com/app/GMB253374/submission/ZFJ65860817/ICF247370-GMB253374-2m4b5opaaohi00000000/SIG-20250630_1214ge8ka.jpeg", "SIG-20250630_1214ge8ka.jpeg")</f>
        <v>SIG-20250630_1214ge8ka.jpeg</v>
      </c>
      <c r="AT930" s="1" t="s">
        <v>4563</v>
      </c>
      <c r="AU930" s="3" t="str">
        <f>HYPERLINK("https://icf.clappia.com/app/GMB253374/submission/ZFJ65860817/ICF247370-GMB253374-llchfk3c47520000000/SIG-20250630_121715fikh.jpeg", "SIG-20250630_121715fikh.jpeg")</f>
        <v>SIG-20250630_121715fikh.jpeg</v>
      </c>
      <c r="AV930" s="3" t="str">
        <f>HYPERLINK("https://www.google.com/maps/place/7.439225%2C-11.8886374", "7.439225,-11.8886374")</f>
        <v>7.439225,-11.8886374</v>
      </c>
    </row>
    <row r="931" ht="15.75" customHeight="1">
      <c r="A931" s="1" t="s">
        <v>4564</v>
      </c>
      <c r="B931" s="1" t="s">
        <v>60</v>
      </c>
      <c r="C931" s="1" t="s">
        <v>4565</v>
      </c>
      <c r="D931" s="1" t="s">
        <v>4565</v>
      </c>
      <c r="E931" s="1" t="s">
        <v>4566</v>
      </c>
      <c r="F931" s="1" t="s">
        <v>49</v>
      </c>
      <c r="G931" s="1">
        <v>150.0</v>
      </c>
      <c r="H931" s="1" t="s">
        <v>50</v>
      </c>
      <c r="I931" s="1">
        <v>43.0</v>
      </c>
      <c r="J931" s="1">
        <v>25.0</v>
      </c>
      <c r="K931" s="1">
        <v>19.0</v>
      </c>
      <c r="L931" s="1">
        <v>18.0</v>
      </c>
      <c r="M931" s="1">
        <v>16.0</v>
      </c>
      <c r="N931" s="1" t="s">
        <v>51</v>
      </c>
      <c r="O931" s="1">
        <v>34.0</v>
      </c>
      <c r="P931" s="1">
        <v>18.0</v>
      </c>
      <c r="Q931" s="1">
        <v>18.0</v>
      </c>
      <c r="R931" s="1">
        <v>16.0</v>
      </c>
      <c r="S931" s="1">
        <v>16.0</v>
      </c>
      <c r="T931" s="1" t="s">
        <v>52</v>
      </c>
      <c r="U931" s="1">
        <v>18.0</v>
      </c>
      <c r="V931" s="1">
        <v>7.0</v>
      </c>
      <c r="W931" s="1">
        <v>7.0</v>
      </c>
      <c r="X931" s="1">
        <v>11.0</v>
      </c>
      <c r="Y931" s="1">
        <v>11.0</v>
      </c>
      <c r="Z931" s="1" t="s">
        <v>53</v>
      </c>
      <c r="AA931" s="1">
        <v>6.0</v>
      </c>
      <c r="AB931" s="1">
        <v>2.0</v>
      </c>
      <c r="AC931" s="1">
        <v>2.0</v>
      </c>
      <c r="AD931" s="1">
        <v>4.0</v>
      </c>
      <c r="AE931" s="1">
        <v>3.0</v>
      </c>
      <c r="AF931" s="1" t="s">
        <v>54</v>
      </c>
      <c r="AG931" s="1">
        <v>14.0</v>
      </c>
      <c r="AH931" s="1">
        <v>7.0</v>
      </c>
      <c r="AI931" s="1">
        <v>7.0</v>
      </c>
      <c r="AJ931" s="1">
        <v>7.0</v>
      </c>
      <c r="AK931" s="1">
        <v>6.0</v>
      </c>
      <c r="AL931" s="1">
        <v>105.0</v>
      </c>
      <c r="AM931" s="1">
        <v>10.0</v>
      </c>
      <c r="AN931" s="1">
        <v>35.0</v>
      </c>
      <c r="AO931" s="1">
        <v>35.0</v>
      </c>
      <c r="AP931" s="1" t="s">
        <v>1349</v>
      </c>
      <c r="AQ931" s="3" t="str">
        <f>HYPERLINK("https://icf.clappia.com/app/GMB253374/submission/SSQ62369537/ICF247370-GMB253374-i4i8b5n5aohe0000000/SIG-20250630_1100dggje.jpeg", "SIG-20250630_1100dggje.jpeg")</f>
        <v>SIG-20250630_1100dggje.jpeg</v>
      </c>
      <c r="AR931" s="1" t="s">
        <v>1350</v>
      </c>
      <c r="AS931" s="3" t="str">
        <f>HYPERLINK("https://icf.clappia.com/app/GMB253374/submission/SSQ62369537/ICF247370-GMB253374-3ld3mi7jld1c00000000/SIG-20250630_11001n815.jpeg", "SIG-20250630_11001n815.jpeg")</f>
        <v>SIG-20250630_11001n815.jpeg</v>
      </c>
      <c r="AT931" s="1" t="s">
        <v>4567</v>
      </c>
      <c r="AU931" s="3" t="str">
        <f>HYPERLINK("https://icf.clappia.com/app/GMB253374/submission/SSQ62369537/ICF247370-GMB253374-4o2lapkae6oa00000000/SIG-20250630_1101e2ph8.jpeg", "SIG-20250630_1101e2ph8.jpeg")</f>
        <v>SIG-20250630_1101e2ph8.jpeg</v>
      </c>
      <c r="AV931" s="3" t="str">
        <f>HYPERLINK("https://www.google.com/maps/place/9.0299533%2C-12.15762", "9.0299533,-12.15762")</f>
        <v>9.0299533,-12.15762</v>
      </c>
    </row>
    <row r="932" ht="15.75" customHeight="1">
      <c r="A932" s="1" t="s">
        <v>4568</v>
      </c>
      <c r="B932" s="1" t="s">
        <v>1521</v>
      </c>
      <c r="C932" s="1" t="s">
        <v>4569</v>
      </c>
      <c r="D932" s="1" t="s">
        <v>4569</v>
      </c>
      <c r="E932" s="1" t="s">
        <v>4570</v>
      </c>
      <c r="F932" s="1" t="s">
        <v>64</v>
      </c>
      <c r="G932" s="1">
        <v>76.0</v>
      </c>
      <c r="H932" s="1" t="s">
        <v>50</v>
      </c>
      <c r="I932" s="1">
        <v>17.0</v>
      </c>
      <c r="J932" s="1">
        <v>8.0</v>
      </c>
      <c r="K932" s="1">
        <v>8.0</v>
      </c>
      <c r="L932" s="1">
        <v>9.0</v>
      </c>
      <c r="M932" s="1">
        <v>9.0</v>
      </c>
      <c r="N932" s="1" t="s">
        <v>51</v>
      </c>
      <c r="O932" s="1">
        <v>23.0</v>
      </c>
      <c r="P932" s="1">
        <v>13.0</v>
      </c>
      <c r="Q932" s="1">
        <v>13.0</v>
      </c>
      <c r="R932" s="1">
        <v>10.0</v>
      </c>
      <c r="S932" s="1">
        <v>10.0</v>
      </c>
      <c r="T932" s="1" t="s">
        <v>52</v>
      </c>
      <c r="U932" s="1">
        <v>12.0</v>
      </c>
      <c r="V932" s="1">
        <v>7.0</v>
      </c>
      <c r="W932" s="1">
        <v>7.0</v>
      </c>
      <c r="X932" s="1">
        <v>5.0</v>
      </c>
      <c r="Y932" s="1">
        <v>5.0</v>
      </c>
      <c r="Z932" s="1" t="s">
        <v>53</v>
      </c>
      <c r="AA932" s="1">
        <v>13.0</v>
      </c>
      <c r="AB932" s="1">
        <v>5.0</v>
      </c>
      <c r="AC932" s="1">
        <v>5.0</v>
      </c>
      <c r="AD932" s="1">
        <v>8.0</v>
      </c>
      <c r="AE932" s="1">
        <v>8.0</v>
      </c>
      <c r="AF932" s="1" t="s">
        <v>54</v>
      </c>
      <c r="AG932" s="1">
        <v>11.0</v>
      </c>
      <c r="AH932" s="1">
        <v>6.0</v>
      </c>
      <c r="AI932" s="1">
        <v>6.0</v>
      </c>
      <c r="AJ932" s="1">
        <v>5.0</v>
      </c>
      <c r="AK932" s="1">
        <v>5.0</v>
      </c>
      <c r="AL932" s="1">
        <v>76.0</v>
      </c>
      <c r="AM932" s="1" t="s">
        <v>55</v>
      </c>
      <c r="AN932" s="1" t="s">
        <v>55</v>
      </c>
      <c r="AO932" s="1" t="s">
        <v>55</v>
      </c>
      <c r="AP932" s="1" t="s">
        <v>4571</v>
      </c>
      <c r="AQ932" s="3" t="str">
        <f>HYPERLINK("https://icf.clappia.com/app/GMB253374/submission/DEW52932994/ICF247370-GMB253374-2olb2684maic00000000/SIG-20250630_09517f36l.jpeg", "SIG-20250630_09517f36l.jpeg")</f>
        <v>SIG-20250630_09517f36l.jpeg</v>
      </c>
      <c r="AR932" s="1" t="s">
        <v>4572</v>
      </c>
      <c r="AS932" s="3" t="str">
        <f>HYPERLINK("https://icf.clappia.com/app/GMB253374/submission/DEW52932994/ICF247370-GMB253374-42jod7eipb7000000000/SIG-20250630_0952e4o0f.jpeg", "SIG-20250630_0952e4o0f.jpeg")</f>
        <v>SIG-20250630_0952e4o0f.jpeg</v>
      </c>
      <c r="AT932" s="1" t="s">
        <v>4573</v>
      </c>
      <c r="AU932" s="3" t="str">
        <f>HYPERLINK("https://icf.clappia.com/app/GMB253374/submission/DEW52932994/ICF247370-GMB253374-48c7om0c6hpm00000000/SIG-20250630_110610o59p.jpeg", "SIG-20250630_110610o59p.jpeg")</f>
        <v>SIG-20250630_110610o59p.jpeg</v>
      </c>
      <c r="AV932" s="3" t="str">
        <f>HYPERLINK("https://www.google.com/maps/place/7.991295%2C-11.86878", "7.991295,-11.86878")</f>
        <v>7.991295,-11.86878</v>
      </c>
    </row>
    <row r="933" ht="15.75" customHeight="1">
      <c r="A933" s="1" t="s">
        <v>4574</v>
      </c>
      <c r="B933" s="1" t="s">
        <v>349</v>
      </c>
      <c r="C933" s="1" t="s">
        <v>4575</v>
      </c>
      <c r="D933" s="1" t="s">
        <v>4575</v>
      </c>
      <c r="E933" s="1" t="s">
        <v>4576</v>
      </c>
      <c r="F933" s="1" t="s">
        <v>64</v>
      </c>
      <c r="G933" s="1">
        <v>165.0</v>
      </c>
      <c r="H933" s="1" t="s">
        <v>50</v>
      </c>
      <c r="I933" s="1">
        <v>60.0</v>
      </c>
      <c r="J933" s="1">
        <v>35.0</v>
      </c>
      <c r="K933" s="1">
        <v>31.0</v>
      </c>
      <c r="L933" s="1">
        <v>25.0</v>
      </c>
      <c r="M933" s="1">
        <v>18.0</v>
      </c>
      <c r="N933" s="1" t="s">
        <v>51</v>
      </c>
      <c r="O933" s="1">
        <v>36.0</v>
      </c>
      <c r="P933" s="1">
        <v>19.0</v>
      </c>
      <c r="Q933" s="1">
        <v>15.0</v>
      </c>
      <c r="R933" s="1">
        <v>17.0</v>
      </c>
      <c r="S933" s="1">
        <v>7.0</v>
      </c>
      <c r="T933" s="1" t="s">
        <v>52</v>
      </c>
      <c r="U933" s="1">
        <v>47.0</v>
      </c>
      <c r="V933" s="1">
        <v>25.0</v>
      </c>
      <c r="W933" s="1">
        <v>15.0</v>
      </c>
      <c r="X933" s="1">
        <v>22.0</v>
      </c>
      <c r="Y933" s="1">
        <v>22.0</v>
      </c>
      <c r="Z933" s="1" t="s">
        <v>53</v>
      </c>
      <c r="AA933" s="1">
        <v>32.0</v>
      </c>
      <c r="AB933" s="1">
        <v>16.0</v>
      </c>
      <c r="AC933" s="1">
        <v>14.0</v>
      </c>
      <c r="AD933" s="1">
        <v>16.0</v>
      </c>
      <c r="AE933" s="1">
        <v>14.0</v>
      </c>
      <c r="AF933" s="1" t="s">
        <v>54</v>
      </c>
      <c r="AG933" s="1">
        <v>13.0</v>
      </c>
      <c r="AH933" s="1">
        <v>5.0</v>
      </c>
      <c r="AI933" s="1">
        <v>5.0</v>
      </c>
      <c r="AJ933" s="1">
        <v>8.0</v>
      </c>
      <c r="AK933" s="1">
        <v>8.0</v>
      </c>
      <c r="AL933" s="1">
        <v>149.0</v>
      </c>
      <c r="AM933" s="1" t="s">
        <v>55</v>
      </c>
      <c r="AN933" s="1">
        <v>16.0</v>
      </c>
      <c r="AO933" s="1">
        <v>16.0</v>
      </c>
      <c r="AP933" s="1" t="s">
        <v>4577</v>
      </c>
      <c r="AQ933" s="3" t="str">
        <f>HYPERLINK("https://icf.clappia.com/app/GMB253374/submission/LVH98427672/ICF247370-GMB253374-5n7816hdmhg400000000/SIG-20250630_12018pnc6.jpeg", "SIG-20250630_12018pnc6.jpeg")</f>
        <v>SIG-20250630_12018pnc6.jpeg</v>
      </c>
      <c r="AR933" s="1" t="s">
        <v>3472</v>
      </c>
      <c r="AS933" s="3" t="str">
        <f>HYPERLINK("https://icf.clappia.com/app/GMB253374/submission/LVH98427672/ICF247370-GMB253374-3af9ppd4629600000000/SIG-20250630_1204jak1f.jpeg", "SIG-20250630_1204jak1f.jpeg")</f>
        <v>SIG-20250630_1204jak1f.jpeg</v>
      </c>
      <c r="AT933" s="1" t="s">
        <v>4578</v>
      </c>
      <c r="AU933" s="3" t="str">
        <f>HYPERLINK("https://icf.clappia.com/app/GMB253374/submission/LVH98427672/ICF247370-GMB253374-5cp7o9c7m10800000000/SIG-20250630_120610h455.jpeg", "SIG-20250630_120610h455.jpeg")</f>
        <v>SIG-20250630_120610h455.jpeg</v>
      </c>
      <c r="AV933" s="3" t="str">
        <f>HYPERLINK("https://www.google.com/maps/place/9.0177183%2C-12.0442283", "9.0177183,-12.0442283")</f>
        <v>9.0177183,-12.0442283</v>
      </c>
    </row>
    <row r="934" ht="15.75" customHeight="1">
      <c r="A934" s="1" t="s">
        <v>4579</v>
      </c>
      <c r="B934" s="1" t="s">
        <v>69</v>
      </c>
      <c r="C934" s="1" t="s">
        <v>4575</v>
      </c>
      <c r="D934" s="1" t="s">
        <v>4575</v>
      </c>
      <c r="E934" s="1" t="s">
        <v>4580</v>
      </c>
      <c r="F934" s="1" t="s">
        <v>64</v>
      </c>
      <c r="G934" s="1">
        <v>200.0</v>
      </c>
      <c r="H934" s="1" t="s">
        <v>50</v>
      </c>
      <c r="I934" s="1">
        <v>55.0</v>
      </c>
      <c r="J934" s="1">
        <v>25.0</v>
      </c>
      <c r="K934" s="1">
        <v>14.0</v>
      </c>
      <c r="L934" s="1">
        <v>30.0</v>
      </c>
      <c r="M934" s="1">
        <v>18.0</v>
      </c>
      <c r="N934" s="1" t="s">
        <v>51</v>
      </c>
      <c r="O934" s="1">
        <v>50.0</v>
      </c>
      <c r="P934" s="1">
        <v>20.0</v>
      </c>
      <c r="Q934" s="1">
        <v>10.0</v>
      </c>
      <c r="R934" s="1">
        <v>30.0</v>
      </c>
      <c r="S934" s="1">
        <v>10.0</v>
      </c>
      <c r="T934" s="1" t="s">
        <v>52</v>
      </c>
      <c r="U934" s="1">
        <v>37.0</v>
      </c>
      <c r="V934" s="1">
        <v>27.0</v>
      </c>
      <c r="W934" s="1">
        <v>7.0</v>
      </c>
      <c r="X934" s="1">
        <v>10.0</v>
      </c>
      <c r="Y934" s="1">
        <v>6.0</v>
      </c>
      <c r="Z934" s="1" t="s">
        <v>53</v>
      </c>
      <c r="AA934" s="1">
        <v>20.0</v>
      </c>
      <c r="AB934" s="1">
        <v>8.0</v>
      </c>
      <c r="AC934" s="1">
        <v>5.0</v>
      </c>
      <c r="AD934" s="1">
        <v>12.0</v>
      </c>
      <c r="AE934" s="1">
        <v>9.0</v>
      </c>
      <c r="AF934" s="1" t="s">
        <v>54</v>
      </c>
      <c r="AG934" s="1">
        <v>15.0</v>
      </c>
      <c r="AH934" s="1">
        <v>7.0</v>
      </c>
      <c r="AI934" s="1">
        <v>5.0</v>
      </c>
      <c r="AJ934" s="1">
        <v>8.0</v>
      </c>
      <c r="AK934" s="1">
        <v>6.0</v>
      </c>
      <c r="AL934" s="1">
        <v>90.0</v>
      </c>
      <c r="AM934" s="1">
        <v>10.0</v>
      </c>
      <c r="AN934" s="1">
        <v>100.0</v>
      </c>
      <c r="AO934" s="1">
        <v>100.0</v>
      </c>
      <c r="AP934" s="1" t="s">
        <v>3647</v>
      </c>
      <c r="AQ934" s="3" t="str">
        <f>HYPERLINK("https://icf.clappia.com/app/GMB253374/submission/UOJ36407166/ICF247370-GMB253374-3j3604emc1a200000000/SIG-20250630_115914go2b.jpeg", "SIG-20250630_115914go2b.jpeg")</f>
        <v>SIG-20250630_115914go2b.jpeg</v>
      </c>
      <c r="AR934" s="1" t="s">
        <v>4581</v>
      </c>
      <c r="AS934" s="3" t="str">
        <f>HYPERLINK("https://icf.clappia.com/app/GMB253374/submission/UOJ36407166/ICF247370-GMB253374-52j8lpkaejk000000000/SIG-20250630_1159c86na.jpeg", "SIG-20250630_1159c86na.jpeg")</f>
        <v>SIG-20250630_1159c86na.jpeg</v>
      </c>
      <c r="AT934" s="1" t="s">
        <v>3649</v>
      </c>
      <c r="AU934" s="3" t="str">
        <f>HYPERLINK("https://icf.clappia.com/app/GMB253374/submission/UOJ36407166/ICF247370-GMB253374-672j4daf89k800000000/SIG-20250630_12069841l.jpeg", "SIG-20250630_12069841l.jpeg")</f>
        <v>SIG-20250630_12069841l.jpeg</v>
      </c>
      <c r="AV934" s="3" t="str">
        <f>HYPERLINK("https://www.google.com/maps/place/8.87714%2C-12.0952533", "8.87714,-12.0952533")</f>
        <v>8.87714,-12.0952533</v>
      </c>
    </row>
    <row r="935" ht="15.75" customHeight="1">
      <c r="A935" s="1" t="s">
        <v>4582</v>
      </c>
      <c r="B935" s="1" t="s">
        <v>167</v>
      </c>
      <c r="C935" s="1" t="s">
        <v>4583</v>
      </c>
      <c r="D935" s="1" t="s">
        <v>4583</v>
      </c>
      <c r="E935" s="1" t="s">
        <v>4584</v>
      </c>
      <c r="F935" s="1" t="s">
        <v>64</v>
      </c>
      <c r="G935" s="1">
        <v>154.0</v>
      </c>
      <c r="H935" s="1" t="s">
        <v>50</v>
      </c>
      <c r="I935" s="1">
        <v>43.0</v>
      </c>
      <c r="J935" s="1">
        <v>20.0</v>
      </c>
      <c r="K935" s="1">
        <v>20.0</v>
      </c>
      <c r="L935" s="1">
        <v>23.0</v>
      </c>
      <c r="M935" s="1">
        <v>23.0</v>
      </c>
      <c r="N935" s="1" t="s">
        <v>51</v>
      </c>
      <c r="O935" s="1">
        <v>35.0</v>
      </c>
      <c r="P935" s="1">
        <v>17.0</v>
      </c>
      <c r="Q935" s="1">
        <v>17.0</v>
      </c>
      <c r="R935" s="1">
        <v>18.0</v>
      </c>
      <c r="S935" s="1">
        <v>18.0</v>
      </c>
      <c r="T935" s="1" t="s">
        <v>52</v>
      </c>
      <c r="U935" s="1">
        <v>32.0</v>
      </c>
      <c r="V935" s="1">
        <v>12.0</v>
      </c>
      <c r="W935" s="1">
        <v>12.0</v>
      </c>
      <c r="X935" s="1">
        <v>20.0</v>
      </c>
      <c r="Y935" s="1">
        <v>20.0</v>
      </c>
      <c r="Z935" s="1" t="s">
        <v>53</v>
      </c>
      <c r="AA935" s="1">
        <v>24.0</v>
      </c>
      <c r="AB935" s="1">
        <v>10.0</v>
      </c>
      <c r="AC935" s="1">
        <v>10.0</v>
      </c>
      <c r="AD935" s="1">
        <v>14.0</v>
      </c>
      <c r="AE935" s="1">
        <v>14.0</v>
      </c>
      <c r="AF935" s="1" t="s">
        <v>54</v>
      </c>
      <c r="AG935" s="1">
        <v>20.0</v>
      </c>
      <c r="AH935" s="1">
        <v>10.0</v>
      </c>
      <c r="AI935" s="1">
        <v>10.0</v>
      </c>
      <c r="AJ935" s="1">
        <v>10.0</v>
      </c>
      <c r="AK935" s="1">
        <v>10.0</v>
      </c>
      <c r="AL935" s="1">
        <v>154.0</v>
      </c>
      <c r="AM935" s="1" t="s">
        <v>55</v>
      </c>
      <c r="AN935" s="1" t="s">
        <v>55</v>
      </c>
      <c r="AO935" s="1" t="s">
        <v>55</v>
      </c>
      <c r="AP935" s="1" t="s">
        <v>4585</v>
      </c>
      <c r="AQ935" s="3" t="str">
        <f>HYPERLINK("https://icf.clappia.com/app/GMB253374/submission/IAB95995918/ICF247370-GMB253374-3fj48po403b400000000/SIG-20250630_1039aaoii.jpeg", "SIG-20250630_1039aaoii.jpeg")</f>
        <v>SIG-20250630_1039aaoii.jpeg</v>
      </c>
      <c r="AR935" s="1" t="s">
        <v>4586</v>
      </c>
      <c r="AS935" s="3" t="str">
        <f>HYPERLINK("https://icf.clappia.com/app/GMB253374/submission/IAB95995918/ICF247370-GMB253374-hkla5cg5p81e0000000/SIG-20250630_1039dfh8g.jpeg", "SIG-20250630_1039dfh8g.jpeg")</f>
        <v>SIG-20250630_1039dfh8g.jpeg</v>
      </c>
      <c r="AT935" s="1" t="s">
        <v>4587</v>
      </c>
      <c r="AU935" s="3" t="str">
        <f>HYPERLINK("https://icf.clappia.com/app/GMB253374/submission/IAB95995918/ICF247370-GMB253374-26l4p83c7p43a0000000/SIG-20250630_1042akkeb.jpeg", "SIG-20250630_1042akkeb.jpeg")</f>
        <v>SIG-20250630_1042akkeb.jpeg</v>
      </c>
      <c r="AV935" s="3" t="str">
        <f>HYPERLINK("https://www.google.com/maps/place/7.86584%2C-11.706605", "7.86584,-11.706605")</f>
        <v>7.86584,-11.706605</v>
      </c>
    </row>
    <row r="936" ht="15.75" customHeight="1">
      <c r="A936" s="1" t="s">
        <v>4588</v>
      </c>
      <c r="B936" s="1" t="s">
        <v>167</v>
      </c>
      <c r="C936" s="1" t="s">
        <v>4589</v>
      </c>
      <c r="D936" s="1" t="s">
        <v>4589</v>
      </c>
      <c r="E936" s="1" t="s">
        <v>4590</v>
      </c>
      <c r="F936" s="1" t="s">
        <v>49</v>
      </c>
      <c r="G936" s="1">
        <v>140.0</v>
      </c>
      <c r="H936" s="1" t="s">
        <v>50</v>
      </c>
      <c r="I936" s="1">
        <v>25.0</v>
      </c>
      <c r="J936" s="1">
        <v>12.0</v>
      </c>
      <c r="K936" s="1">
        <v>12.0</v>
      </c>
      <c r="L936" s="1">
        <v>13.0</v>
      </c>
      <c r="M936" s="1">
        <v>13.0</v>
      </c>
      <c r="N936" s="1" t="s">
        <v>51</v>
      </c>
      <c r="O936" s="1">
        <v>35.0</v>
      </c>
      <c r="P936" s="1">
        <v>20.0</v>
      </c>
      <c r="Q936" s="1">
        <v>20.0</v>
      </c>
      <c r="R936" s="1">
        <v>15.0</v>
      </c>
      <c r="S936" s="1">
        <v>15.0</v>
      </c>
      <c r="T936" s="1" t="s">
        <v>52</v>
      </c>
      <c r="U936" s="1">
        <v>30.0</v>
      </c>
      <c r="V936" s="1">
        <v>10.0</v>
      </c>
      <c r="W936" s="1">
        <v>10.0</v>
      </c>
      <c r="X936" s="1">
        <v>20.0</v>
      </c>
      <c r="Y936" s="1">
        <v>20.0</v>
      </c>
      <c r="Z936" s="1" t="s">
        <v>53</v>
      </c>
      <c r="AA936" s="1">
        <v>25.0</v>
      </c>
      <c r="AB936" s="1">
        <v>15.0</v>
      </c>
      <c r="AC936" s="1">
        <v>15.0</v>
      </c>
      <c r="AD936" s="1">
        <v>10.0</v>
      </c>
      <c r="AE936" s="1">
        <v>10.0</v>
      </c>
      <c r="AF936" s="1" t="s">
        <v>54</v>
      </c>
      <c r="AG936" s="1">
        <v>25.0</v>
      </c>
      <c r="AH936" s="1">
        <v>15.0</v>
      </c>
      <c r="AI936" s="1">
        <v>15.0</v>
      </c>
      <c r="AJ936" s="1">
        <v>10.0</v>
      </c>
      <c r="AK936" s="1">
        <v>10.0</v>
      </c>
      <c r="AL936" s="1">
        <v>140.0</v>
      </c>
      <c r="AM936" s="1" t="s">
        <v>55</v>
      </c>
      <c r="AN936" s="1" t="s">
        <v>55</v>
      </c>
      <c r="AO936" s="1" t="s">
        <v>55</v>
      </c>
      <c r="AP936" s="1" t="s">
        <v>4591</v>
      </c>
      <c r="AQ936" s="3" t="str">
        <f>HYPERLINK("https://icf.clappia.com/app/GMB253374/submission/TAR58962652/ICF247370-GMB253374-1lggc8mcai4pg0000000/SIG-20250630_10413g23f.jpeg", "SIG-20250630_10413g23f.jpeg")</f>
        <v>SIG-20250630_10413g23f.jpeg</v>
      </c>
      <c r="AR936" s="1" t="s">
        <v>4592</v>
      </c>
      <c r="AS936" s="3" t="str">
        <f>HYPERLINK("https://icf.clappia.com/app/GMB253374/submission/TAR58962652/ICF247370-GMB253374-i8io46fhom0o0000000/SIG-20250630_1041jh982.jpeg", "SIG-20250630_1041jh982.jpeg")</f>
        <v>SIG-20250630_1041jh982.jpeg</v>
      </c>
      <c r="AT936" s="1" t="s">
        <v>4593</v>
      </c>
      <c r="AU936" s="3" t="str">
        <f>HYPERLINK("https://icf.clappia.com/app/GMB253374/submission/TAR58962652/ICF247370-GMB253374-60i8omd7nde000000000/SIG-20250630_1049gapi4.jpeg", "SIG-20250630_1049gapi4.jpeg")</f>
        <v>SIG-20250630_1049gapi4.jpeg</v>
      </c>
      <c r="AV936" s="3" t="str">
        <f>HYPERLINK("https://www.google.com/maps/place/7.9609283%2C-11.7685717", "7.9609283,-11.7685717")</f>
        <v>7.9609283,-11.7685717</v>
      </c>
    </row>
    <row r="937" ht="15.75" customHeight="1">
      <c r="A937" s="1" t="s">
        <v>4594</v>
      </c>
      <c r="B937" s="1" t="s">
        <v>167</v>
      </c>
      <c r="C937" s="1" t="s">
        <v>4589</v>
      </c>
      <c r="D937" s="1" t="s">
        <v>4589</v>
      </c>
      <c r="E937" s="1" t="s">
        <v>4595</v>
      </c>
      <c r="F937" s="1" t="s">
        <v>64</v>
      </c>
      <c r="G937" s="1">
        <v>260.0</v>
      </c>
      <c r="H937" s="1" t="s">
        <v>50</v>
      </c>
      <c r="I937" s="1">
        <v>64.0</v>
      </c>
      <c r="J937" s="1">
        <v>34.0</v>
      </c>
      <c r="K937" s="1">
        <v>31.0</v>
      </c>
      <c r="L937" s="1">
        <v>30.0</v>
      </c>
      <c r="M937" s="1">
        <v>30.0</v>
      </c>
      <c r="N937" s="1" t="s">
        <v>51</v>
      </c>
      <c r="O937" s="1">
        <v>52.0</v>
      </c>
      <c r="P937" s="1">
        <v>28.0</v>
      </c>
      <c r="Q937" s="1">
        <v>26.0</v>
      </c>
      <c r="R937" s="1">
        <v>24.0</v>
      </c>
      <c r="S937" s="1">
        <v>23.0</v>
      </c>
      <c r="T937" s="1" t="s">
        <v>52</v>
      </c>
      <c r="U937" s="1">
        <v>46.0</v>
      </c>
      <c r="V937" s="1">
        <v>22.0</v>
      </c>
      <c r="W937" s="1">
        <v>13.0</v>
      </c>
      <c r="X937" s="1">
        <v>24.0</v>
      </c>
      <c r="Y937" s="1">
        <v>17.0</v>
      </c>
      <c r="Z937" s="1" t="s">
        <v>53</v>
      </c>
      <c r="AA937" s="1">
        <v>41.0</v>
      </c>
      <c r="AB937" s="1">
        <v>21.0</v>
      </c>
      <c r="AC937" s="1">
        <v>20.0</v>
      </c>
      <c r="AD937" s="1">
        <v>20.0</v>
      </c>
      <c r="AE937" s="1">
        <v>16.0</v>
      </c>
      <c r="AF937" s="1" t="s">
        <v>54</v>
      </c>
      <c r="AG937" s="1">
        <v>42.0</v>
      </c>
      <c r="AH937" s="1">
        <v>25.0</v>
      </c>
      <c r="AI937" s="1">
        <v>20.0</v>
      </c>
      <c r="AJ937" s="1">
        <v>17.0</v>
      </c>
      <c r="AK937" s="1">
        <v>14.0</v>
      </c>
      <c r="AL937" s="1">
        <v>210.0</v>
      </c>
      <c r="AM937" s="1" t="s">
        <v>55</v>
      </c>
      <c r="AN937" s="1">
        <v>50.0</v>
      </c>
      <c r="AO937" s="1">
        <v>50.0</v>
      </c>
      <c r="AP937" s="1" t="s">
        <v>937</v>
      </c>
      <c r="AQ937" s="3" t="str">
        <f>HYPERLINK("https://icf.clappia.com/app/GMB253374/submission/BXE49992194/ICF247370-GMB253374-plidmbg0k4bo0000000/SIG-20250630_1157enlld.jpeg", "SIG-20250630_1157enlld.jpeg")</f>
        <v>SIG-20250630_1157enlld.jpeg</v>
      </c>
      <c r="AR937" s="1" t="s">
        <v>938</v>
      </c>
      <c r="AS937" s="3" t="str">
        <f>HYPERLINK("https://icf.clappia.com/app/GMB253374/submission/BXE49992194/ICF247370-GMB253374-cf2hc92595200000000/SIG-20250630_1159bgb32.jpeg", "SIG-20250630_1159bgb32.jpeg")</f>
        <v>SIG-20250630_1159bgb32.jpeg</v>
      </c>
      <c r="AT937" s="1" t="s">
        <v>3698</v>
      </c>
      <c r="AU937" s="3" t="str">
        <f>HYPERLINK("https://icf.clappia.com/app/GMB253374/submission/BXE49992194/ICF247370-GMB253374-19m08pp4ggaf20000000/SIG-20250630_115918pkad.jpeg", "SIG-20250630_115918pkad.jpeg")</f>
        <v>SIG-20250630_115918pkad.jpeg</v>
      </c>
      <c r="AV937" s="3" t="str">
        <f>HYPERLINK("https://www.google.com/maps/place/7.8651519%2C-11.7043539", "7.8651519,-11.7043539")</f>
        <v>7.8651519,-11.7043539</v>
      </c>
    </row>
    <row r="938" ht="15.75" customHeight="1">
      <c r="A938" s="1" t="s">
        <v>4596</v>
      </c>
      <c r="B938" s="1" t="s">
        <v>342</v>
      </c>
      <c r="C938" s="1" t="s">
        <v>4589</v>
      </c>
      <c r="D938" s="1" t="s">
        <v>4589</v>
      </c>
      <c r="E938" s="1" t="s">
        <v>4597</v>
      </c>
      <c r="F938" s="1" t="s">
        <v>64</v>
      </c>
      <c r="G938" s="1">
        <v>150.0</v>
      </c>
      <c r="H938" s="1" t="s">
        <v>50</v>
      </c>
      <c r="I938" s="1">
        <v>57.0</v>
      </c>
      <c r="J938" s="1">
        <v>23.0</v>
      </c>
      <c r="K938" s="1">
        <v>10.0</v>
      </c>
      <c r="L938" s="1">
        <v>34.0</v>
      </c>
      <c r="M938" s="1">
        <v>17.0</v>
      </c>
      <c r="N938" s="1" t="s">
        <v>51</v>
      </c>
      <c r="O938" s="1">
        <v>41.0</v>
      </c>
      <c r="P938" s="1">
        <v>24.0</v>
      </c>
      <c r="Q938" s="1">
        <v>16.0</v>
      </c>
      <c r="R938" s="1">
        <v>17.0</v>
      </c>
      <c r="S938" s="1">
        <v>6.0</v>
      </c>
      <c r="T938" s="1" t="s">
        <v>52</v>
      </c>
      <c r="U938" s="1">
        <v>49.0</v>
      </c>
      <c r="V938" s="1">
        <v>20.0</v>
      </c>
      <c r="W938" s="1">
        <v>11.0</v>
      </c>
      <c r="X938" s="1">
        <v>29.0</v>
      </c>
      <c r="Y938" s="1">
        <v>24.0</v>
      </c>
      <c r="Z938" s="1" t="s">
        <v>53</v>
      </c>
      <c r="AA938" s="1">
        <v>56.0</v>
      </c>
      <c r="AB938" s="1">
        <v>24.0</v>
      </c>
      <c r="AC938" s="1">
        <v>10.0</v>
      </c>
      <c r="AD938" s="1">
        <v>30.0</v>
      </c>
      <c r="AE938" s="1">
        <v>15.0</v>
      </c>
      <c r="AF938" s="1" t="s">
        <v>54</v>
      </c>
      <c r="AG938" s="1">
        <v>50.0</v>
      </c>
      <c r="AH938" s="1">
        <v>24.0</v>
      </c>
      <c r="AI938" s="1">
        <v>20.0</v>
      </c>
      <c r="AJ938" s="1">
        <v>26.0</v>
      </c>
      <c r="AK938" s="1">
        <v>21.0</v>
      </c>
      <c r="AL938" s="1">
        <v>150.0</v>
      </c>
      <c r="AM938" s="1" t="s">
        <v>55</v>
      </c>
      <c r="AN938" s="1" t="s">
        <v>55</v>
      </c>
      <c r="AO938" s="1" t="s">
        <v>55</v>
      </c>
      <c r="AP938" s="1" t="s">
        <v>3187</v>
      </c>
      <c r="AQ938" s="3" t="str">
        <f>HYPERLINK("https://icf.clappia.com/app/GMB253374/submission/MTO06577109/ICF247370-GMB253374-3f50f3g3hdj200000000/SIG-20250630_1149pi68a.jpeg", "SIG-20250630_1149pi68a.jpeg")</f>
        <v>SIG-20250630_1149pi68a.jpeg</v>
      </c>
      <c r="AR938" s="1" t="s">
        <v>3188</v>
      </c>
      <c r="AS938" s="3" t="str">
        <f>HYPERLINK("https://icf.clappia.com/app/GMB253374/submission/MTO06577109/ICF247370-GMB253374-2ki8eanf4j9i00000000/SIG-20250630_1149378f5.jpeg", "SIG-20250630_1149378f5.jpeg")</f>
        <v>SIG-20250630_1149378f5.jpeg</v>
      </c>
      <c r="AT938" s="1" t="s">
        <v>4598</v>
      </c>
      <c r="AU938" s="3" t="str">
        <f>HYPERLINK("https://icf.clappia.com/app/GMB253374/submission/MTO06577109/ICF247370-GMB253374-1ncfl02hn6iak0000000/SIG-20250630_115649ohi.jpeg", "SIG-20250630_115649ohi.jpeg")</f>
        <v>SIG-20250630_115649ohi.jpeg</v>
      </c>
      <c r="AV938" s="3" t="str">
        <f>HYPERLINK("https://www.google.com/maps/place/9.1071179%2C-12.2052686", "9.1071179,-12.2052686")</f>
        <v>9.1071179,-12.2052686</v>
      </c>
    </row>
    <row r="939" ht="15.75" customHeight="1">
      <c r="A939" s="1" t="s">
        <v>4599</v>
      </c>
      <c r="B939" s="1" t="s">
        <v>189</v>
      </c>
      <c r="C939" s="1" t="s">
        <v>4600</v>
      </c>
      <c r="D939" s="1" t="s">
        <v>4600</v>
      </c>
      <c r="E939" s="1" t="s">
        <v>4601</v>
      </c>
      <c r="F939" s="1" t="s">
        <v>64</v>
      </c>
      <c r="G939" s="1">
        <v>168.0</v>
      </c>
      <c r="H939" s="1" t="s">
        <v>50</v>
      </c>
      <c r="I939" s="1">
        <v>28.0</v>
      </c>
      <c r="J939" s="1">
        <v>11.0</v>
      </c>
      <c r="K939" s="1">
        <v>11.0</v>
      </c>
      <c r="L939" s="1">
        <v>17.0</v>
      </c>
      <c r="M939" s="1">
        <v>17.0</v>
      </c>
      <c r="N939" s="1" t="s">
        <v>51</v>
      </c>
      <c r="O939" s="1">
        <v>27.0</v>
      </c>
      <c r="P939" s="1">
        <v>11.0</v>
      </c>
      <c r="Q939" s="1">
        <v>11.0</v>
      </c>
      <c r="R939" s="1">
        <v>16.0</v>
      </c>
      <c r="S939" s="1">
        <v>16.0</v>
      </c>
      <c r="T939" s="1" t="s">
        <v>52</v>
      </c>
      <c r="U939" s="1">
        <v>20.0</v>
      </c>
      <c r="V939" s="1">
        <v>8.0</v>
      </c>
      <c r="W939" s="1">
        <v>8.0</v>
      </c>
      <c r="X939" s="1">
        <v>12.0</v>
      </c>
      <c r="Y939" s="1">
        <v>12.0</v>
      </c>
      <c r="Z939" s="1" t="s">
        <v>53</v>
      </c>
      <c r="AA939" s="1">
        <v>28.0</v>
      </c>
      <c r="AB939" s="1">
        <v>12.0</v>
      </c>
      <c r="AC939" s="1">
        <v>12.0</v>
      </c>
      <c r="AD939" s="1">
        <v>16.0</v>
      </c>
      <c r="AE939" s="1">
        <v>16.0</v>
      </c>
      <c r="AF939" s="1" t="s">
        <v>54</v>
      </c>
      <c r="AG939" s="1">
        <v>17.0</v>
      </c>
      <c r="AH939" s="1">
        <v>9.0</v>
      </c>
      <c r="AI939" s="1">
        <v>9.0</v>
      </c>
      <c r="AJ939" s="1">
        <v>8.0</v>
      </c>
      <c r="AK939" s="1">
        <v>8.0</v>
      </c>
      <c r="AL939" s="1">
        <v>120.0</v>
      </c>
      <c r="AM939" s="1" t="s">
        <v>55</v>
      </c>
      <c r="AN939" s="1">
        <v>48.0</v>
      </c>
      <c r="AO939" s="1">
        <v>48.0</v>
      </c>
      <c r="AP939" s="1" t="s">
        <v>4602</v>
      </c>
      <c r="AQ939" s="3" t="str">
        <f>HYPERLINK("https://icf.clappia.com/app/GMB253374/submission/DGJ92740467/ICF247370-GMB253374-1b98454of51360000000/SIG-20250630_11521glop.jpeg", "SIG-20250630_11521glop.jpeg")</f>
        <v>SIG-20250630_11521glop.jpeg</v>
      </c>
      <c r="AR939" s="1" t="s">
        <v>4603</v>
      </c>
      <c r="AS939" s="3" t="str">
        <f>HYPERLINK("https://icf.clappia.com/app/GMB253374/submission/DGJ92740467/ICF247370-GMB253374-4oobk5k6na0c00000000/SIG-20250630_11521a3i8k.jpeg", "SIG-20250630_11521a3i8k.jpeg")</f>
        <v>SIG-20250630_11521a3i8k.jpeg</v>
      </c>
      <c r="AT939" s="1" t="s">
        <v>4604</v>
      </c>
      <c r="AU939" s="3" t="str">
        <f>HYPERLINK("https://icf.clappia.com/app/GMB253374/submission/DGJ92740467/ICF247370-GMB253374-1104ofcibjiog0000000/SIG-20250630_115496i2o.jpeg", "SIG-20250630_115496i2o.jpeg")</f>
        <v>SIG-20250630_115496i2o.jpeg</v>
      </c>
      <c r="AV939" s="3" t="str">
        <f>HYPERLINK("https://www.google.com/maps/place/8.8917917%2C-12.0475767", "8.8917917,-12.0475767")</f>
        <v>8.8917917,-12.0475767</v>
      </c>
    </row>
    <row r="940" ht="15.75" customHeight="1">
      <c r="A940" s="1" t="s">
        <v>4605</v>
      </c>
      <c r="B940" s="1" t="s">
        <v>81</v>
      </c>
      <c r="C940" s="1" t="s">
        <v>4600</v>
      </c>
      <c r="D940" s="1" t="s">
        <v>4600</v>
      </c>
      <c r="E940" s="1" t="s">
        <v>4606</v>
      </c>
      <c r="F940" s="1" t="s">
        <v>64</v>
      </c>
      <c r="G940" s="1">
        <v>87.0</v>
      </c>
      <c r="H940" s="1" t="s">
        <v>50</v>
      </c>
      <c r="I940" s="1">
        <v>34.0</v>
      </c>
      <c r="J940" s="1">
        <v>16.0</v>
      </c>
      <c r="K940" s="1">
        <v>16.0</v>
      </c>
      <c r="L940" s="1">
        <v>18.0</v>
      </c>
      <c r="M940" s="1">
        <v>18.0</v>
      </c>
      <c r="N940" s="1" t="s">
        <v>51</v>
      </c>
      <c r="O940" s="1">
        <v>13.0</v>
      </c>
      <c r="P940" s="1">
        <v>6.0</v>
      </c>
      <c r="Q940" s="1">
        <v>6.0</v>
      </c>
      <c r="R940" s="1">
        <v>7.0</v>
      </c>
      <c r="S940" s="1">
        <v>7.0</v>
      </c>
      <c r="T940" s="1" t="s">
        <v>52</v>
      </c>
      <c r="U940" s="1">
        <v>13.0</v>
      </c>
      <c r="V940" s="1">
        <v>5.0</v>
      </c>
      <c r="W940" s="1">
        <v>5.0</v>
      </c>
      <c r="X940" s="1">
        <v>8.0</v>
      </c>
      <c r="Y940" s="1">
        <v>8.0</v>
      </c>
      <c r="Z940" s="1" t="s">
        <v>53</v>
      </c>
      <c r="AA940" s="1">
        <v>11.0</v>
      </c>
      <c r="AB940" s="1">
        <v>5.0</v>
      </c>
      <c r="AC940" s="1">
        <v>5.0</v>
      </c>
      <c r="AD940" s="1">
        <v>6.0</v>
      </c>
      <c r="AE940" s="1">
        <v>6.0</v>
      </c>
      <c r="AF940" s="1" t="s">
        <v>54</v>
      </c>
      <c r="AG940" s="1">
        <v>10.0</v>
      </c>
      <c r="AH940" s="1">
        <v>4.0</v>
      </c>
      <c r="AI940" s="1">
        <v>4.0</v>
      </c>
      <c r="AJ940" s="1">
        <v>6.0</v>
      </c>
      <c r="AK940" s="1">
        <v>6.0</v>
      </c>
      <c r="AL940" s="1">
        <v>81.0</v>
      </c>
      <c r="AM940" s="1">
        <v>6.0</v>
      </c>
      <c r="AN940" s="1" t="s">
        <v>55</v>
      </c>
      <c r="AO940" s="1" t="s">
        <v>55</v>
      </c>
      <c r="AP940" s="1" t="s">
        <v>4607</v>
      </c>
      <c r="AQ940" s="3" t="str">
        <f>HYPERLINK("https://icf.clappia.com/app/GMB253374/submission/XPO38892450/ICF247370-GMB253374-5c1elfigc1p600000000/SIG-20250630_114715ej06.jpeg", "SIG-20250630_114715ej06.jpeg")</f>
        <v>SIG-20250630_114715ej06.jpeg</v>
      </c>
      <c r="AR940" s="1" t="s">
        <v>4608</v>
      </c>
      <c r="AS940" s="3" t="str">
        <f>HYPERLINK("https://icf.clappia.com/app/GMB253374/submission/XPO38892450/ICF247370-GMB253374-1a6ko9f7ff1ok0000000/SIG-20250630_115413c4gd.jpeg", "SIG-20250630_115413c4gd.jpeg")</f>
        <v>SIG-20250630_115413c4gd.jpeg</v>
      </c>
      <c r="AT940" s="1" t="s">
        <v>4609</v>
      </c>
      <c r="AU940" s="3" t="str">
        <f>HYPERLINK("https://icf.clappia.com/app/GMB253374/submission/XPO38892450/ICF247370-GMB253374-420pe1d9g1f200000000/SIG-20250630_1155n31k.jpeg", "SIG-20250630_1155n31k.jpeg")</f>
        <v>SIG-20250630_1155n31k.jpeg</v>
      </c>
      <c r="AV940" s="3" t="str">
        <f>HYPERLINK("https://www.google.com/maps/place/7.9505082%2C-11.7487157", "7.9505082,-11.7487157")</f>
        <v>7.9505082,-11.7487157</v>
      </c>
    </row>
    <row r="941" ht="15.75" customHeight="1">
      <c r="A941" s="1" t="s">
        <v>4610</v>
      </c>
      <c r="B941" s="1" t="s">
        <v>161</v>
      </c>
      <c r="C941" s="1" t="s">
        <v>4611</v>
      </c>
      <c r="D941" s="1" t="s">
        <v>4611</v>
      </c>
      <c r="E941" s="1" t="s">
        <v>4612</v>
      </c>
      <c r="F941" s="1" t="s">
        <v>64</v>
      </c>
      <c r="G941" s="1">
        <v>42.0</v>
      </c>
      <c r="H941" s="1" t="s">
        <v>50</v>
      </c>
      <c r="I941" s="1">
        <v>10.0</v>
      </c>
      <c r="J941" s="1">
        <v>6.0</v>
      </c>
      <c r="K941" s="1">
        <v>5.0</v>
      </c>
      <c r="L941" s="1">
        <v>4.0</v>
      </c>
      <c r="M941" s="1">
        <v>3.0</v>
      </c>
      <c r="N941" s="1" t="s">
        <v>51</v>
      </c>
      <c r="O941" s="1">
        <v>8.0</v>
      </c>
      <c r="P941" s="1">
        <v>2.0</v>
      </c>
      <c r="Q941" s="1">
        <v>1.0</v>
      </c>
      <c r="R941" s="1">
        <v>6.0</v>
      </c>
      <c r="S941" s="1">
        <v>3.0</v>
      </c>
      <c r="T941" s="1" t="s">
        <v>52</v>
      </c>
      <c r="U941" s="1">
        <v>8.0</v>
      </c>
      <c r="V941" s="1">
        <v>5.0</v>
      </c>
      <c r="W941" s="1">
        <v>3.0</v>
      </c>
      <c r="X941" s="1">
        <v>3.0</v>
      </c>
      <c r="Y941" s="1">
        <v>3.0</v>
      </c>
      <c r="Z941" s="1" t="s">
        <v>53</v>
      </c>
      <c r="AA941" s="1">
        <v>7.0</v>
      </c>
      <c r="AB941" s="1">
        <v>3.0</v>
      </c>
      <c r="AC941" s="1">
        <v>3.0</v>
      </c>
      <c r="AD941" s="1">
        <v>4.0</v>
      </c>
      <c r="AE941" s="1">
        <v>4.0</v>
      </c>
      <c r="AF941" s="1" t="s">
        <v>54</v>
      </c>
      <c r="AG941" s="1">
        <v>9.0</v>
      </c>
      <c r="AH941" s="1">
        <v>2.0</v>
      </c>
      <c r="AI941" s="1" t="s">
        <v>55</v>
      </c>
      <c r="AJ941" s="1">
        <v>7.0</v>
      </c>
      <c r="AK941" s="1">
        <v>2.0</v>
      </c>
      <c r="AL941" s="1">
        <v>27.0</v>
      </c>
      <c r="AM941" s="1">
        <v>2.0</v>
      </c>
      <c r="AN941" s="1">
        <v>13.0</v>
      </c>
      <c r="AO941" s="1">
        <v>13.0</v>
      </c>
      <c r="AP941" s="1" t="s">
        <v>4613</v>
      </c>
      <c r="AQ941" s="3" t="str">
        <f>HYPERLINK("https://icf.clappia.com/app/GMB253374/submission/OII57933828/ICF247370-GMB253374-4l3ibflni5lc00000000/SIG-20250630_1152akae9.jpeg", "SIG-20250630_1152akae9.jpeg")</f>
        <v>SIG-20250630_1152akae9.jpeg</v>
      </c>
      <c r="AR941" s="1" t="s">
        <v>4614</v>
      </c>
      <c r="AS941" s="3" t="str">
        <f>HYPERLINK("https://icf.clappia.com/app/GMB253374/submission/OII57933828/ICF247370-GMB253374-5f0n060hgaco00000000/SIG-20250630_115331ho5.jpeg", "SIG-20250630_115331ho5.jpeg")</f>
        <v>SIG-20250630_115331ho5.jpeg</v>
      </c>
      <c r="AT941" s="1" t="s">
        <v>4615</v>
      </c>
      <c r="AU941" s="3" t="str">
        <f>HYPERLINK("https://icf.clappia.com/app/GMB253374/submission/OII57933828/ICF247370-GMB253374-6a626n8354mg00000000/SIG-20250630_1153jlp1c.jpeg", "SIG-20250630_1153jlp1c.jpeg")</f>
        <v>SIG-20250630_1153jlp1c.jpeg</v>
      </c>
      <c r="AV941" s="3" t="str">
        <f>HYPERLINK("https://www.google.com/maps/place/7.9946399%2C-11.7707201", "7.9946399,-11.7707201")</f>
        <v>7.9946399,-11.7707201</v>
      </c>
    </row>
    <row r="942" ht="15.75" customHeight="1">
      <c r="A942" s="1" t="s">
        <v>4616</v>
      </c>
      <c r="B942" s="1" t="s">
        <v>60</v>
      </c>
      <c r="C942" s="1" t="s">
        <v>4617</v>
      </c>
      <c r="D942" s="1" t="s">
        <v>4617</v>
      </c>
      <c r="E942" s="1" t="s">
        <v>4618</v>
      </c>
      <c r="F942" s="1" t="s">
        <v>64</v>
      </c>
      <c r="G942" s="1">
        <v>98.0</v>
      </c>
      <c r="H942" s="1" t="s">
        <v>50</v>
      </c>
      <c r="I942" s="1">
        <v>20.0</v>
      </c>
      <c r="J942" s="1">
        <v>12.0</v>
      </c>
      <c r="K942" s="1">
        <v>6.0</v>
      </c>
      <c r="L942" s="1">
        <v>8.0</v>
      </c>
      <c r="M942" s="1">
        <v>3.0</v>
      </c>
      <c r="N942" s="1" t="s">
        <v>51</v>
      </c>
      <c r="O942" s="1">
        <v>20.0</v>
      </c>
      <c r="P942" s="1">
        <v>10.0</v>
      </c>
      <c r="Q942" s="1">
        <v>4.0</v>
      </c>
      <c r="R942" s="1">
        <v>10.0</v>
      </c>
      <c r="S942" s="1">
        <v>4.0</v>
      </c>
      <c r="T942" s="1" t="s">
        <v>52</v>
      </c>
      <c r="U942" s="1">
        <v>19.0</v>
      </c>
      <c r="V942" s="1">
        <v>10.0</v>
      </c>
      <c r="W942" s="1">
        <v>4.0</v>
      </c>
      <c r="X942" s="1">
        <v>9.0</v>
      </c>
      <c r="Y942" s="1">
        <v>3.0</v>
      </c>
      <c r="Z942" s="1" t="s">
        <v>53</v>
      </c>
      <c r="AA942" s="1">
        <v>15.0</v>
      </c>
      <c r="AB942" s="1">
        <v>7.0</v>
      </c>
      <c r="AC942" s="1">
        <v>6.0</v>
      </c>
      <c r="AD942" s="1">
        <v>8.0</v>
      </c>
      <c r="AE942" s="1">
        <v>6.0</v>
      </c>
      <c r="AF942" s="1" t="s">
        <v>54</v>
      </c>
      <c r="AG942" s="1">
        <v>19.0</v>
      </c>
      <c r="AH942" s="1">
        <v>15.0</v>
      </c>
      <c r="AI942" s="1">
        <v>3.0</v>
      </c>
      <c r="AJ942" s="1">
        <v>4.0</v>
      </c>
      <c r="AK942" s="1">
        <v>1.0</v>
      </c>
      <c r="AL942" s="1">
        <v>40.0</v>
      </c>
      <c r="AM942" s="1">
        <v>2.0</v>
      </c>
      <c r="AN942" s="1">
        <v>56.0</v>
      </c>
      <c r="AO942" s="1">
        <v>56.0</v>
      </c>
      <c r="AP942" s="1" t="s">
        <v>4619</v>
      </c>
      <c r="AQ942" s="3" t="str">
        <f>HYPERLINK("https://icf.clappia.com/app/GMB253374/submission/FOF95163005/ICF247370-GMB253374-5e661fo9fl6600000000/SIG-20250630_1148j7nce.jpeg", "SIG-20250630_1148j7nce.jpeg")</f>
        <v>SIG-20250630_1148j7nce.jpeg</v>
      </c>
      <c r="AR942" s="1" t="s">
        <v>2086</v>
      </c>
      <c r="AS942" s="3" t="str">
        <f>HYPERLINK("https://icf.clappia.com/app/GMB253374/submission/FOF95163005/ICF247370-GMB253374-d700e46ej77c0000000/SIG-20250630_11481311ad.jpeg", "SIG-20250630_11481311ad.jpeg")</f>
        <v>SIG-20250630_11481311ad.jpeg</v>
      </c>
      <c r="AT942" s="1" t="s">
        <v>4620</v>
      </c>
      <c r="AU942" s="3" t="str">
        <f>HYPERLINK("https://icf.clappia.com/app/GMB253374/submission/FOF95163005/ICF247370-GMB253374-i4936cf8hmco0000000/SIG-20250630_1149nn42n.jpeg", "SIG-20250630_1149nn42n.jpeg")</f>
        <v>SIG-20250630_1149nn42n.jpeg</v>
      </c>
      <c r="AV942" s="3" t="str">
        <f t="shared" ref="AV942:AV943" si="6">HYPERLINK("https://www.google.com/maps/place/8.8042684%2C-12.2832285", "8.8042684,-12.2832285")</f>
        <v>8.8042684,-12.2832285</v>
      </c>
    </row>
    <row r="943" ht="15.75" customHeight="1">
      <c r="A943" s="1" t="s">
        <v>4621</v>
      </c>
      <c r="B943" s="1" t="s">
        <v>690</v>
      </c>
      <c r="C943" s="1" t="s">
        <v>4617</v>
      </c>
      <c r="D943" s="1" t="s">
        <v>4617</v>
      </c>
      <c r="E943" s="1" t="s">
        <v>4622</v>
      </c>
      <c r="F943" s="1" t="s">
        <v>64</v>
      </c>
      <c r="G943" s="1">
        <v>100.0</v>
      </c>
      <c r="H943" s="1" t="s">
        <v>50</v>
      </c>
      <c r="I943" s="1">
        <v>29.0</v>
      </c>
      <c r="J943" s="1">
        <v>15.0</v>
      </c>
      <c r="K943" s="1">
        <v>15.0</v>
      </c>
      <c r="L943" s="1">
        <v>14.0</v>
      </c>
      <c r="M943" s="1">
        <v>14.0</v>
      </c>
      <c r="N943" s="1" t="s">
        <v>51</v>
      </c>
      <c r="O943" s="1">
        <v>28.0</v>
      </c>
      <c r="P943" s="1">
        <v>15.0</v>
      </c>
      <c r="Q943" s="1">
        <v>15.0</v>
      </c>
      <c r="R943" s="1">
        <v>13.0</v>
      </c>
      <c r="S943" s="1">
        <v>13.0</v>
      </c>
      <c r="T943" s="1" t="s">
        <v>52</v>
      </c>
      <c r="U943" s="1">
        <v>14.0</v>
      </c>
      <c r="V943" s="1">
        <v>7.0</v>
      </c>
      <c r="W943" s="1">
        <v>7.0</v>
      </c>
      <c r="X943" s="1">
        <v>7.0</v>
      </c>
      <c r="Y943" s="1">
        <v>7.0</v>
      </c>
      <c r="Z943" s="1" t="s">
        <v>53</v>
      </c>
      <c r="AA943" s="1">
        <v>9.0</v>
      </c>
      <c r="AB943" s="1">
        <v>5.0</v>
      </c>
      <c r="AC943" s="1">
        <v>5.0</v>
      </c>
      <c r="AD943" s="1">
        <v>4.0</v>
      </c>
      <c r="AE943" s="1">
        <v>4.0</v>
      </c>
      <c r="AF943" s="1" t="s">
        <v>54</v>
      </c>
      <c r="AG943" s="1">
        <v>20.0</v>
      </c>
      <c r="AH943" s="1">
        <v>10.0</v>
      </c>
      <c r="AI943" s="1">
        <v>10.0</v>
      </c>
      <c r="AJ943" s="1">
        <v>10.0</v>
      </c>
      <c r="AK943" s="1">
        <v>10.0</v>
      </c>
      <c r="AL943" s="1">
        <v>100.0</v>
      </c>
      <c r="AM943" s="1" t="s">
        <v>55</v>
      </c>
      <c r="AN943" s="1" t="s">
        <v>55</v>
      </c>
      <c r="AO943" s="1" t="s">
        <v>55</v>
      </c>
      <c r="AP943" s="1" t="s">
        <v>4623</v>
      </c>
      <c r="AQ943" s="3" t="str">
        <f>HYPERLINK("https://icf.clappia.com/app/GMB253374/submission/PWC02903528/ICF247370-GMB253374-3o0bph3mll7e00000000/SIG-20250630_1144eo63l.jpeg", "SIG-20250630_1144eo63l.jpeg")</f>
        <v>SIG-20250630_1144eo63l.jpeg</v>
      </c>
      <c r="AR943" s="1" t="s">
        <v>4624</v>
      </c>
      <c r="AS943" s="3" t="str">
        <f>HYPERLINK("https://icf.clappia.com/app/GMB253374/submission/PWC02903528/ICF247370-GMB253374-21ogd7g68aj520000000/SIG-20250630_114517kg4j.jpeg", "SIG-20250630_114517kg4j.jpeg")</f>
        <v>SIG-20250630_114517kg4j.jpeg</v>
      </c>
      <c r="AT943" s="1" t="s">
        <v>4625</v>
      </c>
      <c r="AU943" s="3" t="str">
        <f>HYPERLINK("https://icf.clappia.com/app/GMB253374/submission/PWC02903528/ICF247370-GMB253374-461nf7k12mci00000000/SIG-20250630_114818jdec.jpeg", "SIG-20250630_114818jdec.jpeg")</f>
        <v>SIG-20250630_114818jdec.jpeg</v>
      </c>
      <c r="AV943" s="3" t="str">
        <f t="shared" si="6"/>
        <v>8.8042684,-12.2832285</v>
      </c>
    </row>
    <row r="944" ht="15.75" customHeight="1">
      <c r="A944" s="1" t="s">
        <v>4626</v>
      </c>
      <c r="B944" s="1" t="s">
        <v>161</v>
      </c>
      <c r="C944" s="1" t="s">
        <v>4627</v>
      </c>
      <c r="D944" s="1" t="s">
        <v>4627</v>
      </c>
      <c r="E944" s="1" t="s">
        <v>4628</v>
      </c>
      <c r="F944" s="1" t="s">
        <v>64</v>
      </c>
      <c r="G944" s="1">
        <v>273.0</v>
      </c>
      <c r="H944" s="1" t="s">
        <v>50</v>
      </c>
      <c r="I944" s="1">
        <v>100.0</v>
      </c>
      <c r="J944" s="1">
        <v>50.0</v>
      </c>
      <c r="K944" s="1">
        <v>50.0</v>
      </c>
      <c r="L944" s="1">
        <v>50.0</v>
      </c>
      <c r="M944" s="1">
        <v>50.0</v>
      </c>
      <c r="N944" s="1" t="s">
        <v>51</v>
      </c>
      <c r="O944" s="1">
        <v>50.0</v>
      </c>
      <c r="P944" s="1">
        <v>24.0</v>
      </c>
      <c r="Q944" s="1">
        <v>24.0</v>
      </c>
      <c r="R944" s="1">
        <v>26.0</v>
      </c>
      <c r="S944" s="1">
        <v>26.0</v>
      </c>
      <c r="T944" s="1" t="s">
        <v>52</v>
      </c>
      <c r="U944" s="1">
        <v>40.0</v>
      </c>
      <c r="V944" s="1">
        <v>14.0</v>
      </c>
      <c r="W944" s="1">
        <v>14.0</v>
      </c>
      <c r="X944" s="1">
        <v>26.0</v>
      </c>
      <c r="Y944" s="1">
        <v>26.0</v>
      </c>
      <c r="Z944" s="1" t="s">
        <v>53</v>
      </c>
      <c r="AA944" s="1">
        <v>43.0</v>
      </c>
      <c r="AB944" s="1">
        <v>19.0</v>
      </c>
      <c r="AC944" s="1">
        <v>19.0</v>
      </c>
      <c r="AD944" s="1">
        <v>24.0</v>
      </c>
      <c r="AE944" s="1">
        <v>24.0</v>
      </c>
      <c r="AF944" s="1" t="s">
        <v>54</v>
      </c>
      <c r="AG944" s="1">
        <v>40.0</v>
      </c>
      <c r="AH944" s="1">
        <v>22.0</v>
      </c>
      <c r="AI944" s="1">
        <v>22.0</v>
      </c>
      <c r="AJ944" s="1">
        <v>18.0</v>
      </c>
      <c r="AK944" s="1">
        <v>18.0</v>
      </c>
      <c r="AL944" s="1">
        <v>273.0</v>
      </c>
      <c r="AM944" s="1" t="s">
        <v>55</v>
      </c>
      <c r="AN944" s="1" t="s">
        <v>55</v>
      </c>
      <c r="AO944" s="1" t="s">
        <v>55</v>
      </c>
      <c r="AP944" s="1" t="s">
        <v>4629</v>
      </c>
      <c r="AQ944" s="3" t="str">
        <f>HYPERLINK("https://icf.clappia.com/app/GMB253374/submission/KSK14026686/ICF247370-GMB253374-15m52lcaja4le000000/SIG-20250630_114513nj07.jpeg", "SIG-20250630_114513nj07.jpeg")</f>
        <v>SIG-20250630_114513nj07.jpeg</v>
      </c>
      <c r="AR944" s="1" t="s">
        <v>4630</v>
      </c>
      <c r="AS944" s="3" t="str">
        <f>HYPERLINK("https://icf.clappia.com/app/GMB253374/submission/KSK14026686/ICF247370-GMB253374-3mi8deffb4eo00000000/SIG-20250630_1146bel67.jpeg", "SIG-20250630_1146bel67.jpeg")</f>
        <v>SIG-20250630_1146bel67.jpeg</v>
      </c>
      <c r="AT944" s="1" t="s">
        <v>55</v>
      </c>
      <c r="AU944" s="3" t="str">
        <f>HYPERLINK("https://icf.clappia.com/app/GMB253374/submission/KSK14026686/ICF247370-GMB253374-19d485pggm5ck0000000/SIG-20250630_1148190gpg.jpeg", "SIG-20250630_1148190gpg.jpeg")</f>
        <v>SIG-20250630_1148190gpg.jpeg</v>
      </c>
      <c r="AV944" s="3" t="str">
        <f>HYPERLINK("https://www.google.com/maps/place/8.0131345%2C-11.7792656", "8.0131345,-11.7792656")</f>
        <v>8.0131345,-11.7792656</v>
      </c>
    </row>
    <row r="945" ht="15.75" customHeight="1">
      <c r="A945" s="1" t="s">
        <v>4631</v>
      </c>
      <c r="B945" s="1" t="s">
        <v>81</v>
      </c>
      <c r="C945" s="1" t="s">
        <v>4632</v>
      </c>
      <c r="D945" s="1" t="s">
        <v>4632</v>
      </c>
      <c r="E945" s="1" t="s">
        <v>4633</v>
      </c>
      <c r="F945" s="1" t="s">
        <v>64</v>
      </c>
      <c r="G945" s="1">
        <v>100.0</v>
      </c>
      <c r="H945" s="1" t="s">
        <v>50</v>
      </c>
      <c r="I945" s="1">
        <v>62.0</v>
      </c>
      <c r="J945" s="1">
        <v>29.0</v>
      </c>
      <c r="K945" s="1">
        <v>27.0</v>
      </c>
      <c r="L945" s="1">
        <v>33.0</v>
      </c>
      <c r="M945" s="1">
        <v>23.0</v>
      </c>
      <c r="N945" s="1" t="s">
        <v>51</v>
      </c>
      <c r="O945" s="1">
        <v>46.0</v>
      </c>
      <c r="P945" s="1">
        <v>26.0</v>
      </c>
      <c r="Q945" s="1">
        <v>8.0</v>
      </c>
      <c r="R945" s="1">
        <v>20.0</v>
      </c>
      <c r="S945" s="1">
        <v>17.0</v>
      </c>
      <c r="T945" s="1" t="s">
        <v>52</v>
      </c>
      <c r="U945" s="1">
        <v>33.0</v>
      </c>
      <c r="V945" s="1">
        <v>16.0</v>
      </c>
      <c r="W945" s="1">
        <v>8.0</v>
      </c>
      <c r="X945" s="1">
        <v>17.0</v>
      </c>
      <c r="Y945" s="1">
        <v>5.0</v>
      </c>
      <c r="Z945" s="1" t="s">
        <v>53</v>
      </c>
      <c r="AA945" s="1">
        <v>49.0</v>
      </c>
      <c r="AB945" s="1">
        <v>26.0</v>
      </c>
      <c r="AC945" s="1">
        <v>6.0</v>
      </c>
      <c r="AD945" s="1">
        <v>23.0</v>
      </c>
      <c r="AE945" s="1">
        <v>6.0</v>
      </c>
      <c r="AF945" s="1" t="s">
        <v>54</v>
      </c>
      <c r="AG945" s="1">
        <v>37.0</v>
      </c>
      <c r="AH945" s="1">
        <v>21.0</v>
      </c>
      <c r="AI945" s="1" t="s">
        <v>55</v>
      </c>
      <c r="AJ945" s="1">
        <v>16.0</v>
      </c>
      <c r="AK945" s="1" t="s">
        <v>55</v>
      </c>
      <c r="AL945" s="1">
        <v>100.0</v>
      </c>
      <c r="AM945" s="1" t="s">
        <v>55</v>
      </c>
      <c r="AN945" s="1" t="s">
        <v>55</v>
      </c>
      <c r="AO945" s="1" t="s">
        <v>55</v>
      </c>
      <c r="AP945" s="1" t="s">
        <v>4634</v>
      </c>
      <c r="AQ945" s="3" t="str">
        <f>HYPERLINK("https://icf.clappia.com/app/GMB253374/submission/NCI73589757/ICF247370-GMB253374-157iendeb538c0000000/SIG-20250630_114257bj7.jpeg", "SIG-20250630_114257bj7.jpeg")</f>
        <v>SIG-20250630_114257bj7.jpeg</v>
      </c>
      <c r="AR945" s="1" t="s">
        <v>288</v>
      </c>
      <c r="AS945" s="3" t="str">
        <f>HYPERLINK("https://icf.clappia.com/app/GMB253374/submission/NCI73589757/ICF247370-GMB253374-582j2hf5ipeg0000000/SIG-20250630_11437pje4.jpeg", "SIG-20250630_11437pje4.jpeg")</f>
        <v>SIG-20250630_11437pje4.jpeg</v>
      </c>
      <c r="AT945" s="1" t="s">
        <v>4635</v>
      </c>
      <c r="AU945" s="3" t="str">
        <f>HYPERLINK("https://icf.clappia.com/app/GMB253374/submission/NCI73589757/ICF247370-GMB253374-inp989mdkpp20000000/SIG-20250630_114411ie2.jpeg", "SIG-20250630_114411ie2.jpeg")</f>
        <v>SIG-20250630_114411ie2.jpeg</v>
      </c>
      <c r="AV945" s="3" t="str">
        <f>HYPERLINK("https://www.google.com/maps/place/7.9642912%2C-11.7205297", "7.9642912,-11.7205297")</f>
        <v>7.9642912,-11.7205297</v>
      </c>
    </row>
    <row r="946" ht="15.75" customHeight="1">
      <c r="A946" s="1" t="s">
        <v>4636</v>
      </c>
      <c r="B946" s="1" t="s">
        <v>335</v>
      </c>
      <c r="C946" s="1" t="s">
        <v>4637</v>
      </c>
      <c r="D946" s="1" t="s">
        <v>4637</v>
      </c>
      <c r="E946" s="1" t="s">
        <v>4638</v>
      </c>
      <c r="F946" s="1" t="s">
        <v>64</v>
      </c>
      <c r="G946" s="1">
        <v>105.0</v>
      </c>
      <c r="H946" s="1" t="s">
        <v>50</v>
      </c>
      <c r="I946" s="1">
        <v>40.0</v>
      </c>
      <c r="J946" s="1">
        <v>20.0</v>
      </c>
      <c r="K946" s="1">
        <v>20.0</v>
      </c>
      <c r="L946" s="1">
        <v>20.0</v>
      </c>
      <c r="M946" s="1">
        <v>20.0</v>
      </c>
      <c r="N946" s="1" t="s">
        <v>51</v>
      </c>
      <c r="O946" s="1">
        <v>20.0</v>
      </c>
      <c r="P946" s="1">
        <v>10.0</v>
      </c>
      <c r="Q946" s="1">
        <v>10.0</v>
      </c>
      <c r="R946" s="1">
        <v>10.0</v>
      </c>
      <c r="S946" s="1">
        <v>10.0</v>
      </c>
      <c r="T946" s="1" t="s">
        <v>52</v>
      </c>
      <c r="U946" s="1">
        <v>21.0</v>
      </c>
      <c r="V946" s="1">
        <v>11.0</v>
      </c>
      <c r="W946" s="1">
        <v>11.0</v>
      </c>
      <c r="X946" s="1">
        <v>10.0</v>
      </c>
      <c r="Y946" s="1">
        <v>10.0</v>
      </c>
      <c r="Z946" s="1" t="s">
        <v>53</v>
      </c>
      <c r="AA946" s="1">
        <v>19.0</v>
      </c>
      <c r="AB946" s="1">
        <v>11.0</v>
      </c>
      <c r="AC946" s="1">
        <v>11.0</v>
      </c>
      <c r="AD946" s="1">
        <v>8.0</v>
      </c>
      <c r="AE946" s="1">
        <v>8.0</v>
      </c>
      <c r="AF946" s="1" t="s">
        <v>54</v>
      </c>
      <c r="AG946" s="1">
        <v>5.0</v>
      </c>
      <c r="AH946" s="1">
        <v>3.0</v>
      </c>
      <c r="AI946" s="1">
        <v>3.0</v>
      </c>
      <c r="AJ946" s="1">
        <v>2.0</v>
      </c>
      <c r="AK946" s="1">
        <v>2.0</v>
      </c>
      <c r="AL946" s="1">
        <v>105.0</v>
      </c>
      <c r="AM946" s="1" t="s">
        <v>55</v>
      </c>
      <c r="AN946" s="1" t="s">
        <v>55</v>
      </c>
      <c r="AO946" s="1" t="s">
        <v>55</v>
      </c>
      <c r="AP946" s="1" t="s">
        <v>2308</v>
      </c>
      <c r="AQ946" s="3" t="str">
        <f>HYPERLINK("https://icf.clappia.com/app/GMB253374/submission/EXH27204622/ICF247370-GMB253374-51nm9a43dj5m00000000/SIG-20250630_0933oaekn.jpeg", "SIG-20250630_0933oaekn.jpeg")</f>
        <v>SIG-20250630_0933oaekn.jpeg</v>
      </c>
      <c r="AR946" s="1" t="s">
        <v>2309</v>
      </c>
      <c r="AS946" s="3" t="str">
        <f>HYPERLINK("https://icf.clappia.com/app/GMB253374/submission/EXH27204622/ICF247370-GMB253374-2am8kegoo71ci0000000/SIG-20250630_093314i6j1.jpeg", "SIG-20250630_093314i6j1.jpeg")</f>
        <v>SIG-20250630_093314i6j1.jpeg</v>
      </c>
      <c r="AT946" s="1" t="s">
        <v>3259</v>
      </c>
      <c r="AU946" s="3" t="str">
        <f>HYPERLINK("https://icf.clappia.com/app/GMB253374/submission/EXH27204622/ICF247370-GMB253374-59j46pm4ak6k00000000/SIG-20250630_0934h844e.jpeg", "SIG-20250630_0934h844e.jpeg")</f>
        <v>SIG-20250630_0934h844e.jpeg</v>
      </c>
      <c r="AV946" s="3" t="str">
        <f>HYPERLINK("https://www.google.com/maps/place/8.0810267%2C-11.6273083", "8.0810267,-11.6273083")</f>
        <v>8.0810267,-11.6273083</v>
      </c>
    </row>
    <row r="947" ht="15.75" customHeight="1">
      <c r="A947" s="1" t="s">
        <v>4639</v>
      </c>
      <c r="B947" s="1" t="s">
        <v>81</v>
      </c>
      <c r="C947" s="1" t="s">
        <v>4640</v>
      </c>
      <c r="D947" s="1" t="s">
        <v>4640</v>
      </c>
      <c r="E947" s="1" t="s">
        <v>4641</v>
      </c>
      <c r="F947" s="1" t="s">
        <v>64</v>
      </c>
      <c r="G947" s="1">
        <v>200.0</v>
      </c>
      <c r="H947" s="1" t="s">
        <v>50</v>
      </c>
      <c r="I947" s="1">
        <v>35.0</v>
      </c>
      <c r="J947" s="1">
        <v>15.0</v>
      </c>
      <c r="K947" s="1">
        <v>15.0</v>
      </c>
      <c r="L947" s="1">
        <v>20.0</v>
      </c>
      <c r="M947" s="1">
        <v>15.0</v>
      </c>
      <c r="N947" s="1" t="s">
        <v>51</v>
      </c>
      <c r="O947" s="1">
        <v>37.0</v>
      </c>
      <c r="P947" s="1">
        <v>14.0</v>
      </c>
      <c r="Q947" s="1">
        <v>14.0</v>
      </c>
      <c r="R947" s="1">
        <v>21.0</v>
      </c>
      <c r="S947" s="1">
        <v>12.0</v>
      </c>
      <c r="T947" s="1" t="s">
        <v>52</v>
      </c>
      <c r="U947" s="1">
        <v>37.0</v>
      </c>
      <c r="V947" s="1">
        <v>15.0</v>
      </c>
      <c r="W947" s="1">
        <v>5.0</v>
      </c>
      <c r="X947" s="1">
        <v>22.0</v>
      </c>
      <c r="Y947" s="1">
        <v>17.0</v>
      </c>
      <c r="Z947" s="1" t="s">
        <v>53</v>
      </c>
      <c r="AA947" s="1">
        <v>34.0</v>
      </c>
      <c r="AB947" s="1">
        <v>19.0</v>
      </c>
      <c r="AC947" s="1">
        <v>18.0</v>
      </c>
      <c r="AD947" s="1">
        <v>15.0</v>
      </c>
      <c r="AE947" s="1">
        <v>6.0</v>
      </c>
      <c r="AF947" s="1" t="s">
        <v>54</v>
      </c>
      <c r="AG947" s="1">
        <v>35.0</v>
      </c>
      <c r="AH947" s="1">
        <v>19.0</v>
      </c>
      <c r="AI947" s="1">
        <v>10.0</v>
      </c>
      <c r="AJ947" s="1">
        <v>16.0</v>
      </c>
      <c r="AK947" s="1">
        <v>16.0</v>
      </c>
      <c r="AL947" s="1">
        <v>128.0</v>
      </c>
      <c r="AM947" s="1" t="s">
        <v>55</v>
      </c>
      <c r="AN947" s="1">
        <v>72.0</v>
      </c>
      <c r="AO947" s="1">
        <v>70.0</v>
      </c>
      <c r="AP947" s="1" t="s">
        <v>4642</v>
      </c>
      <c r="AQ947" s="3" t="str">
        <f>HYPERLINK("https://icf.clappia.com/app/GMB253374/submission/APR80629155/ICF247370-GMB253374-6bm74bo5fm0a00000000/SIG-20250630_1141nf7el.jpeg", "SIG-20250630_1141nf7el.jpeg")</f>
        <v>SIG-20250630_1141nf7el.jpeg</v>
      </c>
      <c r="AR947" s="1" t="s">
        <v>4643</v>
      </c>
      <c r="AS947" s="3" t="str">
        <f>HYPERLINK("https://icf.clappia.com/app/GMB253374/submission/APR80629155/ICF247370-GMB253374-oacop83ij6640000000/SIG-20250630_1141c8k4n.jpeg", "SIG-20250630_1141c8k4n.jpeg")</f>
        <v>SIG-20250630_1141c8k4n.jpeg</v>
      </c>
      <c r="AT947" s="1" t="s">
        <v>2384</v>
      </c>
      <c r="AU947" s="3" t="str">
        <f>HYPERLINK("https://icf.clappia.com/app/GMB253374/submission/APR80629155/ICF247370-GMB253374-fj2ahmo9ikfi0000000/SIG-20250630_1141mlaoa.jpeg", "SIG-20250630_1141mlaoa.jpeg")</f>
        <v>SIG-20250630_1141mlaoa.jpeg</v>
      </c>
      <c r="AV947" s="3" t="str">
        <f>HYPERLINK("https://www.google.com/maps/place/7.9411267%2C-11.7308717", "7.9411267,-11.7308717")</f>
        <v>7.9411267,-11.7308717</v>
      </c>
    </row>
    <row r="948" ht="15.75" customHeight="1">
      <c r="A948" s="1" t="s">
        <v>4644</v>
      </c>
      <c r="B948" s="1" t="s">
        <v>335</v>
      </c>
      <c r="C948" s="1" t="s">
        <v>4645</v>
      </c>
      <c r="D948" s="1" t="s">
        <v>4645</v>
      </c>
      <c r="E948" s="1" t="s">
        <v>4646</v>
      </c>
      <c r="F948" s="1" t="s">
        <v>64</v>
      </c>
      <c r="G948" s="1">
        <v>178.0</v>
      </c>
      <c r="H948" s="1" t="s">
        <v>50</v>
      </c>
      <c r="I948" s="1">
        <v>81.0</v>
      </c>
      <c r="J948" s="1">
        <v>42.0</v>
      </c>
      <c r="K948" s="1">
        <v>42.0</v>
      </c>
      <c r="L948" s="1">
        <v>39.0</v>
      </c>
      <c r="M948" s="1">
        <v>36.0</v>
      </c>
      <c r="N948" s="1" t="s">
        <v>51</v>
      </c>
      <c r="O948" s="1">
        <v>45.0</v>
      </c>
      <c r="P948" s="1">
        <v>23.0</v>
      </c>
      <c r="Q948" s="1">
        <v>10.0</v>
      </c>
      <c r="R948" s="1">
        <v>22.0</v>
      </c>
      <c r="S948" s="1">
        <v>8.0</v>
      </c>
      <c r="T948" s="1" t="s">
        <v>52</v>
      </c>
      <c r="U948" s="1">
        <v>35.0</v>
      </c>
      <c r="V948" s="1">
        <v>20.0</v>
      </c>
      <c r="W948" s="1">
        <v>18.0</v>
      </c>
      <c r="X948" s="1">
        <v>15.0</v>
      </c>
      <c r="Y948" s="1">
        <v>12.0</v>
      </c>
      <c r="Z948" s="1" t="s">
        <v>53</v>
      </c>
      <c r="AA948" s="1">
        <v>25.0</v>
      </c>
      <c r="AB948" s="1">
        <v>14.0</v>
      </c>
      <c r="AC948" s="1">
        <v>11.0</v>
      </c>
      <c r="AD948" s="1">
        <v>11.0</v>
      </c>
      <c r="AE948" s="1">
        <v>5.0</v>
      </c>
      <c r="AF948" s="1" t="s">
        <v>54</v>
      </c>
      <c r="AG948" s="1">
        <v>27.0</v>
      </c>
      <c r="AH948" s="1">
        <v>14.0</v>
      </c>
      <c r="AI948" s="1">
        <v>7.0</v>
      </c>
      <c r="AJ948" s="1">
        <v>11.0</v>
      </c>
      <c r="AK948" s="1">
        <v>9.0</v>
      </c>
      <c r="AL948" s="1">
        <v>158.0</v>
      </c>
      <c r="AM948" s="1" t="s">
        <v>55</v>
      </c>
      <c r="AN948" s="1">
        <v>20.0</v>
      </c>
      <c r="AO948" s="1">
        <v>20.0</v>
      </c>
      <c r="AP948" s="1" t="s">
        <v>1218</v>
      </c>
      <c r="AQ948" s="3" t="str">
        <f>HYPERLINK("https://icf.clappia.com/app/GMB253374/submission/LMG35734104/ICF247370-GMB253374-4jc1c8850d3000000000/SIG-20250630_1137dcei8.jpeg", "SIG-20250630_1137dcei8.jpeg")</f>
        <v>SIG-20250630_1137dcei8.jpeg</v>
      </c>
      <c r="AR948" s="1" t="s">
        <v>1220</v>
      </c>
      <c r="AS948" s="3" t="str">
        <f>HYPERLINK("https://icf.clappia.com/app/GMB253374/submission/LMG35734104/ICF247370-GMB253374-49o836619jag00000000/SIG-20250630_103518mdef.jpeg", "SIG-20250630_103518mdef.jpeg")</f>
        <v>SIG-20250630_103518mdef.jpeg</v>
      </c>
      <c r="AT948" s="1" t="s">
        <v>1219</v>
      </c>
      <c r="AU948" s="3" t="str">
        <f>HYPERLINK("https://icf.clappia.com/app/GMB253374/submission/LMG35734104/ICF247370-GMB253374-53k3174bo1hm00000000/SIG-20250630_113868dij.jpeg", "SIG-20250630_113868dij.jpeg")</f>
        <v>SIG-20250630_113868dij.jpeg</v>
      </c>
      <c r="AV948" s="3" t="str">
        <f>HYPERLINK("https://www.google.com/maps/place/8.1264317%2C-11.6167517", "8.1264317,-11.6167517")</f>
        <v>8.1264317,-11.6167517</v>
      </c>
    </row>
    <row r="949" ht="15.75" customHeight="1">
      <c r="A949" s="1" t="s">
        <v>4647</v>
      </c>
      <c r="B949" s="1" t="s">
        <v>94</v>
      </c>
      <c r="C949" s="1" t="s">
        <v>4648</v>
      </c>
      <c r="D949" s="1" t="s">
        <v>4648</v>
      </c>
      <c r="E949" s="1" t="s">
        <v>4649</v>
      </c>
      <c r="F949" s="1" t="s">
        <v>64</v>
      </c>
      <c r="G949" s="1">
        <v>247.0</v>
      </c>
      <c r="H949" s="1" t="s">
        <v>50</v>
      </c>
      <c r="I949" s="1">
        <v>54.0</v>
      </c>
      <c r="J949" s="1">
        <v>25.0</v>
      </c>
      <c r="K949" s="1">
        <v>25.0</v>
      </c>
      <c r="L949" s="1">
        <v>29.0</v>
      </c>
      <c r="M949" s="1">
        <v>27.0</v>
      </c>
      <c r="N949" s="1" t="s">
        <v>51</v>
      </c>
      <c r="O949" s="1">
        <v>53.0</v>
      </c>
      <c r="P949" s="1">
        <v>29.0</v>
      </c>
      <c r="Q949" s="1">
        <v>28.0</v>
      </c>
      <c r="R949" s="1">
        <v>24.0</v>
      </c>
      <c r="S949" s="1">
        <v>23.0</v>
      </c>
      <c r="T949" s="1" t="s">
        <v>52</v>
      </c>
      <c r="U949" s="1">
        <v>50.0</v>
      </c>
      <c r="V949" s="1">
        <v>14.0</v>
      </c>
      <c r="W949" s="1">
        <v>14.0</v>
      </c>
      <c r="X949" s="1">
        <v>36.0</v>
      </c>
      <c r="Y949" s="1">
        <v>35.0</v>
      </c>
      <c r="Z949" s="1" t="s">
        <v>53</v>
      </c>
      <c r="AA949" s="1">
        <v>40.0</v>
      </c>
      <c r="AB949" s="1">
        <v>20.0</v>
      </c>
      <c r="AC949" s="1">
        <v>20.0</v>
      </c>
      <c r="AD949" s="1">
        <v>20.0</v>
      </c>
      <c r="AE949" s="1">
        <v>20.0</v>
      </c>
      <c r="AF949" s="1" t="s">
        <v>54</v>
      </c>
      <c r="AG949" s="1">
        <v>50.0</v>
      </c>
      <c r="AH949" s="1">
        <v>26.0</v>
      </c>
      <c r="AI949" s="1">
        <v>26.0</v>
      </c>
      <c r="AJ949" s="1">
        <v>24.0</v>
      </c>
      <c r="AK949" s="1">
        <v>24.0</v>
      </c>
      <c r="AL949" s="1">
        <v>242.0</v>
      </c>
      <c r="AM949" s="1">
        <v>5.0</v>
      </c>
      <c r="AN949" s="1" t="s">
        <v>55</v>
      </c>
      <c r="AO949" s="1" t="s">
        <v>55</v>
      </c>
      <c r="AP949" s="1" t="s">
        <v>4650</v>
      </c>
      <c r="AQ949" s="3" t="str">
        <f>HYPERLINK("https://icf.clappia.com/app/GMB253374/submission/BXU62986863/ICF247370-GMB253374-5j4c887bhmo000000000/SIG-20250630_1135189715.jpeg", "SIG-20250630_1135189715.jpeg")</f>
        <v>SIG-20250630_1135189715.jpeg</v>
      </c>
      <c r="AR949" s="1" t="s">
        <v>3501</v>
      </c>
      <c r="AS949" s="3" t="str">
        <f>HYPERLINK("https://icf.clappia.com/app/GMB253374/submission/BXU62986863/ICF247370-GMB253374-43cfd5dno4kg00000000/SIG-20250630_1140en8e5.jpeg", "SIG-20250630_1140en8e5.jpeg")</f>
        <v>SIG-20250630_1140en8e5.jpeg</v>
      </c>
      <c r="AT949" s="1" t="s">
        <v>2321</v>
      </c>
      <c r="AU949" s="3" t="str">
        <f>HYPERLINK("https://icf.clappia.com/app/GMB253374/submission/BXU62986863/ICF247370-GMB253374-3pm81jgnkao400000000/SIG-20250630_11363dkdl.jpeg", "SIG-20250630_11363dkdl.jpeg")</f>
        <v>SIG-20250630_11363dkdl.jpeg</v>
      </c>
      <c r="AV949" s="3" t="str">
        <f>HYPERLINK("https://www.google.com/maps/place/7.6783569%2C-11.8234282", "7.6783569,-11.8234282")</f>
        <v>7.6783569,-11.8234282</v>
      </c>
    </row>
    <row r="950" ht="15.75" customHeight="1">
      <c r="A950" s="1" t="s">
        <v>4651</v>
      </c>
      <c r="B950" s="1" t="s">
        <v>60</v>
      </c>
      <c r="C950" s="1" t="s">
        <v>4652</v>
      </c>
      <c r="D950" s="1" t="s">
        <v>4652</v>
      </c>
      <c r="E950" s="1" t="s">
        <v>4653</v>
      </c>
      <c r="F950" s="1" t="s">
        <v>64</v>
      </c>
      <c r="G950" s="1">
        <v>100.0</v>
      </c>
      <c r="H950" s="1" t="s">
        <v>50</v>
      </c>
      <c r="I950" s="1">
        <v>25.0</v>
      </c>
      <c r="J950" s="1">
        <v>17.0</v>
      </c>
      <c r="K950" s="1">
        <v>17.0</v>
      </c>
      <c r="L950" s="1">
        <v>8.0</v>
      </c>
      <c r="M950" s="1">
        <v>8.0</v>
      </c>
      <c r="N950" s="1" t="s">
        <v>51</v>
      </c>
      <c r="O950" s="1">
        <v>19.0</v>
      </c>
      <c r="P950" s="1">
        <v>13.0</v>
      </c>
      <c r="Q950" s="1">
        <v>13.0</v>
      </c>
      <c r="R950" s="1">
        <v>6.0</v>
      </c>
      <c r="S950" s="1">
        <v>6.0</v>
      </c>
      <c r="T950" s="1" t="s">
        <v>52</v>
      </c>
      <c r="U950" s="1">
        <v>16.0</v>
      </c>
      <c r="V950" s="1">
        <v>9.0</v>
      </c>
      <c r="W950" s="1">
        <v>9.0</v>
      </c>
      <c r="X950" s="1">
        <v>7.0</v>
      </c>
      <c r="Y950" s="1">
        <v>7.0</v>
      </c>
      <c r="Z950" s="1" t="s">
        <v>53</v>
      </c>
      <c r="AA950" s="1">
        <v>15.0</v>
      </c>
      <c r="AB950" s="1">
        <v>8.0</v>
      </c>
      <c r="AC950" s="1">
        <v>8.0</v>
      </c>
      <c r="AD950" s="1">
        <v>7.0</v>
      </c>
      <c r="AE950" s="1">
        <v>7.0</v>
      </c>
      <c r="AF950" s="1" t="s">
        <v>54</v>
      </c>
      <c r="AG950" s="1">
        <v>20.0</v>
      </c>
      <c r="AH950" s="1">
        <v>11.0</v>
      </c>
      <c r="AI950" s="1">
        <v>11.0</v>
      </c>
      <c r="AJ950" s="1">
        <v>9.0</v>
      </c>
      <c r="AK950" s="1">
        <v>9.0</v>
      </c>
      <c r="AL950" s="1">
        <v>95.0</v>
      </c>
      <c r="AM950" s="1" t="s">
        <v>55</v>
      </c>
      <c r="AN950" s="1">
        <v>5.0</v>
      </c>
      <c r="AO950" s="1">
        <v>5.0</v>
      </c>
      <c r="AP950" s="1" t="s">
        <v>1130</v>
      </c>
      <c r="AQ950" s="3" t="str">
        <f>HYPERLINK("https://icf.clappia.com/app/GMB253374/submission/ZVE26292877/ICF247370-GMB253374-32222dnbige000000000/SIG-20250630_11345jbfm.jpeg", "SIG-20250630_11345jbfm.jpeg")</f>
        <v>SIG-20250630_11345jbfm.jpeg</v>
      </c>
      <c r="AR950" s="1" t="s">
        <v>4654</v>
      </c>
      <c r="AS950" s="3" t="str">
        <f>HYPERLINK("https://icf.clappia.com/app/GMB253374/submission/ZVE26292877/ICF247370-GMB253374-khfnhlh21fje0000000/SIG-20250630_1139am6e2.jpeg", "SIG-20250630_1139am6e2.jpeg")</f>
        <v>SIG-20250630_1139am6e2.jpeg</v>
      </c>
      <c r="AT950" s="1" t="s">
        <v>4655</v>
      </c>
      <c r="AU950" s="3" t="str">
        <f>HYPERLINK("https://icf.clappia.com/app/GMB253374/submission/ZVE26292877/ICF247370-GMB253374-3kfgl18lj31a00000000/SIG-20250630_113814jko2.jpeg", "SIG-20250630_113814jko2.jpeg")</f>
        <v>SIG-20250630_113814jko2.jpeg</v>
      </c>
      <c r="AV950" s="3" t="str">
        <f>HYPERLINK("https://www.google.com/maps/place/8.8402267%2C-12.2548267", "8.8402267,-12.2548267")</f>
        <v>8.8402267,-12.2548267</v>
      </c>
    </row>
    <row r="951" ht="15.75" customHeight="1">
      <c r="A951" s="1" t="s">
        <v>4656</v>
      </c>
      <c r="B951" s="1" t="s">
        <v>161</v>
      </c>
      <c r="C951" s="1" t="s">
        <v>4657</v>
      </c>
      <c r="D951" s="1" t="s">
        <v>4657</v>
      </c>
      <c r="E951" s="1" t="s">
        <v>4658</v>
      </c>
      <c r="F951" s="1" t="s">
        <v>64</v>
      </c>
      <c r="G951" s="1">
        <v>124.0</v>
      </c>
      <c r="H951" s="1" t="s">
        <v>50</v>
      </c>
      <c r="I951" s="1">
        <v>40.0</v>
      </c>
      <c r="J951" s="1">
        <v>20.0</v>
      </c>
      <c r="K951" s="1">
        <v>17.0</v>
      </c>
      <c r="L951" s="1">
        <v>20.0</v>
      </c>
      <c r="M951" s="1">
        <v>17.0</v>
      </c>
      <c r="N951" s="1" t="s">
        <v>51</v>
      </c>
      <c r="O951" s="1">
        <v>22.0</v>
      </c>
      <c r="P951" s="1">
        <v>10.0</v>
      </c>
      <c r="Q951" s="1">
        <v>6.0</v>
      </c>
      <c r="R951" s="1">
        <v>12.0</v>
      </c>
      <c r="S951" s="1">
        <v>12.0</v>
      </c>
      <c r="T951" s="1" t="s">
        <v>52</v>
      </c>
      <c r="U951" s="1">
        <v>29.0</v>
      </c>
      <c r="V951" s="1">
        <v>11.0</v>
      </c>
      <c r="W951" s="1">
        <v>9.0</v>
      </c>
      <c r="X951" s="1">
        <v>18.0</v>
      </c>
      <c r="Y951" s="1">
        <v>12.0</v>
      </c>
      <c r="Z951" s="1" t="s">
        <v>53</v>
      </c>
      <c r="AA951" s="1">
        <v>16.0</v>
      </c>
      <c r="AB951" s="1">
        <v>5.0</v>
      </c>
      <c r="AC951" s="1">
        <v>4.0</v>
      </c>
      <c r="AD951" s="1">
        <v>11.0</v>
      </c>
      <c r="AE951" s="1">
        <v>10.0</v>
      </c>
      <c r="AF951" s="1" t="s">
        <v>54</v>
      </c>
      <c r="AG951" s="1">
        <v>17.0</v>
      </c>
      <c r="AH951" s="1">
        <v>5.0</v>
      </c>
      <c r="AI951" s="1">
        <v>3.0</v>
      </c>
      <c r="AJ951" s="1">
        <v>12.0</v>
      </c>
      <c r="AK951" s="1">
        <v>12.0</v>
      </c>
      <c r="AL951" s="1">
        <v>102.0</v>
      </c>
      <c r="AM951" s="1">
        <v>9.0</v>
      </c>
      <c r="AN951" s="1">
        <v>13.0</v>
      </c>
      <c r="AO951" s="1">
        <v>13.0</v>
      </c>
      <c r="AP951" s="1" t="s">
        <v>708</v>
      </c>
      <c r="AQ951" s="3" t="str">
        <f>HYPERLINK("https://icf.clappia.com/app/GMB253374/submission/MPD68460165/ICF247370-GMB253374-1fmcflp7nl98e0000000/SIG-20250630_1133130m3o.jpeg", "SIG-20250630_1133130m3o.jpeg")</f>
        <v>SIG-20250630_1133130m3o.jpeg</v>
      </c>
      <c r="AR951" s="1" t="s">
        <v>4659</v>
      </c>
      <c r="AS951" s="3" t="str">
        <f>HYPERLINK("https://icf.clappia.com/app/GMB253374/submission/MPD68460165/ICF247370-GMB253374-5p8ci164d8a400000000/SIG-20250630_11352k5fn.jpeg", "SIG-20250630_11352k5fn.jpeg")</f>
        <v>SIG-20250630_11352k5fn.jpeg</v>
      </c>
      <c r="AT951" s="1" t="s">
        <v>710</v>
      </c>
      <c r="AU951" s="3" t="str">
        <f>HYPERLINK("https://icf.clappia.com/app/GMB253374/submission/MPD68460165/ICF247370-GMB253374-21iea85ccf1hg0000000/SIG-20250630_1134l0ke1.jpeg", "SIG-20250630_1134l0ke1.jpeg")</f>
        <v>SIG-20250630_1134l0ke1.jpeg</v>
      </c>
      <c r="AV951" s="3" t="str">
        <f>HYPERLINK("https://www.google.com/maps/place/7.9455029%2C-11.6855522", "7.9455029,-11.6855522")</f>
        <v>7.9455029,-11.6855522</v>
      </c>
    </row>
    <row r="952" ht="15.75" customHeight="1">
      <c r="A952" s="1" t="s">
        <v>4660</v>
      </c>
      <c r="B952" s="1" t="s">
        <v>690</v>
      </c>
      <c r="C952" s="1" t="s">
        <v>4661</v>
      </c>
      <c r="D952" s="1" t="s">
        <v>4661</v>
      </c>
      <c r="E952" s="1" t="s">
        <v>4662</v>
      </c>
      <c r="F952" s="1" t="s">
        <v>64</v>
      </c>
      <c r="G952" s="1">
        <v>250.0</v>
      </c>
      <c r="H952" s="1" t="s">
        <v>50</v>
      </c>
      <c r="I952" s="1">
        <v>69.0</v>
      </c>
      <c r="J952" s="1">
        <v>38.0</v>
      </c>
      <c r="K952" s="1">
        <v>38.0</v>
      </c>
      <c r="L952" s="1">
        <v>31.0</v>
      </c>
      <c r="M952" s="1">
        <v>31.0</v>
      </c>
      <c r="N952" s="1" t="s">
        <v>51</v>
      </c>
      <c r="O952" s="1">
        <v>33.0</v>
      </c>
      <c r="P952" s="1">
        <v>19.0</v>
      </c>
      <c r="Q952" s="1">
        <v>19.0</v>
      </c>
      <c r="R952" s="1">
        <v>14.0</v>
      </c>
      <c r="S952" s="1">
        <v>14.0</v>
      </c>
      <c r="T952" s="1" t="s">
        <v>52</v>
      </c>
      <c r="U952" s="1">
        <v>52.0</v>
      </c>
      <c r="V952" s="1">
        <v>29.0</v>
      </c>
      <c r="W952" s="1">
        <v>29.0</v>
      </c>
      <c r="X952" s="1">
        <v>23.0</v>
      </c>
      <c r="Y952" s="1">
        <v>23.0</v>
      </c>
      <c r="Z952" s="1" t="s">
        <v>53</v>
      </c>
      <c r="AA952" s="1">
        <v>53.0</v>
      </c>
      <c r="AB952" s="1">
        <v>24.0</v>
      </c>
      <c r="AC952" s="1">
        <v>24.0</v>
      </c>
      <c r="AD952" s="1">
        <v>29.0</v>
      </c>
      <c r="AE952" s="1">
        <v>29.0</v>
      </c>
      <c r="AF952" s="1" t="s">
        <v>54</v>
      </c>
      <c r="AG952" s="1">
        <v>40.0</v>
      </c>
      <c r="AH952" s="1">
        <v>20.0</v>
      </c>
      <c r="AI952" s="1">
        <v>20.0</v>
      </c>
      <c r="AJ952" s="1">
        <v>20.0</v>
      </c>
      <c r="AK952" s="1">
        <v>20.0</v>
      </c>
      <c r="AL952" s="1">
        <v>247.0</v>
      </c>
      <c r="AM952" s="1">
        <v>1.0</v>
      </c>
      <c r="AN952" s="1">
        <v>2.0</v>
      </c>
      <c r="AO952" s="1">
        <v>2.0</v>
      </c>
      <c r="AP952" s="1" t="s">
        <v>4663</v>
      </c>
      <c r="AQ952" s="3" t="str">
        <f>HYPERLINK("https://icf.clappia.com/app/GMB253374/submission/REC58566440/ICF247370-GMB253374-cje73k96h97m0000000/SIG-20250630_11239n6h8.jpeg", "SIG-20250630_11239n6h8.jpeg")</f>
        <v>SIG-20250630_11239n6h8.jpeg</v>
      </c>
      <c r="AR952" s="1" t="s">
        <v>4664</v>
      </c>
      <c r="AS952" s="3" t="str">
        <f>HYPERLINK("https://icf.clappia.com/app/GMB253374/submission/REC58566440/ICF247370-GMB253374-1f2oo7fjeih5a0000000/SIG-20250630_11241icbe.jpeg", "SIG-20250630_11241icbe.jpeg")</f>
        <v>SIG-20250630_11241icbe.jpeg</v>
      </c>
      <c r="AT952" s="1" t="s">
        <v>4665</v>
      </c>
      <c r="AU952" s="3" t="str">
        <f>HYPERLINK("https://icf.clappia.com/app/GMB253374/submission/REC58566440/ICF247370-GMB253374-1d0bk34p71od60000000/SIG-20250630_1124pgpjl.jpeg", "SIG-20250630_1124pgpjl.jpeg")</f>
        <v>SIG-20250630_1124pgpjl.jpeg</v>
      </c>
      <c r="AV952" s="3" t="str">
        <f>HYPERLINK("https://www.google.com/maps/place/8.7331417%2C-12.07897", "8.7331417,-12.07897")</f>
        <v>8.7331417,-12.07897</v>
      </c>
    </row>
    <row r="953" ht="15.75" customHeight="1">
      <c r="A953" s="1" t="s">
        <v>4666</v>
      </c>
      <c r="B953" s="1" t="s">
        <v>161</v>
      </c>
      <c r="C953" s="1" t="s">
        <v>4661</v>
      </c>
      <c r="D953" s="1" t="s">
        <v>4661</v>
      </c>
      <c r="E953" s="1" t="s">
        <v>4667</v>
      </c>
      <c r="F953" s="1" t="s">
        <v>49</v>
      </c>
      <c r="G953" s="1">
        <v>50.0</v>
      </c>
      <c r="H953" s="1" t="s">
        <v>50</v>
      </c>
      <c r="I953" s="1">
        <v>8.0</v>
      </c>
      <c r="J953" s="1">
        <v>4.0</v>
      </c>
      <c r="K953" s="1">
        <v>4.0</v>
      </c>
      <c r="L953" s="1">
        <v>4.0</v>
      </c>
      <c r="M953" s="1">
        <v>4.0</v>
      </c>
      <c r="N953" s="1" t="s">
        <v>51</v>
      </c>
      <c r="O953" s="1">
        <v>2.0</v>
      </c>
      <c r="P953" s="1">
        <v>2.0</v>
      </c>
      <c r="Q953" s="1">
        <v>2.0</v>
      </c>
      <c r="R953" s="1" t="s">
        <v>55</v>
      </c>
      <c r="S953" s="1" t="s">
        <v>55</v>
      </c>
      <c r="T953" s="1" t="s">
        <v>52</v>
      </c>
      <c r="U953" s="1">
        <v>15.0</v>
      </c>
      <c r="V953" s="1">
        <v>7.0</v>
      </c>
      <c r="W953" s="1">
        <v>7.0</v>
      </c>
      <c r="X953" s="1">
        <v>8.0</v>
      </c>
      <c r="Y953" s="1">
        <v>8.0</v>
      </c>
      <c r="Z953" s="1" t="s">
        <v>53</v>
      </c>
      <c r="AA953" s="1">
        <v>10.0</v>
      </c>
      <c r="AB953" s="1">
        <v>5.0</v>
      </c>
      <c r="AC953" s="1">
        <v>5.0</v>
      </c>
      <c r="AD953" s="1">
        <v>5.0</v>
      </c>
      <c r="AE953" s="1">
        <v>5.0</v>
      </c>
      <c r="AF953" s="1" t="s">
        <v>54</v>
      </c>
      <c r="AG953" s="1">
        <v>4.0</v>
      </c>
      <c r="AH953" s="1">
        <v>1.0</v>
      </c>
      <c r="AI953" s="1">
        <v>1.0</v>
      </c>
      <c r="AJ953" s="1">
        <v>3.0</v>
      </c>
      <c r="AK953" s="1">
        <v>3.0</v>
      </c>
      <c r="AL953" s="1">
        <v>39.0</v>
      </c>
      <c r="AM953" s="1">
        <v>10.0</v>
      </c>
      <c r="AN953" s="1">
        <v>1.0</v>
      </c>
      <c r="AO953" s="1">
        <v>1.0</v>
      </c>
      <c r="AP953" s="1" t="s">
        <v>4668</v>
      </c>
      <c r="AQ953" s="3" t="str">
        <f>HYPERLINK("https://icf.clappia.com/app/GMB253374/submission/TOE84451698/ICF247370-GMB253374-5mm567k2d4fa00000000/SIG-20250630_11247fb36.jpeg", "SIG-20250630_11247fb36.jpeg")</f>
        <v>SIG-20250630_11247fb36.jpeg</v>
      </c>
      <c r="AR953" s="1" t="s">
        <v>607</v>
      </c>
      <c r="AS953" s="3" t="str">
        <f>HYPERLINK("https://icf.clappia.com/app/GMB253374/submission/TOE84451698/ICF247370-GMB253374-149nlkn91cpm00000000/SIG-20250630_11252pa9k.jpeg", "SIG-20250630_11252pa9k.jpeg")</f>
        <v>SIG-20250630_11252pa9k.jpeg</v>
      </c>
      <c r="AT953" s="1" t="s">
        <v>4669</v>
      </c>
      <c r="AU953" s="3" t="str">
        <f>HYPERLINK("https://icf.clappia.com/app/GMB253374/submission/TOE84451698/ICF247370-GMB253374-2i0p72mokoo400000000/SIG-20250630_1126o10o.jpeg", "SIG-20250630_1126o10o.jpeg")</f>
        <v>SIG-20250630_1126o10o.jpeg</v>
      </c>
      <c r="AV953" s="3" t="str">
        <f>HYPERLINK("https://www.google.com/maps/place/7.9920217%2C-11.7677883", "7.9920217,-11.7677883")</f>
        <v>7.9920217,-11.7677883</v>
      </c>
    </row>
    <row r="954" ht="15.75" customHeight="1">
      <c r="A954" s="1" t="s">
        <v>4670</v>
      </c>
      <c r="B954" s="1" t="s">
        <v>167</v>
      </c>
      <c r="C954" s="1" t="s">
        <v>4671</v>
      </c>
      <c r="D954" s="1" t="s">
        <v>4671</v>
      </c>
      <c r="E954" s="1" t="s">
        <v>4672</v>
      </c>
      <c r="F954" s="1" t="s">
        <v>49</v>
      </c>
      <c r="G954" s="1">
        <v>192.0</v>
      </c>
      <c r="H954" s="1" t="s">
        <v>50</v>
      </c>
      <c r="I954" s="1">
        <v>38.0</v>
      </c>
      <c r="J954" s="1">
        <v>20.0</v>
      </c>
      <c r="K954" s="1">
        <v>20.0</v>
      </c>
      <c r="L954" s="1">
        <v>18.0</v>
      </c>
      <c r="M954" s="1">
        <v>18.0</v>
      </c>
      <c r="N954" s="1" t="s">
        <v>51</v>
      </c>
      <c r="O954" s="1">
        <v>30.0</v>
      </c>
      <c r="P954" s="1">
        <v>10.0</v>
      </c>
      <c r="Q954" s="1">
        <v>10.0</v>
      </c>
      <c r="R954" s="1">
        <v>20.0</v>
      </c>
      <c r="S954" s="1">
        <v>20.0</v>
      </c>
      <c r="T954" s="1" t="s">
        <v>52</v>
      </c>
      <c r="U954" s="1">
        <v>31.0</v>
      </c>
      <c r="V954" s="1">
        <v>11.0</v>
      </c>
      <c r="W954" s="1">
        <v>11.0</v>
      </c>
      <c r="X954" s="1">
        <v>20.0</v>
      </c>
      <c r="Y954" s="1">
        <v>20.0</v>
      </c>
      <c r="Z954" s="1" t="s">
        <v>53</v>
      </c>
      <c r="AA954" s="1">
        <v>20.0</v>
      </c>
      <c r="AB954" s="1">
        <v>9.0</v>
      </c>
      <c r="AC954" s="1">
        <v>9.0</v>
      </c>
      <c r="AD954" s="1">
        <v>11.0</v>
      </c>
      <c r="AE954" s="1">
        <v>11.0</v>
      </c>
      <c r="AF954" s="1" t="s">
        <v>54</v>
      </c>
      <c r="AG954" s="1">
        <v>30.0</v>
      </c>
      <c r="AH954" s="1">
        <v>15.0</v>
      </c>
      <c r="AI954" s="1">
        <v>15.0</v>
      </c>
      <c r="AJ954" s="1">
        <v>15.0</v>
      </c>
      <c r="AK954" s="1">
        <v>15.0</v>
      </c>
      <c r="AL954" s="1">
        <v>149.0</v>
      </c>
      <c r="AM954" s="1" t="s">
        <v>55</v>
      </c>
      <c r="AN954" s="1">
        <v>43.0</v>
      </c>
      <c r="AO954" s="1">
        <v>43.0</v>
      </c>
      <c r="AP954" s="1" t="s">
        <v>4673</v>
      </c>
      <c r="AQ954" s="3" t="str">
        <f>HYPERLINK("https://icf.clappia.com/app/GMB253374/submission/SBM01803467/ICF247370-GMB253374-2dc85i2fb48a00000000/SIG-20250630_112315e9e9.jpeg", "SIG-20250630_112315e9e9.jpeg")</f>
        <v>SIG-20250630_112315e9e9.jpeg</v>
      </c>
      <c r="AR954" s="1" t="s">
        <v>4674</v>
      </c>
      <c r="AS954" s="3" t="str">
        <f>HYPERLINK("https://icf.clappia.com/app/GMB253374/submission/SBM01803467/ICF247370-GMB253374-3m5bnk9jp6lo00000000/SIG-20250630_11238cj8k.jpeg", "SIG-20250630_11238cj8k.jpeg")</f>
        <v>SIG-20250630_11238cj8k.jpeg</v>
      </c>
      <c r="AT954" s="1" t="s">
        <v>2390</v>
      </c>
      <c r="AU954" s="3" t="str">
        <f>HYPERLINK("https://icf.clappia.com/app/GMB253374/submission/SBM01803467/ICF247370-GMB253374-18j78j5m9fkn20000000/SIG-20250630_1120147ej5.jpeg", "SIG-20250630_1120147ej5.jpeg")</f>
        <v>SIG-20250630_1120147ej5.jpeg</v>
      </c>
      <c r="AV954" s="3" t="str">
        <f>HYPERLINK("https://www.google.com/maps/place/7.9516513%2C-11.7650236", "7.9516513,-11.7650236")</f>
        <v>7.9516513,-11.7650236</v>
      </c>
    </row>
    <row r="955" ht="15.75" customHeight="1">
      <c r="A955" s="1" t="s">
        <v>4675</v>
      </c>
      <c r="B955" s="1" t="s">
        <v>167</v>
      </c>
      <c r="C955" s="1" t="s">
        <v>4676</v>
      </c>
      <c r="D955" s="1" t="s">
        <v>4676</v>
      </c>
      <c r="E955" s="1" t="s">
        <v>4677</v>
      </c>
      <c r="F955" s="1" t="s">
        <v>64</v>
      </c>
      <c r="G955" s="1">
        <v>100.0</v>
      </c>
      <c r="H955" s="1" t="s">
        <v>50</v>
      </c>
      <c r="I955" s="1">
        <v>50.0</v>
      </c>
      <c r="J955" s="1">
        <v>27.0</v>
      </c>
      <c r="K955" s="1">
        <v>27.0</v>
      </c>
      <c r="L955" s="1">
        <v>23.0</v>
      </c>
      <c r="M955" s="1">
        <v>20.0</v>
      </c>
      <c r="N955" s="1" t="s">
        <v>51</v>
      </c>
      <c r="O955" s="1">
        <v>9.0</v>
      </c>
      <c r="P955" s="1">
        <v>6.0</v>
      </c>
      <c r="Q955" s="1">
        <v>1.0</v>
      </c>
      <c r="R955" s="1">
        <v>2.0</v>
      </c>
      <c r="S955" s="1">
        <v>2.0</v>
      </c>
      <c r="T955" s="1" t="s">
        <v>52</v>
      </c>
      <c r="U955" s="1">
        <v>17.0</v>
      </c>
      <c r="V955" s="1">
        <v>8.0</v>
      </c>
      <c r="W955" s="1">
        <v>8.0</v>
      </c>
      <c r="X955" s="1">
        <v>9.0</v>
      </c>
      <c r="Y955" s="1">
        <v>9.0</v>
      </c>
      <c r="Z955" s="1" t="s">
        <v>53</v>
      </c>
      <c r="AA955" s="1">
        <v>8.0</v>
      </c>
      <c r="AB955" s="1">
        <v>5.0</v>
      </c>
      <c r="AC955" s="1">
        <v>5.0</v>
      </c>
      <c r="AD955" s="1">
        <v>3.0</v>
      </c>
      <c r="AE955" s="1">
        <v>3.0</v>
      </c>
      <c r="AF955" s="1" t="s">
        <v>54</v>
      </c>
      <c r="AG955" s="1">
        <v>12.0</v>
      </c>
      <c r="AH955" s="1">
        <v>10.0</v>
      </c>
      <c r="AI955" s="1">
        <v>10.0</v>
      </c>
      <c r="AJ955" s="1">
        <v>2.0</v>
      </c>
      <c r="AK955" s="1">
        <v>2.0</v>
      </c>
      <c r="AL955" s="1">
        <v>87.0</v>
      </c>
      <c r="AM955" s="1" t="s">
        <v>55</v>
      </c>
      <c r="AN955" s="1">
        <v>13.0</v>
      </c>
      <c r="AO955" s="1">
        <v>13.0</v>
      </c>
      <c r="AP955" s="1" t="s">
        <v>911</v>
      </c>
      <c r="AQ955" s="3" t="str">
        <f>HYPERLINK("https://icf.clappia.com/app/GMB253374/submission/OAH65104744/ICF247370-GMB253374-35338m4i68ia0000000/SIG-20250630_1119180n2f.jpeg", "SIG-20250630_1119180n2f.jpeg")</f>
        <v>SIG-20250630_1119180n2f.jpeg</v>
      </c>
      <c r="AR955" s="1" t="s">
        <v>912</v>
      </c>
      <c r="AS955" s="3" t="str">
        <f>HYPERLINK("https://icf.clappia.com/app/GMB253374/submission/OAH65104744/ICF247370-GMB253374-20baaj9b2b86c0000000/SIG-20250630_112019e578.jpeg", "SIG-20250630_112019e578.jpeg")</f>
        <v>SIG-20250630_112019e578.jpeg</v>
      </c>
      <c r="AT955" s="1" t="s">
        <v>4678</v>
      </c>
      <c r="AU955" s="3" t="str">
        <f>HYPERLINK("https://icf.clappia.com/app/GMB253374/submission/OAH65104744/ICF247370-GMB253374-2hlnbg2pk4ho0000000/SIG-20250630_11211a2khm.jpeg", "SIG-20250630_11211a2khm.jpeg")</f>
        <v>SIG-20250630_11211a2khm.jpeg</v>
      </c>
      <c r="AV955" s="3" t="str">
        <f>HYPERLINK("https://www.google.com/maps/place/7.9814404%2C-11.7643115", "7.9814404,-11.7643115")</f>
        <v>7.9814404,-11.7643115</v>
      </c>
    </row>
    <row r="956" ht="15.75" customHeight="1">
      <c r="A956" s="1" t="s">
        <v>4679</v>
      </c>
      <c r="B956" s="1" t="s">
        <v>60</v>
      </c>
      <c r="C956" s="1" t="s">
        <v>4680</v>
      </c>
      <c r="D956" s="1" t="s">
        <v>4680</v>
      </c>
      <c r="E956" s="1" t="s">
        <v>4681</v>
      </c>
      <c r="F956" s="1" t="s">
        <v>64</v>
      </c>
      <c r="G956" s="1">
        <v>200.0</v>
      </c>
      <c r="H956" s="1" t="s">
        <v>50</v>
      </c>
      <c r="I956" s="1">
        <v>42.0</v>
      </c>
      <c r="J956" s="1">
        <v>17.0</v>
      </c>
      <c r="K956" s="1">
        <v>14.0</v>
      </c>
      <c r="L956" s="1">
        <v>25.0</v>
      </c>
      <c r="M956" s="1">
        <v>24.0</v>
      </c>
      <c r="N956" s="1" t="s">
        <v>51</v>
      </c>
      <c r="O956" s="1">
        <v>44.0</v>
      </c>
      <c r="P956" s="1">
        <v>21.0</v>
      </c>
      <c r="Q956" s="1">
        <v>21.0</v>
      </c>
      <c r="R956" s="1">
        <v>23.0</v>
      </c>
      <c r="S956" s="1">
        <v>23.0</v>
      </c>
      <c r="T956" s="1" t="s">
        <v>52</v>
      </c>
      <c r="U956" s="1">
        <v>35.0</v>
      </c>
      <c r="V956" s="1">
        <v>21.0</v>
      </c>
      <c r="W956" s="1">
        <v>21.0</v>
      </c>
      <c r="X956" s="1">
        <v>14.0</v>
      </c>
      <c r="Y956" s="1">
        <v>14.0</v>
      </c>
      <c r="Z956" s="1" t="s">
        <v>53</v>
      </c>
      <c r="AA956" s="1">
        <v>20.0</v>
      </c>
      <c r="AB956" s="1">
        <v>11.0</v>
      </c>
      <c r="AC956" s="1">
        <v>11.0</v>
      </c>
      <c r="AD956" s="1">
        <v>9.0</v>
      </c>
      <c r="AE956" s="1">
        <v>9.0</v>
      </c>
      <c r="AF956" s="1" t="s">
        <v>54</v>
      </c>
      <c r="AG956" s="1">
        <v>24.0</v>
      </c>
      <c r="AH956" s="1">
        <v>11.0</v>
      </c>
      <c r="AI956" s="1">
        <v>11.0</v>
      </c>
      <c r="AJ956" s="1">
        <v>13.0</v>
      </c>
      <c r="AK956" s="1">
        <v>13.0</v>
      </c>
      <c r="AL956" s="1">
        <v>161.0</v>
      </c>
      <c r="AM956" s="1">
        <v>4.0</v>
      </c>
      <c r="AN956" s="1">
        <v>35.0</v>
      </c>
      <c r="AO956" s="1">
        <v>35.0</v>
      </c>
      <c r="AP956" s="1" t="s">
        <v>4682</v>
      </c>
      <c r="AQ956" s="3" t="str">
        <f>HYPERLINK("https://icf.clappia.com/app/GMB253374/submission/WGB43512096/ICF247370-GMB253374-100b5fhp1m8jo0000000/SIG-20250630_111466nfc.jpeg", "SIG-20250630_111466nfc.jpeg")</f>
        <v>SIG-20250630_111466nfc.jpeg</v>
      </c>
      <c r="AR956" s="1" t="s">
        <v>78</v>
      </c>
      <c r="AS956" s="3" t="str">
        <f>HYPERLINK("https://icf.clappia.com/app/GMB253374/submission/WGB43512096/ICF247370-GMB253374-1g0d4mdkajaee0000000/SIG-20250630_1115497e6.jpeg", "SIG-20250630_1115497e6.jpeg")</f>
        <v>SIG-20250630_1115497e6.jpeg</v>
      </c>
      <c r="AT956" s="1" t="s">
        <v>79</v>
      </c>
      <c r="AU956" s="3" t="str">
        <f>HYPERLINK("https://icf.clappia.com/app/GMB253374/submission/WGB43512096/ICF247370-GMB253374-145bhmjob8ikg0000000/SIG-20250630_1116l7m4h.jpeg", "SIG-20250630_1116l7m4h.jpeg")</f>
        <v>SIG-20250630_1116l7m4h.jpeg</v>
      </c>
      <c r="AV956" s="3" t="str">
        <f>HYPERLINK("https://www.google.com/maps/place/9.0123133%2C-12.1419217", "9.0123133,-12.1419217")</f>
        <v>9.0123133,-12.1419217</v>
      </c>
    </row>
    <row r="957" ht="15.75" customHeight="1">
      <c r="A957" s="1" t="s">
        <v>4683</v>
      </c>
      <c r="B957" s="1" t="s">
        <v>69</v>
      </c>
      <c r="C957" s="1" t="s">
        <v>4684</v>
      </c>
      <c r="D957" s="1" t="s">
        <v>4684</v>
      </c>
      <c r="E957" s="1" t="s">
        <v>4685</v>
      </c>
      <c r="F957" s="1" t="s">
        <v>64</v>
      </c>
      <c r="G957" s="1">
        <v>243.0</v>
      </c>
      <c r="H957" s="1" t="s">
        <v>50</v>
      </c>
      <c r="I957" s="1">
        <v>64.0</v>
      </c>
      <c r="J957" s="1">
        <v>32.0</v>
      </c>
      <c r="K957" s="1">
        <v>31.0</v>
      </c>
      <c r="L957" s="1">
        <v>32.0</v>
      </c>
      <c r="M957" s="1">
        <v>27.0</v>
      </c>
      <c r="N957" s="1" t="s">
        <v>51</v>
      </c>
      <c r="O957" s="1">
        <v>66.0</v>
      </c>
      <c r="P957" s="1">
        <v>30.0</v>
      </c>
      <c r="Q957" s="1">
        <v>27.0</v>
      </c>
      <c r="R957" s="1">
        <v>36.0</v>
      </c>
      <c r="S957" s="1">
        <v>29.0</v>
      </c>
      <c r="T957" s="1" t="s">
        <v>52</v>
      </c>
      <c r="U957" s="1">
        <v>51.0</v>
      </c>
      <c r="V957" s="1">
        <v>26.0</v>
      </c>
      <c r="W957" s="1">
        <v>24.0</v>
      </c>
      <c r="X957" s="1">
        <v>25.0</v>
      </c>
      <c r="Y957" s="1">
        <v>25.0</v>
      </c>
      <c r="Z957" s="1" t="s">
        <v>53</v>
      </c>
      <c r="AA957" s="1">
        <v>48.0</v>
      </c>
      <c r="AB957" s="1">
        <v>28.0</v>
      </c>
      <c r="AC957" s="1">
        <v>28.0</v>
      </c>
      <c r="AD957" s="1">
        <v>20.0</v>
      </c>
      <c r="AE957" s="1" t="s">
        <v>55</v>
      </c>
      <c r="AF957" s="1" t="s">
        <v>54</v>
      </c>
      <c r="AG957" s="1">
        <v>32.0</v>
      </c>
      <c r="AH957" s="1">
        <v>16.0</v>
      </c>
      <c r="AI957" s="1" t="s">
        <v>55</v>
      </c>
      <c r="AJ957" s="1">
        <v>16.0</v>
      </c>
      <c r="AK957" s="1" t="s">
        <v>55</v>
      </c>
      <c r="AL957" s="1">
        <v>191.0</v>
      </c>
      <c r="AM957" s="1" t="s">
        <v>55</v>
      </c>
      <c r="AN957" s="1">
        <v>52.0</v>
      </c>
      <c r="AO957" s="1">
        <v>52.0</v>
      </c>
      <c r="AP957" s="1" t="s">
        <v>3576</v>
      </c>
      <c r="AQ957" s="3" t="str">
        <f>HYPERLINK("https://icf.clappia.com/app/GMB253374/submission/BVJ42363308/ICF247370-GMB253374-429lnk9gki8800000000/SIG-20250630_111616d6da.jpeg", "SIG-20250630_111616d6da.jpeg")</f>
        <v>SIG-20250630_111616d6da.jpeg</v>
      </c>
      <c r="AR957" s="1" t="s">
        <v>4686</v>
      </c>
      <c r="AS957" s="3" t="str">
        <f>HYPERLINK("https://icf.clappia.com/app/GMB253374/submission/BVJ42363308/ICF247370-GMB253374-303711a1p58000000000/SIG-20250630_1116fob5d.jpeg", "SIG-20250630_1116fob5d.jpeg")</f>
        <v>SIG-20250630_1116fob5d.jpeg</v>
      </c>
      <c r="AT957" s="1" t="s">
        <v>4687</v>
      </c>
      <c r="AU957" s="3" t="str">
        <f>HYPERLINK("https://icf.clappia.com/app/GMB253374/submission/BVJ42363308/ICF247370-GMB253374-5bapk9p2415i00000000/SIG-20250630_111719l5pi.jpeg", "SIG-20250630_111719l5pi.jpeg")</f>
        <v>SIG-20250630_111719l5pi.jpeg</v>
      </c>
      <c r="AV957" s="3" t="str">
        <f>HYPERLINK("https://www.google.com/maps/place/8.8821415%2C-12.0941461", "8.8821415,-12.0941461")</f>
        <v>8.8821415,-12.0941461</v>
      </c>
    </row>
    <row r="958" ht="15.75" customHeight="1">
      <c r="A958" s="1" t="s">
        <v>4688</v>
      </c>
      <c r="B958" s="1" t="s">
        <v>81</v>
      </c>
      <c r="C958" s="1" t="s">
        <v>4689</v>
      </c>
      <c r="D958" s="1" t="s">
        <v>4689</v>
      </c>
      <c r="E958" s="1" t="s">
        <v>4690</v>
      </c>
      <c r="F958" s="1" t="s">
        <v>64</v>
      </c>
      <c r="G958" s="1">
        <v>172.0</v>
      </c>
      <c r="H958" s="1" t="s">
        <v>50</v>
      </c>
      <c r="I958" s="1">
        <v>50.0</v>
      </c>
      <c r="J958" s="1">
        <v>28.0</v>
      </c>
      <c r="K958" s="1">
        <v>27.0</v>
      </c>
      <c r="L958" s="1">
        <v>22.0</v>
      </c>
      <c r="M958" s="1">
        <v>20.0</v>
      </c>
      <c r="N958" s="1" t="s">
        <v>51</v>
      </c>
      <c r="O958" s="1">
        <v>40.0</v>
      </c>
      <c r="P958" s="1">
        <v>23.0</v>
      </c>
      <c r="Q958" s="1">
        <v>22.0</v>
      </c>
      <c r="R958" s="1">
        <v>17.0</v>
      </c>
      <c r="S958" s="1">
        <v>15.0</v>
      </c>
      <c r="T958" s="1" t="s">
        <v>52</v>
      </c>
      <c r="U958" s="1">
        <v>25.0</v>
      </c>
      <c r="V958" s="1">
        <v>15.0</v>
      </c>
      <c r="W958" s="1">
        <v>10.0</v>
      </c>
      <c r="X958" s="1">
        <v>10.0</v>
      </c>
      <c r="Y958" s="1">
        <v>10.0</v>
      </c>
      <c r="Z958" s="1" t="s">
        <v>53</v>
      </c>
      <c r="AA958" s="1">
        <v>40.0</v>
      </c>
      <c r="AB958" s="1">
        <v>26.0</v>
      </c>
      <c r="AC958" s="1">
        <v>24.0</v>
      </c>
      <c r="AD958" s="1">
        <v>14.0</v>
      </c>
      <c r="AE958" s="1">
        <v>13.0</v>
      </c>
      <c r="AF958" s="1" t="s">
        <v>54</v>
      </c>
      <c r="AG958" s="1">
        <v>31.0</v>
      </c>
      <c r="AH958" s="1">
        <v>15.0</v>
      </c>
      <c r="AI958" s="1">
        <v>10.0</v>
      </c>
      <c r="AJ958" s="1">
        <v>14.0</v>
      </c>
      <c r="AK958" s="1">
        <v>9.0</v>
      </c>
      <c r="AL958" s="1">
        <v>160.0</v>
      </c>
      <c r="AM958" s="1" t="s">
        <v>55</v>
      </c>
      <c r="AN958" s="1">
        <v>12.0</v>
      </c>
      <c r="AO958" s="1" t="s">
        <v>55</v>
      </c>
      <c r="AP958" s="1" t="s">
        <v>4691</v>
      </c>
      <c r="AQ958" s="3" t="str">
        <f>HYPERLINK("https://icf.clappia.com/app/GMB253374/submission/FHW52808642/ICF247370-GMB253374-3p455apf9hcm00000000/SIG-20250630_111297735.jpeg", "SIG-20250630_111297735.jpeg")</f>
        <v>SIG-20250630_111297735.jpeg</v>
      </c>
      <c r="AR958" s="1" t="s">
        <v>1007</v>
      </c>
      <c r="AS958" s="3" t="str">
        <f>HYPERLINK("https://icf.clappia.com/app/GMB253374/submission/FHW52808642/ICF247370-GMB253374-1k6a7aihkon3m0000000/SIG-20250630_11061909po.jpeg", "SIG-20250630_11061909po.jpeg")</f>
        <v>SIG-20250630_11061909po.jpeg</v>
      </c>
      <c r="AT958" s="1" t="s">
        <v>4692</v>
      </c>
      <c r="AU958" s="3" t="str">
        <f>HYPERLINK("https://icf.clappia.com/app/GMB253374/submission/FHW52808642/ICF247370-GMB253374-210c5ndlcdod60000000/SIG-20250630_111351pf6.jpeg", "SIG-20250630_111351pf6.jpeg")</f>
        <v>SIG-20250630_111351pf6.jpeg</v>
      </c>
      <c r="AV958" s="3" t="str">
        <f>HYPERLINK("https://www.google.com/maps/place/7.9451638%2C-11.7358374", "7.9451638,-11.7358374")</f>
        <v>7.9451638,-11.7358374</v>
      </c>
    </row>
    <row r="959" ht="15.75" customHeight="1">
      <c r="A959" s="1" t="s">
        <v>4693</v>
      </c>
      <c r="B959" s="1" t="s">
        <v>167</v>
      </c>
      <c r="C959" s="1" t="s">
        <v>4694</v>
      </c>
      <c r="D959" s="1" t="s">
        <v>4694</v>
      </c>
      <c r="E959" s="1" t="s">
        <v>4695</v>
      </c>
      <c r="F959" s="1" t="s">
        <v>64</v>
      </c>
      <c r="G959" s="1">
        <v>133.0</v>
      </c>
      <c r="H959" s="1" t="s">
        <v>50</v>
      </c>
      <c r="I959" s="1">
        <v>32.0</v>
      </c>
      <c r="J959" s="1">
        <v>15.0</v>
      </c>
      <c r="K959" s="1">
        <v>15.0</v>
      </c>
      <c r="L959" s="1">
        <v>17.0</v>
      </c>
      <c r="M959" s="1">
        <v>17.0</v>
      </c>
      <c r="N959" s="1" t="s">
        <v>51</v>
      </c>
      <c r="O959" s="1">
        <v>23.0</v>
      </c>
      <c r="P959" s="1">
        <v>14.0</v>
      </c>
      <c r="Q959" s="1">
        <v>14.0</v>
      </c>
      <c r="R959" s="1">
        <v>9.0</v>
      </c>
      <c r="S959" s="1">
        <v>9.0</v>
      </c>
      <c r="T959" s="1" t="s">
        <v>52</v>
      </c>
      <c r="U959" s="1">
        <v>37.0</v>
      </c>
      <c r="V959" s="1">
        <v>16.0</v>
      </c>
      <c r="W959" s="1">
        <v>16.0</v>
      </c>
      <c r="X959" s="1">
        <v>21.0</v>
      </c>
      <c r="Y959" s="1">
        <v>21.0</v>
      </c>
      <c r="Z959" s="1" t="s">
        <v>53</v>
      </c>
      <c r="AA959" s="1">
        <v>15.0</v>
      </c>
      <c r="AB959" s="1">
        <v>8.0</v>
      </c>
      <c r="AC959" s="1">
        <v>8.0</v>
      </c>
      <c r="AD959" s="1">
        <v>7.0</v>
      </c>
      <c r="AE959" s="1">
        <v>7.0</v>
      </c>
      <c r="AF959" s="1" t="s">
        <v>54</v>
      </c>
      <c r="AG959" s="1">
        <v>16.0</v>
      </c>
      <c r="AH959" s="1">
        <v>10.0</v>
      </c>
      <c r="AI959" s="1">
        <v>10.0</v>
      </c>
      <c r="AJ959" s="1">
        <v>6.0</v>
      </c>
      <c r="AK959" s="1">
        <v>6.0</v>
      </c>
      <c r="AL959" s="1">
        <v>123.0</v>
      </c>
      <c r="AM959" s="1">
        <v>10.0</v>
      </c>
      <c r="AN959" s="1" t="s">
        <v>55</v>
      </c>
      <c r="AO959" s="1" t="s">
        <v>55</v>
      </c>
      <c r="AP959" s="1" t="s">
        <v>2296</v>
      </c>
      <c r="AQ959" s="3" t="str">
        <f>HYPERLINK("https://icf.clappia.com/app/GMB253374/submission/ZSM06245428/ICF247370-GMB253374-bc0e1nn95b520000000/SIG-20250630_1052162nj2.jpeg", "SIG-20250630_1052162nj2.jpeg")</f>
        <v>SIG-20250630_1052162nj2.jpeg</v>
      </c>
      <c r="AR959" s="1" t="s">
        <v>4696</v>
      </c>
      <c r="AS959" s="3" t="str">
        <f>HYPERLINK("https://icf.clappia.com/app/GMB253374/submission/ZSM06245428/ICF247370-GMB253374-3fae0jcpcllo00000000/SIG-20250630_105317cgl0.jpeg", "SIG-20250630_105317cgl0.jpeg")</f>
        <v>SIG-20250630_105317cgl0.jpeg</v>
      </c>
      <c r="AT959" s="1" t="s">
        <v>4697</v>
      </c>
      <c r="AU959" s="3" t="str">
        <f>HYPERLINK("https://icf.clappia.com/app/GMB253374/submission/ZSM06245428/ICF247370-GMB253374-219pmdnn7fja80000000/SIG-20250630_10534ddna.jpeg", "SIG-20250630_10534ddna.jpeg")</f>
        <v>SIG-20250630_10534ddna.jpeg</v>
      </c>
      <c r="AV959" s="3" t="str">
        <f>HYPERLINK("https://www.google.com/maps/place/7.9429817%2C-11.7893984", "7.9429817,-11.7893984")</f>
        <v>7.9429817,-11.7893984</v>
      </c>
    </row>
    <row r="960" ht="15.75" customHeight="1">
      <c r="A960" s="1" t="s">
        <v>4698</v>
      </c>
      <c r="B960" s="1" t="s">
        <v>60</v>
      </c>
      <c r="C960" s="1" t="s">
        <v>4699</v>
      </c>
      <c r="D960" s="1" t="s">
        <v>4699</v>
      </c>
      <c r="E960" s="1" t="s">
        <v>4700</v>
      </c>
      <c r="F960" s="1" t="s">
        <v>64</v>
      </c>
      <c r="G960" s="1">
        <v>77.0</v>
      </c>
      <c r="H960" s="1" t="s">
        <v>50</v>
      </c>
      <c r="I960" s="1">
        <v>41.0</v>
      </c>
      <c r="J960" s="1">
        <v>25.0</v>
      </c>
      <c r="K960" s="1">
        <v>25.0</v>
      </c>
      <c r="L960" s="1">
        <v>16.0</v>
      </c>
      <c r="M960" s="1">
        <v>16.0</v>
      </c>
      <c r="N960" s="1" t="s">
        <v>51</v>
      </c>
      <c r="O960" s="1">
        <v>11.0</v>
      </c>
      <c r="P960" s="1">
        <v>5.0</v>
      </c>
      <c r="Q960" s="1">
        <v>5.0</v>
      </c>
      <c r="R960" s="1">
        <v>6.0</v>
      </c>
      <c r="S960" s="1">
        <v>6.0</v>
      </c>
      <c r="T960" s="1" t="s">
        <v>52</v>
      </c>
      <c r="U960" s="1">
        <v>9.0</v>
      </c>
      <c r="V960" s="1">
        <v>5.0</v>
      </c>
      <c r="W960" s="1">
        <v>5.0</v>
      </c>
      <c r="X960" s="1">
        <v>4.0</v>
      </c>
      <c r="Y960" s="1">
        <v>4.0</v>
      </c>
      <c r="Z960" s="1" t="s">
        <v>53</v>
      </c>
      <c r="AA960" s="1">
        <v>9.0</v>
      </c>
      <c r="AB960" s="1">
        <v>5.0</v>
      </c>
      <c r="AC960" s="1">
        <v>5.0</v>
      </c>
      <c r="AD960" s="1">
        <v>4.0</v>
      </c>
      <c r="AE960" s="1">
        <v>4.0</v>
      </c>
      <c r="AF960" s="1" t="s">
        <v>54</v>
      </c>
      <c r="AG960" s="1">
        <v>7.0</v>
      </c>
      <c r="AH960" s="1">
        <v>5.0</v>
      </c>
      <c r="AI960" s="1">
        <v>5.0</v>
      </c>
      <c r="AJ960" s="1">
        <v>2.0</v>
      </c>
      <c r="AK960" s="1">
        <v>2.0</v>
      </c>
      <c r="AL960" s="1">
        <v>77.0</v>
      </c>
      <c r="AM960" s="1" t="s">
        <v>55</v>
      </c>
      <c r="AN960" s="1" t="s">
        <v>55</v>
      </c>
      <c r="AO960" s="1" t="s">
        <v>55</v>
      </c>
      <c r="AP960" s="1" t="s">
        <v>4701</v>
      </c>
      <c r="AQ960" s="3" t="str">
        <f>HYPERLINK("https://icf.clappia.com/app/GMB253374/submission/YZO70208952/ICF247370-GMB253374-71no0eh05kkm0000000/SIG-20250630_1031144cg3.jpeg", "SIG-20250630_1031144cg3.jpeg")</f>
        <v>SIG-20250630_1031144cg3.jpeg</v>
      </c>
      <c r="AR960" s="1" t="s">
        <v>4702</v>
      </c>
      <c r="AS960" s="3" t="str">
        <f>HYPERLINK("https://icf.clappia.com/app/GMB253374/submission/YZO70208952/ICF247370-GMB253374-2334enbpp527g0000000/SIG-20250630_103119269e.jpeg", "SIG-20250630_103119269e.jpeg")</f>
        <v>SIG-20250630_103119269e.jpeg</v>
      </c>
      <c r="AT960" s="1" t="s">
        <v>4703</v>
      </c>
      <c r="AU960" s="3" t="str">
        <f>HYPERLINK("https://icf.clappia.com/app/GMB253374/submission/YZO70208952/ICF247370-GMB253374-4ko37jp4hoai00000000/SIG-20250630_1033157bep.jpeg", "SIG-20250630_1033157bep.jpeg")</f>
        <v>SIG-20250630_1033157bep.jpeg</v>
      </c>
      <c r="AV960" s="3" t="str">
        <f>HYPERLINK("https://www.google.com/maps/place/8.1078624%2C-11.5484291", "8.1078624,-11.5484291")</f>
        <v>8.1078624,-11.5484291</v>
      </c>
    </row>
    <row r="961" ht="15.75" customHeight="1">
      <c r="A961" s="1" t="s">
        <v>4704</v>
      </c>
      <c r="B961" s="1" t="s">
        <v>81</v>
      </c>
      <c r="C961" s="1" t="s">
        <v>4705</v>
      </c>
      <c r="D961" s="1" t="s">
        <v>4706</v>
      </c>
      <c r="E961" s="1" t="s">
        <v>4707</v>
      </c>
      <c r="F961" s="1" t="s">
        <v>64</v>
      </c>
      <c r="G961" s="1">
        <v>50.0</v>
      </c>
      <c r="H961" s="1" t="s">
        <v>50</v>
      </c>
      <c r="I961" s="1">
        <v>47.0</v>
      </c>
      <c r="J961" s="1">
        <v>3.0</v>
      </c>
      <c r="K961" s="1">
        <v>3.0</v>
      </c>
      <c r="L961" s="1">
        <v>3.0</v>
      </c>
      <c r="M961" s="1">
        <v>3.0</v>
      </c>
      <c r="N961" s="1" t="s">
        <v>51</v>
      </c>
      <c r="O961" s="1">
        <v>77.0</v>
      </c>
      <c r="P961" s="1">
        <v>2.0</v>
      </c>
      <c r="Q961" s="1">
        <v>2.0</v>
      </c>
      <c r="R961" s="1">
        <v>3.0</v>
      </c>
      <c r="S961" s="1">
        <v>3.0</v>
      </c>
      <c r="T961" s="1" t="s">
        <v>52</v>
      </c>
      <c r="U961" s="1">
        <v>61.0</v>
      </c>
      <c r="V961" s="1">
        <v>3.0</v>
      </c>
      <c r="W961" s="1">
        <v>3.0</v>
      </c>
      <c r="X961" s="1">
        <v>2.0</v>
      </c>
      <c r="Y961" s="1">
        <v>2.0</v>
      </c>
      <c r="Z961" s="1" t="s">
        <v>53</v>
      </c>
      <c r="AA961" s="1">
        <v>60.0</v>
      </c>
      <c r="AB961" s="1">
        <v>1.0</v>
      </c>
      <c r="AC961" s="1">
        <v>1.0</v>
      </c>
      <c r="AD961" s="1">
        <v>2.0</v>
      </c>
      <c r="AE961" s="1">
        <v>2.0</v>
      </c>
      <c r="AF961" s="1" t="s">
        <v>54</v>
      </c>
      <c r="AG961" s="1">
        <v>41.0</v>
      </c>
      <c r="AH961" s="1">
        <v>1.0</v>
      </c>
      <c r="AI961" s="1">
        <v>1.0</v>
      </c>
      <c r="AJ961" s="1">
        <v>3.0</v>
      </c>
      <c r="AK961" s="1">
        <v>3.0</v>
      </c>
      <c r="AL961" s="1">
        <v>23.0</v>
      </c>
      <c r="AM961" s="1" t="s">
        <v>55</v>
      </c>
      <c r="AN961" s="1">
        <v>27.0</v>
      </c>
      <c r="AO961" s="1">
        <v>27.0</v>
      </c>
      <c r="AP961" s="1" t="s">
        <v>950</v>
      </c>
      <c r="AQ961" s="3" t="str">
        <f>HYPERLINK("https://icf.clappia.com/app/GMB253374/submission/QMK55470160/ICF247370-GMB253374-1gdhfph8m8gng0000000/SIG-20250630_09591a7d13.jpeg", "SIG-20250630_09591a7d13.jpeg")</f>
        <v>SIG-20250630_09591a7d13.jpeg</v>
      </c>
      <c r="AR961" s="1" t="s">
        <v>4708</v>
      </c>
      <c r="AS961" s="3" t="str">
        <f>HYPERLINK("https://icf.clappia.com/app/GMB253374/submission/QMK55470160/ICF247370-GMB253374-1ba3k6h0glomc0000000/SIG-20250630_100181i42.jpeg", "SIG-20250630_100181i42.jpeg")</f>
        <v>SIG-20250630_100181i42.jpeg</v>
      </c>
      <c r="AT961" s="1" t="s">
        <v>3732</v>
      </c>
      <c r="AU961" s="3" t="str">
        <f>HYPERLINK("https://icf.clappia.com/app/GMB253374/submission/QMK55470160/ICF247370-GMB253374-4mknhdp0ff9200000000/SIG-20250630_1003b6756.jpeg", "SIG-20250630_1003b6756.jpeg")</f>
        <v>SIG-20250630_1003b6756.jpeg</v>
      </c>
      <c r="AV961" s="3" t="str">
        <f>HYPERLINK("https://www.google.com/maps/place/7.974125%2C-11.714915", "7.974125,-11.714915")</f>
        <v>7.974125,-11.714915</v>
      </c>
    </row>
    <row r="962" ht="15.75" customHeight="1">
      <c r="A962" s="1" t="s">
        <v>4709</v>
      </c>
      <c r="B962" s="1" t="s">
        <v>248</v>
      </c>
      <c r="C962" s="1" t="s">
        <v>4710</v>
      </c>
      <c r="D962" s="1" t="s">
        <v>4711</v>
      </c>
      <c r="E962" s="1" t="s">
        <v>4712</v>
      </c>
      <c r="F962" s="1" t="s">
        <v>64</v>
      </c>
      <c r="G962" s="1">
        <v>223.0</v>
      </c>
      <c r="H962" s="1" t="s">
        <v>50</v>
      </c>
      <c r="I962" s="1">
        <v>80.0</v>
      </c>
      <c r="J962" s="1">
        <v>37.0</v>
      </c>
      <c r="K962" s="1">
        <v>36.0</v>
      </c>
      <c r="L962" s="1">
        <v>43.0</v>
      </c>
      <c r="M962" s="1">
        <v>43.0</v>
      </c>
      <c r="N962" s="1" t="s">
        <v>51</v>
      </c>
      <c r="O962" s="1">
        <v>36.0</v>
      </c>
      <c r="P962" s="1">
        <v>16.0</v>
      </c>
      <c r="Q962" s="1">
        <v>16.0</v>
      </c>
      <c r="R962" s="1">
        <v>20.0</v>
      </c>
      <c r="S962" s="1">
        <v>19.0</v>
      </c>
      <c r="T962" s="1" t="s">
        <v>52</v>
      </c>
      <c r="U962" s="1">
        <v>41.0</v>
      </c>
      <c r="V962" s="1">
        <v>14.0</v>
      </c>
      <c r="W962" s="1">
        <v>14.0</v>
      </c>
      <c r="X962" s="1">
        <v>27.0</v>
      </c>
      <c r="Y962" s="1">
        <v>26.0</v>
      </c>
      <c r="Z962" s="1" t="s">
        <v>53</v>
      </c>
      <c r="AA962" s="1">
        <v>40.0</v>
      </c>
      <c r="AB962" s="1">
        <v>18.0</v>
      </c>
      <c r="AC962" s="1">
        <v>17.0</v>
      </c>
      <c r="AD962" s="1">
        <v>22.0</v>
      </c>
      <c r="AE962" s="1">
        <v>22.0</v>
      </c>
      <c r="AF962" s="1" t="s">
        <v>54</v>
      </c>
      <c r="AG962" s="1">
        <v>26.0</v>
      </c>
      <c r="AH962" s="1">
        <v>15.0</v>
      </c>
      <c r="AI962" s="1">
        <v>14.0</v>
      </c>
      <c r="AJ962" s="1">
        <v>10.0</v>
      </c>
      <c r="AK962" s="1">
        <v>10.0</v>
      </c>
      <c r="AL962" s="1">
        <v>217.0</v>
      </c>
      <c r="AM962" s="1">
        <v>6.0</v>
      </c>
      <c r="AN962" s="1" t="s">
        <v>55</v>
      </c>
      <c r="AO962" s="1" t="s">
        <v>55</v>
      </c>
      <c r="AP962" s="1" t="s">
        <v>4713</v>
      </c>
      <c r="AQ962" s="3" t="str">
        <f>HYPERLINK("https://icf.clappia.com/app/GMB253374/submission/BVK64399603/ICF247370-GMB253374-m3i8cehodbpi0000000/SIG-20250630_10214fe7j.jpeg", "SIG-20250630_10214fe7j.jpeg")</f>
        <v>SIG-20250630_10214fe7j.jpeg</v>
      </c>
      <c r="AR962" s="1" t="s">
        <v>4714</v>
      </c>
      <c r="AS962" s="3" t="str">
        <f>HYPERLINK("https://icf.clappia.com/app/GMB253374/submission/BVK64399603/ICF247370-GMB253374-54ohg9i8dmm000000000/SIG-20250630_1023n6ncj.jpeg", "SIG-20250630_1023n6ncj.jpeg")</f>
        <v>SIG-20250630_1023n6ncj.jpeg</v>
      </c>
      <c r="AT962" s="1" t="s">
        <v>4715</v>
      </c>
      <c r="AU962" s="3" t="str">
        <f>HYPERLINK("https://icf.clappia.com/app/GMB253374/submission/BVK64399603/ICF247370-GMB253374-5abm1ffjk8ce00000000/SIG-20250630_1024p4dkm.jpeg", "SIG-20250630_1024p4dkm.jpeg")</f>
        <v>SIG-20250630_1024p4dkm.jpeg</v>
      </c>
      <c r="AV962" s="3" t="str">
        <f>HYPERLINK("https://www.google.com/maps/place/7.88549%2C-11.4601783", "7.88549,-11.4601783")</f>
        <v>7.88549,-11.4601783</v>
      </c>
    </row>
    <row r="963" ht="15.75" customHeight="1">
      <c r="A963" s="1" t="s">
        <v>4716</v>
      </c>
      <c r="B963" s="1" t="s">
        <v>248</v>
      </c>
      <c r="C963" s="1" t="s">
        <v>4717</v>
      </c>
      <c r="D963" s="1" t="s">
        <v>4717</v>
      </c>
      <c r="E963" s="1" t="s">
        <v>4718</v>
      </c>
      <c r="F963" s="1" t="s">
        <v>64</v>
      </c>
      <c r="G963" s="1">
        <v>300.0</v>
      </c>
      <c r="H963" s="1" t="s">
        <v>50</v>
      </c>
      <c r="I963" s="1">
        <v>80.0</v>
      </c>
      <c r="J963" s="1">
        <v>39.0</v>
      </c>
      <c r="K963" s="1">
        <v>39.0</v>
      </c>
      <c r="L963" s="1">
        <v>41.0</v>
      </c>
      <c r="M963" s="1">
        <v>40.0</v>
      </c>
      <c r="N963" s="1" t="s">
        <v>51</v>
      </c>
      <c r="O963" s="1">
        <v>70.0</v>
      </c>
      <c r="P963" s="1">
        <v>40.0</v>
      </c>
      <c r="Q963" s="1">
        <v>40.0</v>
      </c>
      <c r="R963" s="1">
        <v>30.0</v>
      </c>
      <c r="S963" s="1">
        <v>30.0</v>
      </c>
      <c r="T963" s="1" t="s">
        <v>52</v>
      </c>
      <c r="U963" s="1">
        <v>54.0</v>
      </c>
      <c r="V963" s="1">
        <v>20.0</v>
      </c>
      <c r="W963" s="1">
        <v>20.0</v>
      </c>
      <c r="X963" s="1">
        <v>34.0</v>
      </c>
      <c r="Y963" s="1">
        <v>34.0</v>
      </c>
      <c r="Z963" s="1" t="s">
        <v>53</v>
      </c>
      <c r="AA963" s="1">
        <v>38.0</v>
      </c>
      <c r="AB963" s="1">
        <v>34.0</v>
      </c>
      <c r="AC963" s="1">
        <v>32.0</v>
      </c>
      <c r="AD963" s="1">
        <v>4.0</v>
      </c>
      <c r="AE963" s="1">
        <v>4.0</v>
      </c>
      <c r="AF963" s="1" t="s">
        <v>54</v>
      </c>
      <c r="AG963" s="1">
        <v>12.0</v>
      </c>
      <c r="AH963" s="1">
        <v>6.0</v>
      </c>
      <c r="AI963" s="1">
        <v>6.0</v>
      </c>
      <c r="AJ963" s="1">
        <v>6.0</v>
      </c>
      <c r="AK963" s="1">
        <v>6.0</v>
      </c>
      <c r="AL963" s="1">
        <v>251.0</v>
      </c>
      <c r="AM963" s="1">
        <v>3.0</v>
      </c>
      <c r="AN963" s="1">
        <v>46.0</v>
      </c>
      <c r="AO963" s="1">
        <v>46.0</v>
      </c>
      <c r="AP963" s="1" t="s">
        <v>4719</v>
      </c>
      <c r="AQ963" s="3" t="str">
        <f>HYPERLINK("https://icf.clappia.com/app/GMB253374/submission/BWF12528097/ICF247370-GMB253374-118jggholce1e0000000/SIG-20250630_1013i0l99.jpeg", "SIG-20250630_1013i0l99.jpeg")</f>
        <v>SIG-20250630_1013i0l99.jpeg</v>
      </c>
      <c r="AR963" s="1" t="s">
        <v>4720</v>
      </c>
      <c r="AS963" s="3" t="str">
        <f>HYPERLINK("https://icf.clappia.com/app/GMB253374/submission/BWF12528097/ICF247370-GMB253374-2288ko6an8ln60000000/SIG-20250630_10149b0ge.jpeg", "SIG-20250630_10149b0ge.jpeg")</f>
        <v>SIG-20250630_10149b0ge.jpeg</v>
      </c>
      <c r="AT963" s="1" t="s">
        <v>4721</v>
      </c>
      <c r="AU963" s="3" t="str">
        <f>HYPERLINK("https://icf.clappia.com/app/GMB253374/submission/BWF12528097/ICF247370-GMB253374-29iffc5h37d1a0000000/SIG-20250630_10141815fn.jpeg", "SIG-20250630_10141815fn.jpeg")</f>
        <v>SIG-20250630_10141815fn.jpeg</v>
      </c>
      <c r="AV963" s="3" t="str">
        <f>HYPERLINK("https://www.google.com/maps/place/7.8573317%2C-11.54769", "7.8573317,-11.54769")</f>
        <v>7.8573317,-11.54769</v>
      </c>
    </row>
    <row r="964" ht="15.75" customHeight="1">
      <c r="A964" s="1" t="s">
        <v>4722</v>
      </c>
      <c r="B964" s="1" t="s">
        <v>60</v>
      </c>
      <c r="C964" s="1" t="s">
        <v>4723</v>
      </c>
      <c r="D964" s="1" t="s">
        <v>4723</v>
      </c>
      <c r="E964" s="1" t="s">
        <v>4724</v>
      </c>
      <c r="F964" s="1" t="s">
        <v>64</v>
      </c>
      <c r="G964" s="1">
        <v>500.0</v>
      </c>
      <c r="H964" s="1" t="s">
        <v>50</v>
      </c>
      <c r="I964" s="1">
        <v>100.0</v>
      </c>
      <c r="J964" s="1">
        <v>50.0</v>
      </c>
      <c r="K964" s="1">
        <v>50.0</v>
      </c>
      <c r="L964" s="1">
        <v>50.0</v>
      </c>
      <c r="M964" s="1">
        <v>50.0</v>
      </c>
      <c r="N964" s="1" t="s">
        <v>51</v>
      </c>
      <c r="O964" s="1">
        <v>50.0</v>
      </c>
      <c r="P964" s="1">
        <v>25.0</v>
      </c>
      <c r="Q964" s="1">
        <v>25.0</v>
      </c>
      <c r="R964" s="1">
        <v>25.0</v>
      </c>
      <c r="S964" s="1">
        <v>25.0</v>
      </c>
      <c r="T964" s="1" t="s">
        <v>52</v>
      </c>
      <c r="U964" s="1">
        <v>100.0</v>
      </c>
      <c r="V964" s="1">
        <v>50.0</v>
      </c>
      <c r="W964" s="1">
        <v>50.0</v>
      </c>
      <c r="X964" s="1">
        <v>50.0</v>
      </c>
      <c r="Y964" s="1">
        <v>50.0</v>
      </c>
      <c r="Z964" s="1" t="s">
        <v>53</v>
      </c>
      <c r="AA964" s="1">
        <v>50.0</v>
      </c>
      <c r="AB964" s="1">
        <v>25.0</v>
      </c>
      <c r="AC964" s="1">
        <v>25.0</v>
      </c>
      <c r="AD964" s="1">
        <v>25.0</v>
      </c>
      <c r="AE964" s="1">
        <v>25.0</v>
      </c>
      <c r="AF964" s="1" t="s">
        <v>54</v>
      </c>
      <c r="AG964" s="1">
        <v>50.0</v>
      </c>
      <c r="AH964" s="1">
        <v>25.0</v>
      </c>
      <c r="AI964" s="1">
        <v>25.0</v>
      </c>
      <c r="AJ964" s="1">
        <v>25.0</v>
      </c>
      <c r="AK964" s="1">
        <v>25.0</v>
      </c>
      <c r="AL964" s="1">
        <v>350.0</v>
      </c>
      <c r="AM964" s="1">
        <v>10.0</v>
      </c>
      <c r="AN964" s="1">
        <v>140.0</v>
      </c>
      <c r="AO964" s="1">
        <v>140.0</v>
      </c>
      <c r="AP964" s="1" t="s">
        <v>4725</v>
      </c>
      <c r="AQ964" s="3" t="str">
        <f>HYPERLINK("https://icf.clappia.com/app/GMB253374/submission/OAJ85397146/ICF247370-GMB253374-1712l8ig9910k0000000/SIG-20250630_090817g47g.jpeg", "SIG-20250630_090817g47g.jpeg")</f>
        <v>SIG-20250630_090817g47g.jpeg</v>
      </c>
      <c r="AR964" s="1" t="s">
        <v>4726</v>
      </c>
      <c r="AS964" s="3" t="str">
        <f>HYPERLINK("https://icf.clappia.com/app/GMB253374/submission/OAJ85397146/ICF247370-GMB253374-ognl3c93ni7a0000000/SIG-20250630_090437d7a.jpeg", "SIG-20250630_090437d7a.jpeg")</f>
        <v>SIG-20250630_090437d7a.jpeg</v>
      </c>
      <c r="AT964" s="1" t="s">
        <v>2204</v>
      </c>
      <c r="AU964" s="3" t="str">
        <f>HYPERLINK("https://icf.clappia.com/app/GMB253374/submission/OAJ85397146/ICF247370-GMB253374-50bb9blpkn2600000000/SIG-20250630_090629an5.jpeg", "SIG-20250630_090629an5.jpeg")</f>
        <v>SIG-20250630_090629an5.jpeg</v>
      </c>
      <c r="AV964" s="3" t="str">
        <f>HYPERLINK("https://www.google.com/maps/place/7.9289021%2C-11.7183944", "7.9289021,-11.7183944")</f>
        <v>7.9289021,-11.7183944</v>
      </c>
    </row>
  </sheetData>
  <autoFilter ref="$A$1:$AV$964"/>
  <drawing r:id="rId1"/>
</worksheet>
</file>