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>
    <definedName hidden="1" localSheetId="0" name="_xlnm._FilterDatabase">'Sheet 1'!$A$1:$AV$194</definedName>
  </definedNames>
  <calcPr/>
</workbook>
</file>

<file path=xl/sharedStrings.xml><?xml version="1.0" encoding="utf-8"?>
<sst xmlns="http://schemas.openxmlformats.org/spreadsheetml/2006/main" count="3335" uniqueCount="1195">
  <si>
    <t>Submission Id</t>
  </si>
  <si>
    <t>Owner</t>
  </si>
  <si>
    <t>Created At</t>
  </si>
  <si>
    <t>Last Updated At</t>
  </si>
  <si>
    <t>Scan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</si>
  <si>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</si>
  <si>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</si>
  <si>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</si>
  <si>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</si>
  <si>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</si>
  <si>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</si>
  <si>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</si>
  <si>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</si>
  <si>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</si>
  <si>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</si>
  <si>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</si>
  <si>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</si>
  <si>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</si>
  <si>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</si>
  <si>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</si>
  <si>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</si>
  <si>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</si>
  <si>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</si>
  <si>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</si>
  <si>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</si>
  <si>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</si>
  <si>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</si>
  <si>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</si>
  <si>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</si>
  <si>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</si>
  <si>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</si>
  <si>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</si>
  <si>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</si>
  <si>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</si>
  <si>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</si>
  <si>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</si>
  <si>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</si>
  <si>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</si>
  <si>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</si>
  <si>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</si>
  <si>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</si>
  <si>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</si>
  <si>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</si>
  <si>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</si>
  <si>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</si>
  <si>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VWD64796897</t>
  </si>
  <si>
    <t>bargbo@clappia.com</t>
  </si>
  <si>
    <t>30-06-2025 11:40 AM</t>
  </si>
  <si>
    <t>30-06-2025 02:29 PM</t>
  </si>
  <si>
    <t>District: Bo
Chiefdom: Bargbo
PHU name: Bumkaku MCHP
Community name: Bumkaku
Name of school: B D E C Primary School
Enrollment: 215</t>
  </si>
  <si>
    <t>Public</t>
  </si>
  <si>
    <t>Class 1</t>
  </si>
  <si>
    <t>Class 2</t>
  </si>
  <si>
    <t>Class 3</t>
  </si>
  <si>
    <t>Class 4</t>
  </si>
  <si>
    <t>0</t>
  </si>
  <si>
    <t>Class 5</t>
  </si>
  <si>
    <t>Salimatu sento jalloh</t>
  </si>
  <si>
    <t>Andrew Momoh</t>
  </si>
  <si>
    <t>Anita Mary Rose Kamara</t>
  </si>
  <si>
    <t>DAZ36915321</t>
  </si>
  <si>
    <t>bumpeh@clappia.com</t>
  </si>
  <si>
    <t>30-06-2025 02:05 PM</t>
  </si>
  <si>
    <t>District: Bo
Chiefdom: Bumpeh
PHU name: Serabu CHC
Community name: Serabu
Name of school: Islamic Primary School
Enrollment: 343</t>
  </si>
  <si>
    <t>09</t>
  </si>
  <si>
    <t>Steven mbayo</t>
  </si>
  <si>
    <t>Nancy Bindi Hindowa</t>
  </si>
  <si>
    <t xml:space="preserve">Momoh Lansana </t>
  </si>
  <si>
    <t>YZZ16535539</t>
  </si>
  <si>
    <t>komboya@clappia.com</t>
  </si>
  <si>
    <t>30-06-2025 10:17 AM</t>
  </si>
  <si>
    <t>30-06-2025 02:04 PM</t>
  </si>
  <si>
    <t>District: Bo
Chiefdom: Komboya
PHU name: Njala CHC
Community name: Njala
Name of school: R C Primary School
Enrollment: 175</t>
  </si>
  <si>
    <t>Matmed Bonna</t>
  </si>
  <si>
    <t>Francis k Lebby</t>
  </si>
  <si>
    <t xml:space="preserve">Lucinda Josiah </t>
  </si>
  <si>
    <t>HNK42926931</t>
  </si>
  <si>
    <t>Badjia</t>
  </si>
  <si>
    <t>30-06-2025 01:58 PM</t>
  </si>
  <si>
    <t>District: Bo
Chiefdom: Badjia
PHU name: Ngelehun  CHC 
Community name: Ngelehun
Name of school: R C Primary School(Ngelehun, Ngelehun  CHC )
Enrollment: 355</t>
  </si>
  <si>
    <t>Mamawa  Sannoh</t>
  </si>
  <si>
    <t>May H  kailie</t>
  </si>
  <si>
    <t>John .S. Kailie</t>
  </si>
  <si>
    <t>MKN84198463</t>
  </si>
  <si>
    <t>jaiama@clappia.com</t>
  </si>
  <si>
    <t>30-06-2025 01:39 PM</t>
  </si>
  <si>
    <t>District: Bo
Chiefdom: Jaiama
PHU name: Koribondo CHC
Community name: Koribondo 
Name of school: Ahmadiyya Primary School
Enrollment: 278</t>
  </si>
  <si>
    <t>Aminata Kanu</t>
  </si>
  <si>
    <t>Aminata Barrie</t>
  </si>
  <si>
    <t>Foday Sheku Yambasu</t>
  </si>
  <si>
    <t>NYW32262992</t>
  </si>
  <si>
    <t>valunia@clappia.com</t>
  </si>
  <si>
    <t>30-06-2025 01:36 PM</t>
  </si>
  <si>
    <t>District: Bo
Chiefdom: Valunia
PHU name: Monghere CHC
Community name: Monghere
Name of school: B D E C Primary School(Monghere, Monghere CHC)
Enrollment: 296</t>
  </si>
  <si>
    <t>Florence.M. Momoh</t>
  </si>
  <si>
    <t xml:space="preserve">Yatta Rogers </t>
  </si>
  <si>
    <t xml:space="preserve">Andrew J Fillie </t>
  </si>
  <si>
    <t>OVE35326311</t>
  </si>
  <si>
    <t>bocity@clappia.com</t>
  </si>
  <si>
    <t>District: Bo
Chiefdom: Bo City
PHU name: Morning Star CHP
Community name: Kawusu Street B-Line
Name of school: I S L A G Primary School
Enrollment: 232</t>
  </si>
  <si>
    <t xml:space="preserve">Aminata Anthony </t>
  </si>
  <si>
    <t>Theresa Marva</t>
  </si>
  <si>
    <t xml:space="preserve">Augustin Richard's </t>
  </si>
  <si>
    <t>LNY32389523</t>
  </si>
  <si>
    <t>Magbaimba</t>
  </si>
  <si>
    <t>30-06-2025 01:15 PM</t>
  </si>
  <si>
    <t>District: Bombali
Chiefdom: Magbaimba Ndohahun 
PHU name: Hunduwa MCHP
Community name: Makendema (Magbaimba Ndorwahun)
Name of school: Community Primary School (2107-2-04311)(Makendema (Magbaimba Ndorwahun), Hunduwa MCHP)
Enrollment: 259</t>
  </si>
  <si>
    <t xml:space="preserve">Isata T Sankoh </t>
  </si>
  <si>
    <t>Today hardina Kallon</t>
  </si>
  <si>
    <t xml:space="preserve">Isata Kargbo </t>
  </si>
  <si>
    <t>MJM95206729</t>
  </si>
  <si>
    <t>kakua@clappia.com</t>
  </si>
  <si>
    <t>30-06-2025 01:04 PM</t>
  </si>
  <si>
    <t>30-06-2025 01:14 PM</t>
  </si>
  <si>
    <t>District: Bo
Chiefdom: Kakua
PHU name: U  M C Manjama CHC
Community name: Fulawahun Village
Name of school: U M C Manjama Primary School
Enrollment: 417</t>
  </si>
  <si>
    <t xml:space="preserve">William Tengbeh Kapu </t>
  </si>
  <si>
    <t xml:space="preserve">Yusuf B Kamara </t>
  </si>
  <si>
    <t xml:space="preserve">Joseph J Jongo </t>
  </si>
  <si>
    <t>ZXJ08047363</t>
  </si>
  <si>
    <t>30-06-2025 01:12 PM</t>
  </si>
  <si>
    <t>District: Bo
Chiefdom: Kakua
PHU name: M. M. Maternity MCHP
Community name: Nyagorehun 
Name of school: Grace academy
Enrollment: 146</t>
  </si>
  <si>
    <t>Private</t>
  </si>
  <si>
    <t xml:space="preserve">Agnes B kallon </t>
  </si>
  <si>
    <t xml:space="preserve">Isata Koroma </t>
  </si>
  <si>
    <t xml:space="preserve">Juanise  s fillie </t>
  </si>
  <si>
    <t>DJR47577182</t>
  </si>
  <si>
    <t>30-06-2025 12:59 PM</t>
  </si>
  <si>
    <t>District: Bo
Chiefdom: Kakua
PHU name: Yemoh Town CHC
Community name: New Sit
Name of school: U M C Primary School
Enrollment: 220</t>
  </si>
  <si>
    <t>DORIS MASSAQUOI</t>
  </si>
  <si>
    <t>Jacinta kamara</t>
  </si>
  <si>
    <t>Fatu  L Batema</t>
  </si>
  <si>
    <t>OAY41207360</t>
  </si>
  <si>
    <t>30-06-2025 12:35 PM</t>
  </si>
  <si>
    <t>District: Bo
Chiefdom: Bargbo
PHU name: Niagorehun CHP
Community name: Niagorehun
Name of school: I C S Primary School
Enrollment: 484</t>
  </si>
  <si>
    <t>Ahmed Kainesie</t>
  </si>
  <si>
    <t>Konya Kombe</t>
  </si>
  <si>
    <t xml:space="preserve">Finds James </t>
  </si>
  <si>
    <t>OYV62173863</t>
  </si>
  <si>
    <t>30-06-2025 12:31 PM</t>
  </si>
  <si>
    <t>District: Bo
Chiefdom: Kakua
PHU name: U  M C Manjama CHC
Community name: Kpetema
Name of school: Mount Horeb Primary School
Enrollment: 625</t>
  </si>
  <si>
    <t>Augustine Pessima</t>
  </si>
  <si>
    <t>Emmanuel Sam</t>
  </si>
  <si>
    <t>John Mayah</t>
  </si>
  <si>
    <t>QJT10872541</t>
  </si>
  <si>
    <t>30-06-2025 12:23 PM</t>
  </si>
  <si>
    <t>District: Bo
Chiefdom: Valunia
PHU name: Grima CHP
Community name: Yambama
Name of school: R C Primary School
Enrollment: 37</t>
  </si>
  <si>
    <t xml:space="preserve">Isata Vandy </t>
  </si>
  <si>
    <t xml:space="preserve">Elizabeth Kebbi </t>
  </si>
  <si>
    <t>Samuel Lavalie</t>
  </si>
  <si>
    <t>JFJ62737058</t>
  </si>
  <si>
    <t>30-06-2025 12:19 PM</t>
  </si>
  <si>
    <t>District: Bo
Chiefdom: Bumpeh
PHU name: Mokpende MCHP
Community name: Mokpende
Name of school: Kankaylay Primary School
Enrollment: 242</t>
  </si>
  <si>
    <t>Antoineet Mamie Victor But Kandeh</t>
  </si>
  <si>
    <t>Mariana Rogers</t>
  </si>
  <si>
    <t>More Sumaila</t>
  </si>
  <si>
    <t>KCD06759977</t>
  </si>
  <si>
    <t>30-06-2025 12:16 PM</t>
  </si>
  <si>
    <t>District: Bo
Chiefdom: Bumpeh
PHU name: Niagorehun Vaakie MCHP
Community name: Niagorehun Vaakie
Name of school: U B C Primary School
Enrollment: 176</t>
  </si>
  <si>
    <t>Francis keikula</t>
  </si>
  <si>
    <t xml:space="preserve">Mamusu Rogers </t>
  </si>
  <si>
    <t xml:space="preserve">Serah Labor </t>
  </si>
  <si>
    <t>YRS03343154</t>
  </si>
  <si>
    <t>training@clappia.com</t>
  </si>
  <si>
    <t>30-06-2025 12:05 PM</t>
  </si>
  <si>
    <t>District: Bombali
Chiefdom: Biriwa
PHU name: Kayonkoro CHP
Community name: Kamasahie Village (Biriwa)
Name of school: Ansarul Islamic Primary School (2101-2-04100)(Kamasahie Village (Biriwa), Kayonkoro CHP)
Enrollment: 110</t>
  </si>
  <si>
    <t>Mamusu Turay</t>
  </si>
  <si>
    <t>Felix Max Conteh</t>
  </si>
  <si>
    <t>Isatu Bangura</t>
  </si>
  <si>
    <t>JRM39741635</t>
  </si>
  <si>
    <t>Makenicity</t>
  </si>
  <si>
    <t>30-06-2025 11:55 AM</t>
  </si>
  <si>
    <t>District: Bombali
Chiefdom: Makeni City
PHU name: Bombali Police CHC
Community name: Azzoline High Way Makeni (Makeni City)
Name of school: Saint Francis Primary School , Makeni (2191-2-04500)(Azzoline High Way Makeni (Makeni City), Bombali Police CHC)
Enrollment: 344</t>
  </si>
  <si>
    <t>Samuel Gbembo</t>
  </si>
  <si>
    <t>Mary John</t>
  </si>
  <si>
    <t>Cecelia Bangura</t>
  </si>
  <si>
    <t>VJD58517894</t>
  </si>
  <si>
    <t>30-06-2025 11:48 AM</t>
  </si>
  <si>
    <t>District: Bombali
Chiefdom: Makeni City
PHU name: Bombali Police CHC
Community name: Makeni (Makeni City), Inspectorate Office
Name of school: District Education Committee Primary School (2191-2-04422)(Makeni (Makeni City), Inspectorate Office, Bombali Police CHC)
Enrollment: 341</t>
  </si>
  <si>
    <t xml:space="preserve">Betty messie Bongroh </t>
  </si>
  <si>
    <t xml:space="preserve">Massah  Josiah </t>
  </si>
  <si>
    <t>Unisa kamara</t>
  </si>
  <si>
    <t>EWO93675810</t>
  </si>
  <si>
    <t>30-06-2025 11:43 AM</t>
  </si>
  <si>
    <t>District: Bo
Chiefdom: Jaiama
PHU name: Niayahun CHP
Community name: Nianyahun
Name of school: B D E C Primary School
Enrollment: 198</t>
  </si>
  <si>
    <t>Brima jr and</t>
  </si>
  <si>
    <t>Paul lahai</t>
  </si>
  <si>
    <t>Brima jobo</t>
  </si>
  <si>
    <t>UEZ52119610</t>
  </si>
  <si>
    <t>gbo@clappia.com</t>
  </si>
  <si>
    <t>30-06-2025 11:39 AM</t>
  </si>
  <si>
    <t>District: Bo
Chiefdom: Gbo
PHU name: Gbaiima Songa CHC
Community name: Ngolala
Name of school: Umatul Primary School
Enrollment: 221</t>
  </si>
  <si>
    <t>Anthonett Mariam Alpha</t>
  </si>
  <si>
    <t>Bilkisa Koroma</t>
  </si>
  <si>
    <t>Nancy Lombie</t>
  </si>
  <si>
    <t>FXG10233667</t>
  </si>
  <si>
    <t>30-06-2025 11:37 AM</t>
  </si>
  <si>
    <t>District: Bo
Chiefdom: Kakua
PHU name: Fulawahun MCHP
Community name: Mattru Road
Name of school: Aladura Primary School
Enrollment: 316</t>
  </si>
  <si>
    <t xml:space="preserve">Josephine Bonnie </t>
  </si>
  <si>
    <t>Philip Swaray</t>
  </si>
  <si>
    <t>Rebecca sallay Yanguba</t>
  </si>
  <si>
    <t>HCA25665492</t>
  </si>
  <si>
    <t>30-06-2025 11:35 AM</t>
  </si>
  <si>
    <t>District: Bo
Chiefdom: Jaiama
PHU name: Koribondo CHC
Community name: Koribondo 
Name of school: I C S Primary School
Enrollment: 470</t>
  </si>
  <si>
    <t>Fatmata H Finnoh</t>
  </si>
  <si>
    <t>Lucy Senesie</t>
  </si>
  <si>
    <t>Mohamed A Bassie</t>
  </si>
  <si>
    <t>MZF40612812</t>
  </si>
  <si>
    <t>baoma@clappia.com</t>
  </si>
  <si>
    <t>30-06-2025 08:34 AM</t>
  </si>
  <si>
    <t>District: Bo
Chiefdom: Baoma
PHU name: Yamandu CHC
Community name: Yamandu
Name of school: Ahmadiyya Primary School
Enrollment: 156</t>
  </si>
  <si>
    <t>Saffie kposowa</t>
  </si>
  <si>
    <t>Abdulrahman Batalomy</t>
  </si>
  <si>
    <t>Amelia K Fofanah</t>
  </si>
  <si>
    <t>LQR96085063</t>
  </si>
  <si>
    <t>Biriwa</t>
  </si>
  <si>
    <t>30-06-2025 11:34 AM</t>
  </si>
  <si>
    <t>District: Bombali
Chiefdom: Biriwa
PHU name: Kanikay MCHP
Community name: Kanikay (Biriwa)
Name of school: Roman Catholic Primary School (2101-2-04079)(Kanikay (Biriwa), Kanikay MCHP)
Enrollment: 155</t>
  </si>
  <si>
    <t xml:space="preserve">Isatu Kalokoh </t>
  </si>
  <si>
    <t>Mariana Bockarie</t>
  </si>
  <si>
    <t xml:space="preserve">Joseph B Mansaray </t>
  </si>
  <si>
    <t>XYQ66063858</t>
  </si>
  <si>
    <t>30-06-2025 11:27 AM</t>
  </si>
  <si>
    <t>District: Bombali
Chiefdom: Makeni City
PHU name: Bombali Police CHC
Community name: Azzoline High Way Makeni (Makeni City)
Name of school: Church Of God Of Prophecy Primary School (2191-2-04483)(Azzoline High Way Makeni (Makeni City), Bombali Police CHC)
Enrollment: 619</t>
  </si>
  <si>
    <t xml:space="preserve">Kumba f bangura </t>
  </si>
  <si>
    <t>Alhaji m fillie</t>
  </si>
  <si>
    <t xml:space="preserve">Isata mansaray </t>
  </si>
  <si>
    <t>YPV96340536</t>
  </si>
  <si>
    <t xml:space="preserve">Samuel Gbembo </t>
  </si>
  <si>
    <t xml:space="preserve">Mary John </t>
  </si>
  <si>
    <t>NGM00011530</t>
  </si>
  <si>
    <t>30-06-2025 11:20 AM</t>
  </si>
  <si>
    <t>District: Bombali
Chiefdom: Makeni City
PHU name: Teko Barracks CHP
Community name: Makeni City, Teko
Name of school: Rescue Internatiional Academy Primary School (2191-2-04388)(Makeni City, Teko, Teko Barracks CHP)
Enrollment: 131</t>
  </si>
  <si>
    <t xml:space="preserve">Fatmata Bangura </t>
  </si>
  <si>
    <t xml:space="preserve">Mohamed Tarawalie </t>
  </si>
  <si>
    <t xml:space="preserve">Fatmata Kamara </t>
  </si>
  <si>
    <t>CAL28599111</t>
  </si>
  <si>
    <t>Tinkoko</t>
  </si>
  <si>
    <t>30-06-2025 11:17 AM</t>
  </si>
  <si>
    <t>District: Bo
Chiefdom: Tinkoko
PHU name: Tikonko CHC
Community name: Gendema
Name of school: S L M B Primary School
Enrollment: 142</t>
  </si>
  <si>
    <t>Diana Greene</t>
  </si>
  <si>
    <t>Florence T Fortune</t>
  </si>
  <si>
    <t>Jonathan Foday</t>
  </si>
  <si>
    <t>VII66849461</t>
  </si>
  <si>
    <t>30-06-2025 11:16 AM</t>
  </si>
  <si>
    <t>District: Bo
Chiefdom: Tinkoko
PHU name: Sembehun 17 CHP
Community name: Feilor
Name of school: I C S Primary School
Enrollment: 137</t>
  </si>
  <si>
    <t xml:space="preserve">SENESIE A. B. CHALLE </t>
  </si>
  <si>
    <t xml:space="preserve">Isata maria Koroma </t>
  </si>
  <si>
    <t xml:space="preserve">Mark Jabaty </t>
  </si>
  <si>
    <t>CAH20988377</t>
  </si>
  <si>
    <t>District: Bo
Chiefdom: Bargbo
PHU name: Jimmi CHC
Community name: Jimmi
Name of school: Methodist Primary School
Enrollment: 345</t>
  </si>
  <si>
    <t>Agnes Mildred Mbogba</t>
  </si>
  <si>
    <t>Matti Brewah</t>
  </si>
  <si>
    <t xml:space="preserve">Alhassan  Koroma </t>
  </si>
  <si>
    <t>KOZ46104365</t>
  </si>
  <si>
    <t>30-06-2025 11:05 AM</t>
  </si>
  <si>
    <t>District: Bo
Chiefdom: Kakua
PHU name: U  M C Manjama CHC
Community name: Manjama Section Bo
Name of school: U M C Manjama Primary School
Enrollment: 589</t>
  </si>
  <si>
    <t xml:space="preserve">Swaliho Kanneh </t>
  </si>
  <si>
    <t xml:space="preserve">Elisha Sheaka </t>
  </si>
  <si>
    <t xml:space="preserve">Mattu Goma </t>
  </si>
  <si>
    <t>DHC38495164</t>
  </si>
  <si>
    <t>District: Bombali
Chiefdom: Makeni City
PHU name: Teko Barracks CHP
Community name: Rogbom Sella (Makeni City)
Name of school: Immaculate Heart Of Mary Primary School (2191-2-04439)(Rogbom Sella (Makeni City), Teko Barracks CHP)
Enrollment: 654</t>
  </si>
  <si>
    <t>Mariatu Kanu</t>
  </si>
  <si>
    <t>Aminata N Koroma</t>
  </si>
  <si>
    <t>Hum Kargbo</t>
  </si>
  <si>
    <t>ASK51045368</t>
  </si>
  <si>
    <t>30-06-2025 11:04 AM</t>
  </si>
  <si>
    <t>District: Bo
Chiefdom: Jaiama
PHU name: Koribondo CHC
Community name: Koribondo 
Name of school: R C Primary School
Enrollment: 343</t>
  </si>
  <si>
    <t>Sylvester Kalilu</t>
  </si>
  <si>
    <t>Abdul S Kpaka</t>
  </si>
  <si>
    <t>Andy Amara</t>
  </si>
  <si>
    <t>XXK96292452</t>
  </si>
  <si>
    <t>District: Bombali
Chiefdom: Biriwa
PHU name: Kamabai CHC
Community name: Kamagbengbeh (Biriwa)
Name of school: Roman Catholic Primary School (2101-2-04064)(Kamagbengbeh (Biriwa), Kamabai CHC)
Enrollment: 92</t>
  </si>
  <si>
    <t>Alimamy Abdulai Bangura</t>
  </si>
  <si>
    <t>Kadiatu Jalloh</t>
  </si>
  <si>
    <t xml:space="preserve">Maddie Mansaray </t>
  </si>
  <si>
    <t>ICS81220847</t>
  </si>
  <si>
    <t>bongor@clappia.com</t>
  </si>
  <si>
    <t>30-06-2025 10:59 AM</t>
  </si>
  <si>
    <t>District: Bo
Chiefdom: Jaiama
PHU name: Koribondo CHC
Community name: Bendu 
Name of school: I C S Primary School
Enrollment: 167</t>
  </si>
  <si>
    <t>Fatmata kemokai</t>
  </si>
  <si>
    <t>Fatmata mariam sillah</t>
  </si>
  <si>
    <t>Allie Jabbie Bundu</t>
  </si>
  <si>
    <t>SQM79923246</t>
  </si>
  <si>
    <t>30-06-2025 04:33 AM</t>
  </si>
  <si>
    <t>30-06-2025 10:56 AM</t>
  </si>
  <si>
    <t>District: Bo
Chiefdom: Valunia
PHU name: Kenema Blango CHP
Community name: Kenema Blango
Name of school: Ahmadiyya Primary School
Enrollment: 350</t>
  </si>
  <si>
    <t>Martha sovula</t>
  </si>
  <si>
    <t xml:space="preserve">CHO Arrhenius </t>
  </si>
  <si>
    <t>Lansana B Makieu</t>
  </si>
  <si>
    <t>OTP21115512</t>
  </si>
  <si>
    <t>30-06-2025 10:51 AM</t>
  </si>
  <si>
    <t>District: Bombali
Chiefdom: Makeni City
PHU name: Loreto Clinic
Community name: Teko Road (Makeni City)
Name of school: Saint Joseph Roman Catholic Primary School For Girls (2191-2-04415)(Teko Road (Makeni City), Loreto Clinic)
Enrollment: 748</t>
  </si>
  <si>
    <t>Alice Faith Jimissa</t>
  </si>
  <si>
    <t>Cyrus B Sesay</t>
  </si>
  <si>
    <t>John E T Kallon</t>
  </si>
  <si>
    <t>WMV44272848</t>
  </si>
  <si>
    <t>BombaliShebora</t>
  </si>
  <si>
    <t>30-06-2025 10:50 AM</t>
  </si>
  <si>
    <t>District: Bombali
Chiefdom: Bombali Sebora 
PHU name: Makama CHP
Community name: Mabureh (Bombali Sebora)
Name of school: Saint Francis Primary School , Mabureh (2102-2-04134)(Mabureh (Bombali Sebora), Makama CHP)
Enrollment: 316</t>
  </si>
  <si>
    <t xml:space="preserve">Hawanatu s mansaray </t>
  </si>
  <si>
    <t>Fatu S Tholley</t>
  </si>
  <si>
    <t>Samuel Kanu</t>
  </si>
  <si>
    <t>MKX84849272</t>
  </si>
  <si>
    <t>30-06-2025 10:47 AM</t>
  </si>
  <si>
    <t>District: Bo
Chiefdom: Bargbo
PHU name: Mano Yorgbo MCHP
Community name: Mondrkor
Name of school: S L M B Primary School
Enrollment: 245</t>
  </si>
  <si>
    <t>Catherine Turay</t>
  </si>
  <si>
    <t>Emerson.B.Nallo</t>
  </si>
  <si>
    <t>Hellen Thomas</t>
  </si>
  <si>
    <t>UIA24944375</t>
  </si>
  <si>
    <t>District: Bo
Chiefdom: Bargbo
PHU name: Jimmi CHC
Community name: Jimmi
Name of school: B D E C Primary School
Enrollment: 363</t>
  </si>
  <si>
    <t xml:space="preserve">Doris Baindu Davies </t>
  </si>
  <si>
    <t xml:space="preserve">Breeda jonjo </t>
  </si>
  <si>
    <t xml:space="preserve">Bridject jonjo </t>
  </si>
  <si>
    <t>QFU83555777</t>
  </si>
  <si>
    <t>30-06-2025 10:44 AM</t>
  </si>
  <si>
    <t>District: Bo
Chiefdom: Bo City
PHU name: Kandeh Town CHP
Community name: Kandeh Town Extention
Name of school: Christ Healing Evangelical Primary School
Enrollment: 355</t>
  </si>
  <si>
    <t>Fatmata Beniter Mansaray</t>
  </si>
  <si>
    <t>Adama swarray</t>
  </si>
  <si>
    <t>Mr Bensika Tamba Sandi</t>
  </si>
  <si>
    <t>KQS53460625</t>
  </si>
  <si>
    <t>Safroko Limba</t>
  </si>
  <si>
    <t>30-06-2025 10:40 AM</t>
  </si>
  <si>
    <t>District: Bombali
Chiefdom: Safroko Limba 
PHU name: Kabonka CHP
Community name: Kabonka (Safroko Limba)
Name of school: Roman Catholic Primary School (2112-2-04679)(Kabonka (Safroko Limba), Kabonka CHP)
Enrollment: 155</t>
  </si>
  <si>
    <t>Adama kamara</t>
  </si>
  <si>
    <t>Razia H kargbo</t>
  </si>
  <si>
    <t>Amadu V Monkoh</t>
  </si>
  <si>
    <t>KNF19188849</t>
  </si>
  <si>
    <t>30-06-2025 10:39 AM</t>
  </si>
  <si>
    <t>District: Bo
Chiefdom: Bo City
PHU name: Simbo Town CHP
Community name: Simbo Town
Name of school: New Life International Primary School
Enrollment: 181</t>
  </si>
  <si>
    <t>Alice Bambanga</t>
  </si>
  <si>
    <t>Marian m koroma</t>
  </si>
  <si>
    <t>Simeon kpanga</t>
  </si>
  <si>
    <t>OJE56801233</t>
  </si>
  <si>
    <t>30-06-2025 10:35 AM</t>
  </si>
  <si>
    <t>District: Bombali
Chiefdom: Makeni City
PHU name: Teko Barracks CHP
Community name: Makeni (Makeni City), Forestery
Name of school: Sierra Leone Muslim Women Benevolent Organisation Primary School (2191-2-04423)(Makeni (Makeni City), Forestery, Teko Barracks CHP)
Enrollment: 430</t>
  </si>
  <si>
    <t xml:space="preserve">Abu Bakar Fullah </t>
  </si>
  <si>
    <t xml:space="preserve">Linda Decker </t>
  </si>
  <si>
    <t>Zainab G Thullah</t>
  </si>
  <si>
    <t>WFS71389166</t>
  </si>
  <si>
    <t>District: Bo
Chiefdom: Bargbo
PHU name: Limba CHP
Community name: Mandu 1
Name of school: I C S Primary School
Enrollment: 419</t>
  </si>
  <si>
    <t>Melrose kamara</t>
  </si>
  <si>
    <t>Alimamy Kemmoh Bangura</t>
  </si>
  <si>
    <t>Senesie Kamanda</t>
  </si>
  <si>
    <t>GNZ57999784</t>
  </si>
  <si>
    <t>30-06-2025 10:30 AM</t>
  </si>
  <si>
    <t>District: Bo
Chiefdom: Kakua
PHU name: Fulawahun MCHP
Community name: New London
Name of school: National Pentecostal Primary School
Enrollment: 182</t>
  </si>
  <si>
    <t xml:space="preserve">Iye Alfred </t>
  </si>
  <si>
    <t>Margaret Caulkool</t>
  </si>
  <si>
    <t>Francess Ngegba</t>
  </si>
  <si>
    <t>KCU17181476</t>
  </si>
  <si>
    <t>30-06-2025 10:29 AM</t>
  </si>
  <si>
    <t>District: Bo
Chiefdom: Baoma
PHU name: Gerihun CHC
Community name: Gerihun
Name of school: R C Girl's  Primary School
Enrollment: 326</t>
  </si>
  <si>
    <t xml:space="preserve">Fatmata Sawaneh </t>
  </si>
  <si>
    <t>Abbie kainesie</t>
  </si>
  <si>
    <t>Allie J Kpana</t>
  </si>
  <si>
    <t>TDM41196191</t>
  </si>
  <si>
    <t>lugbu@clappia.com</t>
  </si>
  <si>
    <t>District: Bo
Chiefdom: Lugbu
PHU name: Feiba CHP
Community name: Feiba
Name of school: R C Primary School
Enrollment: 351</t>
  </si>
  <si>
    <t xml:space="preserve">Frederick Walters </t>
  </si>
  <si>
    <t>GNA16808268</t>
  </si>
  <si>
    <t>30-06-2025 10:26 AM</t>
  </si>
  <si>
    <t>District: Bo
Chiefdom: Bargbo
PHU name: Kasse MCHP
Community name: Deima
Name of school: Methodist Primary School
Enrollment: 373</t>
  </si>
  <si>
    <t>05</t>
  </si>
  <si>
    <t>Yeabu Njai</t>
  </si>
  <si>
    <t>Edward s BlangoEdna</t>
  </si>
  <si>
    <t>Edna s manseray</t>
  </si>
  <si>
    <t>VQJ46134725</t>
  </si>
  <si>
    <t>District: Bo
Chiefdom: Bargbo
PHU name: Limba CHP
Community name: Bandajuma
Name of school: S L M B Primary School
Enrollment: 333</t>
  </si>
  <si>
    <t>Gabriel Kamara</t>
  </si>
  <si>
    <t>Mariama Sheriff</t>
  </si>
  <si>
    <t>George Rufus Kakpindi</t>
  </si>
  <si>
    <t>PSV31572533</t>
  </si>
  <si>
    <t>District: Bo
Chiefdom: Gbo
PHU name: Gbaiima Songa CHC
Community name: Molendeh
Name of school: Al-Qudus Primary School
Enrollment: 268</t>
  </si>
  <si>
    <t>Beatrice Manyeh</t>
  </si>
  <si>
    <t>Fatmata Mansaray</t>
  </si>
  <si>
    <t xml:space="preserve">Ezekiel Joseph Gbondo Charles </t>
  </si>
  <si>
    <t>PKA26662408</t>
  </si>
  <si>
    <t>30-06-2025 10:25 AM</t>
  </si>
  <si>
    <t>District: Bo
Chiefdom: Bongor
PHU name: Gbaama MCHP
Community name: Yeima Village
Name of school: S L M B Primary School
Enrollment: 124</t>
  </si>
  <si>
    <t>Regina A Dauda</t>
  </si>
  <si>
    <t>Alice G Musa</t>
  </si>
  <si>
    <t>Gabriel   Amara Bundu</t>
  </si>
  <si>
    <t>JEI94758272</t>
  </si>
  <si>
    <t>District: Bo
Chiefdom: Tinkoko
PHU name: Sembehun 17 CHP
Community name: Manjihun
Name of school: Ansarul Primary School
Enrollment: 141</t>
  </si>
  <si>
    <t>Phoday James Sesay</t>
  </si>
  <si>
    <t>Sani Swaray</t>
  </si>
  <si>
    <t>Ernest Kamara</t>
  </si>
  <si>
    <t>BEX11182175</t>
  </si>
  <si>
    <t>Makaria</t>
  </si>
  <si>
    <t>30-06-2025 10:14 AM</t>
  </si>
  <si>
    <t>District: Bombali
Chiefdom: Makarie 
PHU name: Makarie CHP
Community name: Makarie (Makari)
Name of school: Roman Catholic Primary School (2108-2-04339)(Makarie (Makari), Makarie CHP)
Enrollment: 405</t>
  </si>
  <si>
    <t xml:space="preserve">Sonita Kamara </t>
  </si>
  <si>
    <t xml:space="preserve">Ramatu Kamara </t>
  </si>
  <si>
    <t>Juliet A conteh</t>
  </si>
  <si>
    <t>NWP49758471</t>
  </si>
  <si>
    <t>30-06-2025 10:12 AM</t>
  </si>
  <si>
    <t>District: Bo
Chiefdom: Kakua
PHU name: M. M. Maternity MCHP
Community name: Nyagorehun 
Name of school: Christ Harvester
Enrollment: 250</t>
  </si>
  <si>
    <t>Augusta M Nylander</t>
  </si>
  <si>
    <t>Khadija Koroma</t>
  </si>
  <si>
    <t>Mohamed Lavalie</t>
  </si>
  <si>
    <t>BHK22612557</t>
  </si>
  <si>
    <t>bagbwe@clappia.com</t>
  </si>
  <si>
    <t>30-06-2025 10:11 AM</t>
  </si>
  <si>
    <t>District: Bo
Chiefdom: Bagbwe
PHU name: Ngalu CHC
Community name: Mano Pendorbu
Name of school: New Harvest Primary School
Enrollment: 151</t>
  </si>
  <si>
    <t xml:space="preserve">Jeremiah A Quigba </t>
  </si>
  <si>
    <t>Mohamed S kallon</t>
  </si>
  <si>
    <t>Ishatu Willie</t>
  </si>
  <si>
    <t>DHZ53855789</t>
  </si>
  <si>
    <t>30-06-2025 10:08 AM</t>
  </si>
  <si>
    <t>District: Bo
Chiefdom: Komboya
PHU name: Teibor CHP
Community name: Teibor
Name of school: ST. Benedict Primary School
Enrollment: 100</t>
  </si>
  <si>
    <t>Augustine H Boimah</t>
  </si>
  <si>
    <t>Kadiatu Jah</t>
  </si>
  <si>
    <t xml:space="preserve">Amadu George </t>
  </si>
  <si>
    <t>QLV53622238</t>
  </si>
  <si>
    <t>Pakimasabong</t>
  </si>
  <si>
    <t>30-06-2025 10:04 AM</t>
  </si>
  <si>
    <t>District: Bombali
Chiefdom: Paki Masabong 
PHU name: Makolor CHP
Community name: Mayawlaw Paki Masabong
Name of school: Paul Grace Ministry International Primary School (2111-2-13833)(Mayawlaw Paki Masabong, Makolor CHP)
Enrollment: 296</t>
  </si>
  <si>
    <t>Ramatu Onikeh Kamara</t>
  </si>
  <si>
    <t>Issa D B Thullah</t>
  </si>
  <si>
    <t>Thomas M Bangura</t>
  </si>
  <si>
    <t>DDI12530961</t>
  </si>
  <si>
    <t>30-06-2025 10:03 AM</t>
  </si>
  <si>
    <t>District: Bombali
Chiefdom: Makeni City
PHU name: Teko Barracks CHP
Community name: Congo Town (Makeni City)
Name of school: Wesleyan Primary School (2191-2-04403)(Congo Town (Makeni City), Teko Barracks CHP)
Enrollment: 103</t>
  </si>
  <si>
    <t xml:space="preserve">Fatmata yongu </t>
  </si>
  <si>
    <t>Marie Fullah</t>
  </si>
  <si>
    <t>Osman kanu</t>
  </si>
  <si>
    <t>DPU23020700</t>
  </si>
  <si>
    <t>30-06-2025 10:01 AM</t>
  </si>
  <si>
    <t>District: Bo
Chiefdom: Bo City
PHU name: MCH Static CHC
Community name: Mission Road
Name of school: Methodist Primary School
Enrollment: 216</t>
  </si>
  <si>
    <t>Adama f  mansaray</t>
  </si>
  <si>
    <t xml:space="preserve">Angela kpolie </t>
  </si>
  <si>
    <t xml:space="preserve">Jane B Bangali </t>
  </si>
  <si>
    <t>ZME38482053</t>
  </si>
  <si>
    <t>30-06-2025 09:59 AM</t>
  </si>
  <si>
    <t>District: Bombali
Chiefdom: Biriwa
PHU name: Kamabai CHC
Community name: Bumban Kakendeka (Biriwa)
Name of school: Roman Catholic Primary School (2101-2-04065)(Bumban Kakendeka (Biriwa), Kamabai CHC)
Enrollment: 93</t>
  </si>
  <si>
    <t>Isatu kamara</t>
  </si>
  <si>
    <t>Mamadi</t>
  </si>
  <si>
    <t>SPK20662674</t>
  </si>
  <si>
    <t>30-06-2025 09:58 AM</t>
  </si>
  <si>
    <t>District: Bo
Chiefdom: Baoma
PHU name: Tungbebu CHP
Community name: Tungbebu
Name of school: B D E C Primary School
Enrollment: 305</t>
  </si>
  <si>
    <t xml:space="preserve">Thomas French </t>
  </si>
  <si>
    <t xml:space="preserve">Mariana S George </t>
  </si>
  <si>
    <t xml:space="preserve">Ibrahim Kamara </t>
  </si>
  <si>
    <t>GRQ42621774</t>
  </si>
  <si>
    <t>30-06-2025 09:57 AM</t>
  </si>
  <si>
    <t>District: Bombali
Chiefdom: Bombali Sebora 
PHU name: Makama CHP
Community name: Makama (Bombali Sebora)
Name of school: Prince Of Peace Baptist Primary School (2102-2-04142)(Makama (Bombali Sebora), Makama CHP)
Enrollment: 371</t>
  </si>
  <si>
    <t>Agent N fullah</t>
  </si>
  <si>
    <t>Willimina Williams Gbla</t>
  </si>
  <si>
    <t xml:space="preserve">Sarah kabia </t>
  </si>
  <si>
    <t>JTB53080273</t>
  </si>
  <si>
    <t>Gbendembu</t>
  </si>
  <si>
    <t>30-06-2025 09:52 AM</t>
  </si>
  <si>
    <t>District: Bombali
Chiefdom: Gbendembu 
PHU name: Madina Loko CHP
Community name: Madina Loko Gbendembu
Name of school: Bombali District Education Committee Primary School (2105-2-14346)(Madina Loko Gbendembu, Madina Loko CHP)
Enrollment: 322</t>
  </si>
  <si>
    <t xml:space="preserve">Zainab Bangura </t>
  </si>
  <si>
    <t>Kadiatu kargbo</t>
  </si>
  <si>
    <t xml:space="preserve">Mohamed l. Janneh </t>
  </si>
  <si>
    <t>MYL69535289</t>
  </si>
  <si>
    <t>District: Bombali
Chiefdom: Paki Masabong 
PHU name: Makolor CHP
Community name: Mayawlaw (Paki Masabong)
Name of school: Sierra Leone Muslim Women Benevolent Organisation Primary School (2111-2-04647)(Mayawlaw (Paki Masabong), Makolor CHP)
Enrollment: 177</t>
  </si>
  <si>
    <t>Salamatu Kallon</t>
  </si>
  <si>
    <t>Ibrahim Conteh</t>
  </si>
  <si>
    <t>Abibatu Kamara</t>
  </si>
  <si>
    <t>EFB25399457</t>
  </si>
  <si>
    <t>30-06-2025 09:49 AM</t>
  </si>
  <si>
    <t>District: Bo
Chiefdom: Bo City
PHU name: MCH Static CHC
Community name: Mission Road
Name of school: Methodist Primary School
Enrollment: 256</t>
  </si>
  <si>
    <t>Elizabeth Bockarie</t>
  </si>
  <si>
    <t>Mohamed T. Kallon</t>
  </si>
  <si>
    <t>Dolcie K. Lans Bagoley</t>
  </si>
  <si>
    <t>KBQ96916490</t>
  </si>
  <si>
    <t>30-06-2025 09:45 AM</t>
  </si>
  <si>
    <t>District: Bo
Chiefdom: Baoma
PHU name: Yakaji MCHP
Community name: Yakaji
Name of school: R C Primary School
Enrollment: 141</t>
  </si>
  <si>
    <t>Fatmata Moiwo</t>
  </si>
  <si>
    <t>Tejan kamara</t>
  </si>
  <si>
    <t>IHH57407073</t>
  </si>
  <si>
    <t>30-06-2025 09:43 AM</t>
  </si>
  <si>
    <t>District: Bo
Chiefdom: Kakua
PHU name: SLRCS CHC
Community name: Mustapha Street Coronation Field
Name of school: S L C Primary School
Enrollment: 244</t>
  </si>
  <si>
    <t xml:space="preserve">Emilia Anthony </t>
  </si>
  <si>
    <t>Mariama Piawa</t>
  </si>
  <si>
    <t>Isata Moseray</t>
  </si>
  <si>
    <t>QYI90426811</t>
  </si>
  <si>
    <t>30-06-2025 09:42 AM</t>
  </si>
  <si>
    <t>District: Bombali
Chiefdom: Makarie 
PHU name: Makarie CHP
Community name: Makarie (Makari)
Name of school: Sierra Leone Muslim Women Benevolent Organisation Primary School (2108-2-04340)(Makarie (Makari), Makarie CHP)
Enrollment: 213</t>
  </si>
  <si>
    <t>00</t>
  </si>
  <si>
    <t xml:space="preserve">James b fornah </t>
  </si>
  <si>
    <t xml:space="preserve">Sullay Alie kanu </t>
  </si>
  <si>
    <t xml:space="preserve">Kadiatu kallay </t>
  </si>
  <si>
    <t>ASX82955079</t>
  </si>
  <si>
    <t>30-06-2025 09:37 AM</t>
  </si>
  <si>
    <t>30-06-2025 09:39 AM</t>
  </si>
  <si>
    <t>District: Bo
Chiefdom: Tinkoko
PHU name: Kendeyella MCHP
Community name: Mendewa
Name of school: Ahamadiyya Muslim Primary School Upper
Enrollment: 508</t>
  </si>
  <si>
    <t>Status Vandip</t>
  </si>
  <si>
    <t>Isata Kargbo</t>
  </si>
  <si>
    <t>Alusine Feika</t>
  </si>
  <si>
    <t>BPZ63847136</t>
  </si>
  <si>
    <t>30-06-2025 09:38 AM</t>
  </si>
  <si>
    <t>District: Bombali
Chiefdom: Makarie 
PHU name: Masongbo (Makarie) CHC
Community name: Mayorba (Makari)
Name of school: Julius Maada Bio Primary School (2108-2-12841)(Mayorba (Makari), Masongbo (Makarie) CHC)
Enrollment: 157</t>
  </si>
  <si>
    <t>Ibrahim H Koroma</t>
  </si>
  <si>
    <t>Jariatu . S. Koroma</t>
  </si>
  <si>
    <t>Marian Bangura</t>
  </si>
  <si>
    <t>QRD40619323</t>
  </si>
  <si>
    <t>30-06-2025 09:36 AM</t>
  </si>
  <si>
    <t>District: Bo
Chiefdom: Valunia
PHU name: Baomahun CHC
Community name: Baomahun
Name of school: Delengy Primary School
Enrollment: 240</t>
  </si>
  <si>
    <t xml:space="preserve">Daramy Sillah </t>
  </si>
  <si>
    <t>Yatta Koroma</t>
  </si>
  <si>
    <t>Mohamed Sannoh</t>
  </si>
  <si>
    <t>GQP18205518</t>
  </si>
  <si>
    <t>District: Bo
Chiefdom: Tinkoko
PHU name: Sembehun Tabema MCHP
Community name: Sembehun Tabema
Name of school: B D E C Primary School
Enrollment: 73</t>
  </si>
  <si>
    <t>Mary kpakaf</t>
  </si>
  <si>
    <t>fatmata sallu</t>
  </si>
  <si>
    <t>Sheku konneh</t>
  </si>
  <si>
    <t>IUS27442434</t>
  </si>
  <si>
    <t>30-06-2025 09:35 AM</t>
  </si>
  <si>
    <t>District: Bombali
Chiefdom: Makeni City
PHU name: Masuba CHP
Community name: Makeni (Gbanti)
Name of school: Islaha Primary School (2104-2-04202)(Makeni (Gbanti), Masuba CHP)
Enrollment: 199</t>
  </si>
  <si>
    <t>Sorie fornah</t>
  </si>
  <si>
    <t xml:space="preserve">Ann Marie Kanu </t>
  </si>
  <si>
    <t>Salamatu kamara</t>
  </si>
  <si>
    <t>DIS60264184</t>
  </si>
  <si>
    <t>District: Bo
Chiefdom: Baoma
PHU name: Gbahama CHP
Community name: Gbahama
Name of school: B D E C Primary School
Enrollment: 179</t>
  </si>
  <si>
    <t>Aminata Sheriff</t>
  </si>
  <si>
    <t>JOSEPH KOROMA</t>
  </si>
  <si>
    <t xml:space="preserve">Karim A Karteh </t>
  </si>
  <si>
    <t>YCY69220877</t>
  </si>
  <si>
    <t>30-06-2025 09:32 AM</t>
  </si>
  <si>
    <t>District: Bombali
Chiefdom: Makeni City
PHU name: Fullah Town 2 (Makeni City) CHP
Community name: Sesay Street (Makeni City)
Name of school: Alhadi Islamic Primary School1) (2191-2-04384)(Sesay Street (Makeni City), Fullah Town 2 (Makeni City) CHP)
Enrollment: 640</t>
  </si>
  <si>
    <t xml:space="preserve">Isatu Bangura </t>
  </si>
  <si>
    <t>Catherine s Bah</t>
  </si>
  <si>
    <t>Kumba mattia</t>
  </si>
  <si>
    <t>JIL18588290</t>
  </si>
  <si>
    <t>30-06-2025 09:28 AM</t>
  </si>
  <si>
    <t>District: Bombali
Chiefdom: Biriwa
PHU name: Kagbankona MCHP
Community name: Kathumpu (Biriwa)
Name of school: Kathumpu Community Primary School (2101-2-04051)(Kathumpu (Biriwa), Kagbankona MCHP)
Enrollment: 223</t>
  </si>
  <si>
    <t>Hawa Koker</t>
  </si>
  <si>
    <t>Mohamed said kamara</t>
  </si>
  <si>
    <t>Mariama Koker</t>
  </si>
  <si>
    <t>WRK64213694</t>
  </si>
  <si>
    <t>30-06-2025 09:24 AM</t>
  </si>
  <si>
    <t>District: Bo
Chiefdom: Bongor
PHU name: Mamboma CHP
Community name: Mamboma
Name of school: R C Primary School
Enrollment: 192</t>
  </si>
  <si>
    <t>Mary Tambi Dakowa</t>
  </si>
  <si>
    <t xml:space="preserve">Adama Sangla </t>
  </si>
  <si>
    <t xml:space="preserve">Hassan B Musa </t>
  </si>
  <si>
    <t>WND07164550</t>
  </si>
  <si>
    <t>30-06-2025 09:19 AM</t>
  </si>
  <si>
    <t>District: Bombali
Chiefdom: Gbendembu 
PHU name: Madina Loko CHP
Community name: Makago (Gbendembu)
Name of school: Sierra Leone Muslim Women Benevolent Organisation Primary School (2105-2-04257)(Makago (Gbendembu), Madina Loko CHP)
Enrollment: 229</t>
  </si>
  <si>
    <t>Isha N bangura</t>
  </si>
  <si>
    <t>Manso kanu</t>
  </si>
  <si>
    <t>Hassan K thoronka</t>
  </si>
  <si>
    <t>HEY22891265</t>
  </si>
  <si>
    <t>30-06-2025 09:18 AM</t>
  </si>
  <si>
    <t>District: Bo
Chiefdom: Bongor
PHU name: Telu CHP
Community name: Telu
Name of school: S L M B Primary School
Enrollment: 220</t>
  </si>
  <si>
    <t>Jeneba freeman</t>
  </si>
  <si>
    <t xml:space="preserve">Adella Josiah </t>
  </si>
  <si>
    <t>Anthony feika</t>
  </si>
  <si>
    <t>VYN33065954</t>
  </si>
  <si>
    <t>30-06-2025 07:35 AM</t>
  </si>
  <si>
    <t>30-06-2025 09:15 AM</t>
  </si>
  <si>
    <t>District: Bo
Chiefdom: Bargbo
PHU name: Momajo CHP
Community name: Momajo
Name of school: Ahmadiyya Primary School
Enrollment: 366</t>
  </si>
  <si>
    <t xml:space="preserve">LUCY MORIBA </t>
  </si>
  <si>
    <t xml:space="preserve">Francis m konneh </t>
  </si>
  <si>
    <t>Jusu jebbeh</t>
  </si>
  <si>
    <t>TJD87370047</t>
  </si>
  <si>
    <t>District: Bombali
Chiefdom: Bombali Sebora 
PHU name: Pate-Bana Masimbo CHP
Community name: Mankneh  I (Bombali Sebora)
Name of school: Saint Peter Luthern Primary School , Mankneh . I (2102-2-04118)(Mankneh  I (Bombali Sebora), Pate-Bana Masimbo CHP)
Enrollment: 273</t>
  </si>
  <si>
    <t>Mariana Conteh</t>
  </si>
  <si>
    <t>Mariana Lumeh</t>
  </si>
  <si>
    <t>Fudia rugiatu conteh</t>
  </si>
  <si>
    <t>KNO64988929</t>
  </si>
  <si>
    <t>30-06-2025 09:14 AM</t>
  </si>
  <si>
    <t>District: Bo
Chiefdom: Bargbo
PHU name: Momajo CHP
Community name: Momajo
Name of school: Methodist Primary School
Enrollment: 349</t>
  </si>
  <si>
    <t>Aminata A.Charles</t>
  </si>
  <si>
    <t>Abdul Brewah</t>
  </si>
  <si>
    <t>Taylu Foday</t>
  </si>
  <si>
    <t>CEM36444057</t>
  </si>
  <si>
    <t>30-06-2025 09:13 AM</t>
  </si>
  <si>
    <t>District: Bo
Chiefdom: Bo City
PHU name: Agape CHC
Community name: Bagbo Hill
Name of school: Tiabeth International School
Enrollment: 100</t>
  </si>
  <si>
    <t>Mel Rose Ansumana</t>
  </si>
  <si>
    <t>Haja Bintu Kamara</t>
  </si>
  <si>
    <t>Musa Ben Mansaray</t>
  </si>
  <si>
    <t>EZI96901648</t>
  </si>
  <si>
    <t>30-06-2025 09:12 AM</t>
  </si>
  <si>
    <t>District: Bombali
Chiefdom: Makeni City
PHU name: Loreto Clinic
Community name: Makeni, Agriculture Rd
Name of school: Seventh Day Adventist  (2191-2-14510)(Makeni, Agriculture Rd, Loreto Clinic)
Enrollment: 601</t>
  </si>
  <si>
    <t>Samuel la samba conteh</t>
  </si>
  <si>
    <t xml:space="preserve">Samuel S Kalokoh </t>
  </si>
  <si>
    <t>Fatmata Sesay</t>
  </si>
  <si>
    <t>BVT49753515</t>
  </si>
  <si>
    <t>30-06-2025 09:11 AM</t>
  </si>
  <si>
    <t>District: Bo
Chiefdom: Bo City
PHU name: MCH Static CHC
Community name: Baiima Road
Name of school: Paul School for the Blind
Enrollment: 140</t>
  </si>
  <si>
    <t>Princess Bindi</t>
  </si>
  <si>
    <t>Janet Sandy</t>
  </si>
  <si>
    <t>Finds E Ngobeh</t>
  </si>
  <si>
    <t>AJR72097410</t>
  </si>
  <si>
    <t>30-06-2025 09:10 AM</t>
  </si>
  <si>
    <t>District: Bombali
Chiefdom: Biriwa
PHU name: Kakorla MCHP
Community name: Kakola (Biriwa)
Name of school: Roman Catholic Primary School (2101-2-04066)(Kakola (Biriwa), Kakorla MCHP)
Enrollment: 166</t>
  </si>
  <si>
    <t xml:space="preserve">Mariatu Turay </t>
  </si>
  <si>
    <t>Fatmata Conteh</t>
  </si>
  <si>
    <t>Fatmata Seay</t>
  </si>
  <si>
    <t>LVH09280333</t>
  </si>
  <si>
    <t>30-06-2025 09:09 AM</t>
  </si>
  <si>
    <t>District: Bo
Chiefdom: Tinkoko
PHU name: Tikonko CHC
Community name: Tikonko
Name of school: B D E C Primary School
Enrollment: 320</t>
  </si>
  <si>
    <t>Mohamed Rahman Sesay</t>
  </si>
  <si>
    <t>Alice Brima</t>
  </si>
  <si>
    <t>Aruna Mammy</t>
  </si>
  <si>
    <t>ZJF29646082</t>
  </si>
  <si>
    <t>District: Bombali
Chiefdom: Bombali Sebora 
PHU name: Maboleh CHP
Community name: Maboleh (Bombali Sebora)
Name of school: United Methodist Church Primary School (2102-2-04131)(Maboleh (Bombali Sebora), Maboleh CHP)
Enrollment: 303</t>
  </si>
  <si>
    <t xml:space="preserve">Manu S Koroma </t>
  </si>
  <si>
    <t xml:space="preserve">Fatmata Tholley </t>
  </si>
  <si>
    <t>Winston Fornah</t>
  </si>
  <si>
    <t>YJN97236634</t>
  </si>
  <si>
    <t>District: Bo
Chiefdom: Kakua
PHU name: Veronica MCHP
Community name: New England
Name of school: Liberty Primary School
Enrollment: 131</t>
  </si>
  <si>
    <t>Esther M Ndaloma</t>
  </si>
  <si>
    <t>Rachel moriba</t>
  </si>
  <si>
    <t>Edrisa moigua</t>
  </si>
  <si>
    <t>HHZ51324074</t>
  </si>
  <si>
    <t>30-06-2025 09:08 AM</t>
  </si>
  <si>
    <t>District: Bo
Chiefdom: Bo City
PHU name: E D C Unit
Community name: Gbaiima Road
Name of school: Y W C A Primary School
Enrollment: 137</t>
  </si>
  <si>
    <t>Marie Ngegba</t>
  </si>
  <si>
    <t>Eleanor Lans- Bagoley</t>
  </si>
  <si>
    <t>Josephine kamara</t>
  </si>
  <si>
    <t>YFY32443794</t>
  </si>
  <si>
    <t>30-06-2025 09:03 AM</t>
  </si>
  <si>
    <t>District: Bo
Chiefdom: Baoma
PHU name: Tungbebu CHP
Community name: Kpatobu
Name of school: I C S Primary School
Enrollment: 388</t>
  </si>
  <si>
    <t>Thomas French</t>
  </si>
  <si>
    <t>Mariana. S George</t>
  </si>
  <si>
    <t>Ibrahim Kamara</t>
  </si>
  <si>
    <t>LJH93201931</t>
  </si>
  <si>
    <t>wonde@clappia.com</t>
  </si>
  <si>
    <t>30-06-2025 08:28 AM</t>
  </si>
  <si>
    <t>District: Bo
Chiefdom: Wonde
PHU name: Bathurst MCHP
Community name: Bathurst
Name of school: B D E C Primary School
Enrollment: 188</t>
  </si>
  <si>
    <t xml:space="preserve">Progress M Thomas </t>
  </si>
  <si>
    <t xml:space="preserve">Iye Tewoh Squire </t>
  </si>
  <si>
    <t xml:space="preserve">Isha Fortune </t>
  </si>
  <si>
    <t>VYO87194841</t>
  </si>
  <si>
    <t>30-06-2025 09:01 AM</t>
  </si>
  <si>
    <t>District: Bo
Chiefdom: Kakua
PHU name: Veronica MCHP
Community name: New England
Name of school: The Islim Bilai Mission Primary School
Enrollment: 265</t>
  </si>
  <si>
    <t>Zainab sallamatu kamara</t>
  </si>
  <si>
    <t>Hassan Yankuba</t>
  </si>
  <si>
    <t xml:space="preserve">Alpha sankoh </t>
  </si>
  <si>
    <t>IRB97691938</t>
  </si>
  <si>
    <t>30-06-2025 08:59 AM</t>
  </si>
  <si>
    <t>District: Bombali
Chiefdom: Makeni City
PHU name: Teko Barracks CHP
Community name: Makeni (Makeni City), Oic Road
Name of school: Sam-Mary International Academy Primary (2191-2-12052)(Makeni (Makeni City), Oic Road, Teko Barracks CHP)
Enrollment: 98</t>
  </si>
  <si>
    <t>Saudi koroma</t>
  </si>
  <si>
    <t>Osman I kargbo</t>
  </si>
  <si>
    <t>Aminata kamara</t>
  </si>
  <si>
    <t>DRO56499311</t>
  </si>
  <si>
    <t>30-06-2025 08:58 AM</t>
  </si>
  <si>
    <t>District: Bo
Chiefdom: Baoma
PHU name: Yakaji MCHP
Community name: Yakaji
Name of school: Ansarul Islamic Primary School
Enrollment: 278</t>
  </si>
  <si>
    <t>Alice Momoh</t>
  </si>
  <si>
    <t xml:space="preserve">Dolce M Short </t>
  </si>
  <si>
    <t>Sidikie John Nyama</t>
  </si>
  <si>
    <t>IWP38377586</t>
  </si>
  <si>
    <t>30-06-2025 08:37 AM</t>
  </si>
  <si>
    <t>30-06-2025 08:57 AM</t>
  </si>
  <si>
    <t>District: Bo
Chiefdom: Baoma
PHU name: Foindu MCHP
Community name: Ndema
Name of school: Ansarul Islamic Primary School
Enrollment: 169</t>
  </si>
  <si>
    <t xml:space="preserve">Mabel Sartie </t>
  </si>
  <si>
    <t>Martha Diawo</t>
  </si>
  <si>
    <t xml:space="preserve">Kenia Massaquoi </t>
  </si>
  <si>
    <t>VYT47983338</t>
  </si>
  <si>
    <t>30-06-2025 08:51 AM</t>
  </si>
  <si>
    <t>District: Bombali
Chiefdom: Makarie 
PHU name: Masongbo (Makarie) CHC
Community name: Masongbo (Makari)
Name of school: Wesleyan Church Of Sierra Leone Primary (2108-2-04355)(Masongbo (Makari), Masongbo (Makarie) CHC)
Enrollment: 289</t>
  </si>
  <si>
    <t xml:space="preserve">Salamatu kanu </t>
  </si>
  <si>
    <t xml:space="preserve">Isata m kamara </t>
  </si>
  <si>
    <t>Kadiatu J conteh</t>
  </si>
  <si>
    <t>RKN64951214</t>
  </si>
  <si>
    <t>30-06-2025 08:50 AM</t>
  </si>
  <si>
    <t>District: Bo
Chiefdom: Bongor
PHU name: Mamboma CHP
Community name: Mamboma
Name of school: S L M B Primary School
Enrollment: 382</t>
  </si>
  <si>
    <t>SAFULA   Saffa</t>
  </si>
  <si>
    <t xml:space="preserve">Patricia Kajue </t>
  </si>
  <si>
    <t>Moses Konjor</t>
  </si>
  <si>
    <t>TVS20863940</t>
  </si>
  <si>
    <t>30-06-2025 08:49 AM</t>
  </si>
  <si>
    <t>District: Bombali
Chiefdom: Makeni City
PHU name: Bombali Police CHC
Community name: Ropolon Road Makeni (Makeni City)
Name of school: Benevolent Islamic Primary (2191-2-04426)(Ropolon Road Makeni (Makeni City), Bombali Police CHC)
Enrollment: 351</t>
  </si>
  <si>
    <t>Sister Fatmata Sankoh</t>
  </si>
  <si>
    <t>Zainab Rashidatu Kargbo</t>
  </si>
  <si>
    <t>Moses kulambu Sesay</t>
  </si>
  <si>
    <t>VJF96700283</t>
  </si>
  <si>
    <t>District: Bo
Chiefdom: Baoma
PHU name: Jembe CHC 
Community name: Jembe
Name of school: Islamic Call Society Primary School
Enrollment: 189</t>
  </si>
  <si>
    <t>Kamara mariama</t>
  </si>
  <si>
    <t>Mariatu josiah</t>
  </si>
  <si>
    <t>Prince kovei</t>
  </si>
  <si>
    <t>IMT35040416</t>
  </si>
  <si>
    <t>30-06-2025 08:47 AM</t>
  </si>
  <si>
    <t>30-06-2025 08:48 AM</t>
  </si>
  <si>
    <t>District: Bombali
Chiefdom: Ngowahun 
PHU name: Masongbo Loko CHP
Community name: Magborawa (N'Gowahun)
Name of school: Sierra Leone Muslim Women Benevolent Organisation Primary School (2110-2-04603)(Magborawa (N'Gowahun), Masongbo Loko CHP)
Enrollment: 418</t>
  </si>
  <si>
    <t>MabintySankoh</t>
  </si>
  <si>
    <t>Mabinty lamin kamara</t>
  </si>
  <si>
    <t xml:space="preserve">Sorie kanu </t>
  </si>
  <si>
    <t>PTL60628036</t>
  </si>
  <si>
    <t>30-06-2025 08:46 AM</t>
  </si>
  <si>
    <t>District: Bo
Chiefdom: Lugbu
PHU name: Sumbuya CHC
Community name: Sumbuya
Name of school: Every Nation Primary School
Enrollment: 234</t>
  </si>
  <si>
    <t xml:space="preserve">Fanny swaray </t>
  </si>
  <si>
    <t xml:space="preserve">Jerry Lahai Amara </t>
  </si>
  <si>
    <t xml:space="preserve">Christopher Ansumana </t>
  </si>
  <si>
    <t>NSY60333921</t>
  </si>
  <si>
    <t>30-06-2025 08:43 AM</t>
  </si>
  <si>
    <t>District: Bombali
Chiefdom: Gbendembu 
PHU name: Mambala MCHP
Community name: Mambala (Gbendembu)
Name of school: Wesleyan Church Of Sierra Leone Primary (2105-2-04275)(Mambala (Gbendembu), Mambala MCHP)
Enrollment: 261</t>
  </si>
  <si>
    <t>Adama sellu</t>
  </si>
  <si>
    <t>Mabinty B Turay</t>
  </si>
  <si>
    <t>Sntigie conteh</t>
  </si>
  <si>
    <t>MBZ95462960</t>
  </si>
  <si>
    <t>30-06-2025 08:42 AM</t>
  </si>
  <si>
    <t>District: Bombali
Chiefdom: Makarie 
PHU name: Masongbo (Makarie) CHC
Community name: Masongo (Makari)
Name of school: Melish International Academy Primary School (2108-2-04361)(Masongo (Makari), Masongbo (Makarie) CHC)
Enrollment: 131</t>
  </si>
  <si>
    <t xml:space="preserve">John Chico Kamara </t>
  </si>
  <si>
    <t xml:space="preserve">Fatmata Kondowa </t>
  </si>
  <si>
    <t>Martin Bangura</t>
  </si>
  <si>
    <t>IGY16870407</t>
  </si>
  <si>
    <t>District: Bo
Chiefdom: Kakua
PHU name: Favour MCHP
Community name: Kendeyama Road
Name of school: Al-Qudus Islamic Primary School
Enrollment: 109</t>
  </si>
  <si>
    <t>Mary J. Ngobeh</t>
  </si>
  <si>
    <t>Ashmaru G Feika</t>
  </si>
  <si>
    <t>Amos B Koroma</t>
  </si>
  <si>
    <t>WGT11322600</t>
  </si>
  <si>
    <t>30-06-2025 08:33 AM</t>
  </si>
  <si>
    <t>District: Bo
Chiefdom: Tinkoko
PHU name: Zion CHP
Community name: Jopowahun
Name of school: Believers in Christ Primary School
Enrollment: 44</t>
  </si>
  <si>
    <t>Rebecca M Sandy</t>
  </si>
  <si>
    <t xml:space="preserve">Yeabu B Kanu </t>
  </si>
  <si>
    <t xml:space="preserve">Mary Y Senesie </t>
  </si>
  <si>
    <t>PCT06301898</t>
  </si>
  <si>
    <t>30-06-2025 08:31 AM</t>
  </si>
  <si>
    <t>District: Bo
Chiefdom: Lugbu
PHU name: Sumbuya CHC
Community name: Sumbuya
Name of school: Bethlehem Primary School
Enrollment: 246</t>
  </si>
  <si>
    <t>Dora Hinckley</t>
  </si>
  <si>
    <t>Rosaline Vandi</t>
  </si>
  <si>
    <t>Amara Gbonda</t>
  </si>
  <si>
    <t>JAI47457796</t>
  </si>
  <si>
    <t>District: Bo
Chiefdom: Baoma
PHU name: Jembe CHC 
Community name: Jembe
Name of school: United Methodist Church Primary School
Enrollment: 254</t>
  </si>
  <si>
    <t xml:space="preserve">Fatmata Sannoh </t>
  </si>
  <si>
    <t xml:space="preserve">Agnes Conteh </t>
  </si>
  <si>
    <t>Aminata. Rogers</t>
  </si>
  <si>
    <t>LJO87518568</t>
  </si>
  <si>
    <t>30-06-2025 08:30 AM</t>
  </si>
  <si>
    <t>District: Bombali
Chiefdom: Makeni City
PHU name: Teko Barracks CHP
Community name: Teko Barracks (Makeni City)
Name of school: Teko Services Roman Catholic Primary School I (2191-2-04394)(Teko Barracks (Makeni City), Teko Barracks CHP)
Enrollment: 479</t>
  </si>
  <si>
    <t xml:space="preserve">Abubakarr A Kamara </t>
  </si>
  <si>
    <t xml:space="preserve">Usman T Kamara </t>
  </si>
  <si>
    <t>Mabinty kabba</t>
  </si>
  <si>
    <t>CZX85278567</t>
  </si>
  <si>
    <t>District: Bo
Chiefdom: Kakua
PHU name: Favour MCHP
Community name: Kendeyama Road
Name of school: Faith Internation Primary School
Enrollment: 200</t>
  </si>
  <si>
    <t xml:space="preserve">Amidu kamara </t>
  </si>
  <si>
    <t>Susan Brewah</t>
  </si>
  <si>
    <t xml:space="preserve">Alice A sandy </t>
  </si>
  <si>
    <t>TOI02875064</t>
  </si>
  <si>
    <t>30-06-2025 08:27 AM</t>
  </si>
  <si>
    <t>District: Bo
Chiefdom: Lugbu
PHU name: Sumbuya CHC
Community name: Sumbuya
Name of school: I C S Primary School(Sumbuya, Sumbuya CHC)
Enrollment: 385</t>
  </si>
  <si>
    <t>Hannah kabba</t>
  </si>
  <si>
    <t>James Collier vandy</t>
  </si>
  <si>
    <t xml:space="preserve">Mohamed Tommy </t>
  </si>
  <si>
    <t>ASX97743708</t>
  </si>
  <si>
    <t>30-06-2025 08:25 AM</t>
  </si>
  <si>
    <t>District: Bo
Chiefdom: Bongor
PHU name: Telu CHP
Community name: Telu
Name of school: R C Primary School
Enrollment: 132</t>
  </si>
  <si>
    <t xml:space="preserve">Foday Lukulay </t>
  </si>
  <si>
    <t xml:space="preserve">Binta Barrie </t>
  </si>
  <si>
    <t>Lucy Alie</t>
  </si>
  <si>
    <t>QCM78410122</t>
  </si>
  <si>
    <t>30-06-2025 08:24 AM</t>
  </si>
  <si>
    <t>District: Bo
Chiefdom: Bumpeh
PHU name: Bumpeh CHC
Community name: Bumpeh
Name of school: U B C Primary School
Enrollment: 251</t>
  </si>
  <si>
    <t>Mariana s Jusu</t>
  </si>
  <si>
    <t>Mariana A Mansaray</t>
  </si>
  <si>
    <t>Mattia M Bockarie</t>
  </si>
  <si>
    <t>DVL76826793</t>
  </si>
  <si>
    <t>30-06-2025 08:23 AM</t>
  </si>
  <si>
    <t>District: Bombali
Chiefdom: Gbendembu 
PHU name: Kortohun CHP
Community name: Kortuhun (Gbendembu)
Name of school: Wesleyan Church Of Sierra Leone Primary School (2105-2-04254)(Kortuhun (Gbendembu), Kortohun CHP)
Enrollment: 263</t>
  </si>
  <si>
    <t>Umu Bangura</t>
  </si>
  <si>
    <t>Moses Timothy Thoronka</t>
  </si>
  <si>
    <t>Musa Kargbo</t>
  </si>
  <si>
    <t>FAX93499269</t>
  </si>
  <si>
    <t>30-06-2025 08:22 AM</t>
  </si>
  <si>
    <t>District: Bombali
Chiefdom: Gbanti (Bombali) 
PHU name: Stocco CHP
Community name: Stocco Junction Makeni (Gbanti)
Name of school: Alhadi Islamic Primary School (2104-2-04218)(Stocco Junction Makeni (Gbanti), Stocco CHP)
Enrollment: 252</t>
  </si>
  <si>
    <t>Adama Mansaray</t>
  </si>
  <si>
    <t>Mohamed Foday Tholley Aminata.Korama</t>
  </si>
  <si>
    <t>Aminata S Koroma</t>
  </si>
  <si>
    <t>TOM28892418</t>
  </si>
  <si>
    <t>30-06-2025 08:21 AM</t>
  </si>
  <si>
    <t>District: Bombali
Chiefdom: Safroko Limba 
PHU name: Binkolo CHC
Community name: Binkolo (Safroko Limba)
Name of school: Alhadi Islamic Primary School Binkolo (2112-2-04671)(Binkolo (Safroko Limba), Binkolo CHC)
Enrollment: 257</t>
  </si>
  <si>
    <t xml:space="preserve">Foday  Turay </t>
  </si>
  <si>
    <t xml:space="preserve">Paul M Koroma </t>
  </si>
  <si>
    <t xml:space="preserve">Rebecca K sesay </t>
  </si>
  <si>
    <t>NBT07896456</t>
  </si>
  <si>
    <t>30-06-2025 08:20 AM</t>
  </si>
  <si>
    <t>District: Bombali
Chiefdom: Makeni City
PHU name: Teko Barracks CHP
Community name: Oic Road Makeni (Makeni City)
Name of school: Sierra Leone Muslim Women Benevolent Organisation Primary School (2191-2-04406)(Oic Road Makeni (Makeni City), Teko Barracks CHP)
Enrollment: 175</t>
  </si>
  <si>
    <t>NYR82230609</t>
  </si>
  <si>
    <t>District: Bombali
Chiefdom: Makeni City
PHU name: Fullah Town 2 (Makeni City) CHP
Community name: Rochain (Gbanti)
Name of school: Joe International Academy (2104-2-04232)(Rochain (Gbanti), Fullah Town 2 (Makeni City) CHP)
Enrollment: 221</t>
  </si>
  <si>
    <t>Ashmia Mansaray</t>
  </si>
  <si>
    <t>Isha B Kanu</t>
  </si>
  <si>
    <t>OKY07032290</t>
  </si>
  <si>
    <t>30-06-2025 08:11 AM</t>
  </si>
  <si>
    <t>30-06-2025 08:19 AM</t>
  </si>
  <si>
    <t>District: Bo
Chiefdom: Kakua
PHU name: Bandajuma MCHP
Community name: Bandajuma
Name of school: R C Primary School
Enrollment: 130</t>
  </si>
  <si>
    <t>Christina kowa</t>
  </si>
  <si>
    <t>ARJ60984373</t>
  </si>
  <si>
    <t>30-06-2025 08:18 AM</t>
  </si>
  <si>
    <t>District: Bo
Chiefdom: Lugbu
PHU name: Kpetewoma CHP
Community name: Gondama
Name of school: SLMB Primary School
Enrollment: 92</t>
  </si>
  <si>
    <t>Isata Frances vandy</t>
  </si>
  <si>
    <t>Princess B. Semoi</t>
  </si>
  <si>
    <t>Hawanatu Lansana</t>
  </si>
  <si>
    <t>MIQ74607196</t>
  </si>
  <si>
    <t>30-06-2025 08:17 AM</t>
  </si>
  <si>
    <t>District: Bo
Chiefdom: Tinkoko
PHU name: We Care Health CHP
Community name: Mosamai
Name of school: Mosamai Community Primary School
Enrollment: 132</t>
  </si>
  <si>
    <t>Osman Bangura</t>
  </si>
  <si>
    <t>Baindu Lahai</t>
  </si>
  <si>
    <t xml:space="preserve">Abu Coomber </t>
  </si>
  <si>
    <t>OHK95058632</t>
  </si>
  <si>
    <t>District: Bombali
Chiefdom: Gbendembu 
PHU name: Gbendembu CHC
Community name: Mahai (Gbendembu)
Name of school: Community Primary School (2105-2-04262)(Mahai (Gbendembu), Gbendembu CHC)
Enrollment: 156</t>
  </si>
  <si>
    <t xml:space="preserve">Marima jalloh </t>
  </si>
  <si>
    <t xml:space="preserve">Francess Musa Koroma </t>
  </si>
  <si>
    <t xml:space="preserve">Hawa R Koroma </t>
  </si>
  <si>
    <t>KOT91851634</t>
  </si>
  <si>
    <t>30-06-2025 08:14 AM</t>
  </si>
  <si>
    <t>District: Bombali
Chiefdom: Makarie 
PHU name: Masongbo (Makarie) CHC
Community name: Masongbo (Makari)
Name of school: Roman Catholic Primary School (2108-2-04353)(Masongbo (Makari), Masongbo (Makarie) CHC)
Enrollment: 450</t>
  </si>
  <si>
    <t>Emmanuel songu</t>
  </si>
  <si>
    <t>Kaditu.A.koroma</t>
  </si>
  <si>
    <t>Margaret f sesay</t>
  </si>
  <si>
    <t>USR64835760</t>
  </si>
  <si>
    <t>District: Bo
Chiefdom: Kakua
PHU name: Bandajuma MCHP
Community name: Bandajuma
Name of school: Petfra Primary School
Enrollment: 422</t>
  </si>
  <si>
    <t>Hawanatu mehemoh</t>
  </si>
  <si>
    <t>Marian foray</t>
  </si>
  <si>
    <t>Henry.m. Amara</t>
  </si>
  <si>
    <t>NON69347445</t>
  </si>
  <si>
    <t>District: Bombali
Chiefdom: Gbendembu 
PHU name: Mamaka MCHP
Community name: Mamaka (Gbendembu)
Name of school: Wesleyan Church Of Sierra Leone Primary School (2105-2-04264)(Mamaka (Gbendembu), Mamaka MCHP)
Enrollment: 269</t>
  </si>
  <si>
    <t xml:space="preserve">Aminata Bangura </t>
  </si>
  <si>
    <t>Momoh fornah</t>
  </si>
  <si>
    <t xml:space="preserve">Sulaiman alpha Kamara </t>
  </si>
  <si>
    <t>KHW13554408</t>
  </si>
  <si>
    <t>30-06-2025 08:10 AM</t>
  </si>
  <si>
    <t>District: Bo
Chiefdom: Bo City
PHU name: Tengbewabu MCHP
Community name: Tengbewabu
Name of school: Bilal Islamic Primary School
Enrollment: 124</t>
  </si>
  <si>
    <t>Augustine Lahai</t>
  </si>
  <si>
    <t>Francis Luseni</t>
  </si>
  <si>
    <t>Edna Musa</t>
  </si>
  <si>
    <t>OKT33443519</t>
  </si>
  <si>
    <t>District: Bo
Chiefdom: Tinkoko
PHU name: Gondama CHC
Community name: Gondama
Name of school: ST. Augustine Primary School
Enrollment: 259</t>
  </si>
  <si>
    <t>Rose Rogers</t>
  </si>
  <si>
    <t>Kadiatu Jabbie</t>
  </si>
  <si>
    <t>Sulaiman Idrissll</t>
  </si>
  <si>
    <t>NPE19089147</t>
  </si>
  <si>
    <t>30-06-2025 08:09 AM</t>
  </si>
  <si>
    <t>District: Bombali
Chiefdom: Makarie 
PHU name: Makarie CHP
Community name: Rolakoh Ii (Makari)
Name of school: Sierra Leone Muslim Women Benevolent Organisation Primary School (2108-2-04344)(Rolakoh Ii (Makari), Makarie CHP)
Enrollment: 213</t>
  </si>
  <si>
    <t>Mohamed  d kanu</t>
  </si>
  <si>
    <t>Angela korgbo</t>
  </si>
  <si>
    <t>Sulaiman tarawalie</t>
  </si>
  <si>
    <t>DFP87838815</t>
  </si>
  <si>
    <t>30-06-2025 08:07 AM</t>
  </si>
  <si>
    <t>District: Bo
Chiefdom: Wonde
PHU name: Kambawama MCHP
Community name: Yawaju
Name of school: B D E C Primary School
Enrollment: 243</t>
  </si>
  <si>
    <t>Massela F Sheriff</t>
  </si>
  <si>
    <t>Moses Fawaz Musa Jaward</t>
  </si>
  <si>
    <t>Fatmata Yokie Conteh</t>
  </si>
  <si>
    <t>TJZ58042393</t>
  </si>
  <si>
    <t>30-06-2025 08:06 AM</t>
  </si>
  <si>
    <t>District: Bo
Chiefdom: Tinkoko
PHU name: Gondama CHC
Community name: Gondama
Name of school: Ansarul Primary School
Enrollment: 358</t>
  </si>
  <si>
    <t>Adella paris</t>
  </si>
  <si>
    <t>Saffie kornya Jusu</t>
  </si>
  <si>
    <t>Mbalu T. Koroma</t>
  </si>
  <si>
    <t>RAW53481743</t>
  </si>
  <si>
    <t>30-06-2025 07:59 AM</t>
  </si>
  <si>
    <t>30-06-2025 08:05 AM</t>
  </si>
  <si>
    <t>District: Bo
Chiefdom: Komboya
PHU name: Komborya Gbauja MCHP
Community name: Komborya Gbauja
Name of school: S L M B Primary School
Enrollment: 105</t>
  </si>
  <si>
    <t xml:space="preserve">Jenna Sesay </t>
  </si>
  <si>
    <t>Adie Koroma</t>
  </si>
  <si>
    <t xml:space="preserve">Abubakar Jalloh </t>
  </si>
  <si>
    <t>QBI50750291</t>
  </si>
  <si>
    <t>Mara</t>
  </si>
  <si>
    <t>30-06-2025 08:04 AM</t>
  </si>
  <si>
    <t>District: Bombali
Chiefdom: Mara 
PHU name: Kiampkakolo MCHP
Community name: Kiamp Kakolo (Mara)
Name of school: Evangelical Model Priimary School (2109-2-04562)(Kiamp Kakolo (Mara), Kiampkakolo MCHP)
Enrollment: 309</t>
  </si>
  <si>
    <t>Mohamed Koroma</t>
  </si>
  <si>
    <t xml:space="preserve">Fatmata N Kamara </t>
  </si>
  <si>
    <t xml:space="preserve">Musu Kamara </t>
  </si>
  <si>
    <t>MVD58319835</t>
  </si>
  <si>
    <t>30-06-2025 08:03 AM</t>
  </si>
  <si>
    <t>District: Bo
Chiefdom: Kakua
PHU name: Nafaya MCHP
Community name: Johnny Layout
Name of school: I S L A G Primary School
Enrollment: 96</t>
  </si>
  <si>
    <t>Theresa B Luseni</t>
  </si>
  <si>
    <t>Christiana Adama Jabaty</t>
  </si>
  <si>
    <t>Lansana George</t>
  </si>
  <si>
    <t>KGU46572619</t>
  </si>
  <si>
    <t>District: Bo
Chiefdom: Baoma
PHU name: Mbundorbu MCHP
Community name: Mbundorbu
Name of school: R C Primary School
Enrollment: 230</t>
  </si>
  <si>
    <t xml:space="preserve">Mariana Steven </t>
  </si>
  <si>
    <t xml:space="preserve">Judith Steven </t>
  </si>
  <si>
    <t>Battu Hakawah</t>
  </si>
  <si>
    <t>BSC52653994</t>
  </si>
  <si>
    <t>30-06-2025 08:01 AM</t>
  </si>
  <si>
    <t>District: Bombali
Chiefdom: Bombali Sebora 
PHU name: Makump Bana CHP
Community name: Makambo (Bombali Sebora)
Name of school: Soma Community Primary School (2102-2-04132)(Makambo (Bombali Sebora), Makump Bana CHP)
Enrollment: 353</t>
  </si>
  <si>
    <t>Mabinty G Mansaray</t>
  </si>
  <si>
    <t>Haha fatmata Sesay</t>
  </si>
  <si>
    <t xml:space="preserve">Marian M  Tarawalie </t>
  </si>
  <si>
    <t>TBN19221599</t>
  </si>
  <si>
    <t>District: Bo
Chiefdom: Lugbu
PHU name: Sumbuya CHC
Community name: Sumbuya
Name of school: Methodist Primary School(Sumbuya, Sumbuya CHC)
Enrollment: 359</t>
  </si>
  <si>
    <t xml:space="preserve">Theresa Gbanie </t>
  </si>
  <si>
    <t xml:space="preserve">Samuel momoh </t>
  </si>
  <si>
    <t xml:space="preserve">Denis kaimassa </t>
  </si>
  <si>
    <t>XTK84758885</t>
  </si>
  <si>
    <t>30-06-2025 08:00 AM</t>
  </si>
  <si>
    <t>District: Bo
Chiefdom: Kakua
PHU name: Nafaya MCHP
Community name: Abu Street
Name of school: Faith Alive International Primary School
Enrollment: 343</t>
  </si>
  <si>
    <t>Wuyata Kanneh</t>
  </si>
  <si>
    <t xml:space="preserve">JAMES Bockarie Williams </t>
  </si>
  <si>
    <t>Musa Gbessay</t>
  </si>
  <si>
    <t>QZW30658063</t>
  </si>
  <si>
    <t>District: Bombali
Chiefdom: Paki Masabong 
PHU name: Mapaki CHC
Community name: Makotha (Paki Masabong)
Name of school: Maranatha Pentecostal Mission (2111-2-04626)(Makotha (Paki Masabong), Mapaki CHC)
Enrollment: 276</t>
  </si>
  <si>
    <t>Esther Tarawalie</t>
  </si>
  <si>
    <t>Joseph conteh</t>
  </si>
  <si>
    <t>Mabinty  kamara</t>
  </si>
  <si>
    <t>IDX95905470</t>
  </si>
  <si>
    <t>30-06-2025 07:58 AM</t>
  </si>
  <si>
    <t>District: Bo
Chiefdom: Tinkoko
PHU name: Tikonko CHC
Community name: Tikonko
Name of school: Methodist Primary School
Enrollment: 329</t>
  </si>
  <si>
    <t>Sally Mbawah</t>
  </si>
  <si>
    <t>Ibrahim Ndanema</t>
  </si>
  <si>
    <t>Elizabeth Rogers</t>
  </si>
  <si>
    <t>OVX58241833</t>
  </si>
  <si>
    <t>District: Bo
Chiefdom: Baoma
PHU name: Baoma CHP
Community name: Baoma Station
Name of school: U M C Primary School
Enrollment: 162</t>
  </si>
  <si>
    <t xml:space="preserve">Mohammad A Koroma </t>
  </si>
  <si>
    <t>Joseph kondoh</t>
  </si>
  <si>
    <t>Mohamed. Bawoh</t>
  </si>
  <si>
    <t>SSQ62048656</t>
  </si>
  <si>
    <t>30-06-2025 07:55 AM</t>
  </si>
  <si>
    <t>District: Bombali
Chiefdom: Makeni City
PHU name: Bombali Police CHC
Community name: Azzoline High Way Makeni (Makeni City)
Name of school: Heritage Primary School (2191-2-12158)(Azzoline High Way Makeni (Makeni City), Bombali Police CHC)
Enrollment: 110</t>
  </si>
  <si>
    <t>Christiana sesay</t>
  </si>
  <si>
    <t>Zainab pratt</t>
  </si>
  <si>
    <t>Sennatu foday koroma</t>
  </si>
  <si>
    <t>UYN84044846</t>
  </si>
  <si>
    <t>30-06-2025 07:54 AM</t>
  </si>
  <si>
    <t>District: Bombali
Chiefdom: Gbendembu 
PHU name: Gbendembu CHC
Community name: Gbendembu
Name of school: Wesleyan Primary School Gbendembu (2105-2-04248)(Gbendembu, Gbendembu CHC)
Enrollment: 274</t>
  </si>
  <si>
    <t>Emmanuel A Sesay</t>
  </si>
  <si>
    <t xml:space="preserve">Abibatu Adama Bangura </t>
  </si>
  <si>
    <t>Kandeh Sesay</t>
  </si>
  <si>
    <t>QXL23486274</t>
  </si>
  <si>
    <t>30-06-2025 07:51 AM</t>
  </si>
  <si>
    <t>District: Bombali
Chiefdom: Bombali Sebora 
PHU name: Robat CHP
Community name: Robat (Bombali Sebora)
Name of school: Wesleyan Church Of Sierra Leone Primary School (2102-2-04149)(Robat (Bombali Sebora), Robat CHP)
Enrollment: 309</t>
  </si>
  <si>
    <t xml:space="preserve">DIANAH BINTU TOMMY </t>
  </si>
  <si>
    <t>ESTHER KAMAMA</t>
  </si>
  <si>
    <t>BALLIE KARGBO</t>
  </si>
  <si>
    <t>YZJ00603504</t>
  </si>
  <si>
    <t>District: Bo
Chiefdom: Bagbwe
PHU name: Ngalu CHC
Community name: Ngalu
Name of school: R C Primary School
Enrollment: 316</t>
  </si>
  <si>
    <t xml:space="preserve">Martha Samba </t>
  </si>
  <si>
    <t xml:space="preserve">Ishmael Mokowa </t>
  </si>
  <si>
    <t xml:space="preserve">Abibatu Koroma </t>
  </si>
  <si>
    <t>XWW71743808</t>
  </si>
  <si>
    <t>District: Bo
Chiefdom: Bo City
PHU name: E D C Unit
Community name: Gbaiima Road
Name of school: Tina Memorial Primary School
Enrollment: 136</t>
  </si>
  <si>
    <t>RASHID KORSU</t>
  </si>
  <si>
    <t>ALIE B. NAYNDEBO</t>
  </si>
  <si>
    <t>MARY SACKEY</t>
  </si>
  <si>
    <t>HFJ22794410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</si>
  <si>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</si>
  <si>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</si>
  <si>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 xml:space="preserve">Sento N Kargbo </t>
  </si>
  <si>
    <t xml:space="preserve">Alice conteh </t>
  </si>
  <si>
    <t xml:space="preserve">Adorah Alfred Kamara </t>
  </si>
  <si>
    <t>XEY73100732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</si>
  <si>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</si>
  <si>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</si>
  <si>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</si>
  <si>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 xml:space="preserve">Henry Edwards </t>
  </si>
  <si>
    <t xml:space="preserve">Patricia Lucida lahai </t>
  </si>
  <si>
    <t xml:space="preserve">Kevin I Conteh </t>
  </si>
  <si>
    <t>YRY11174129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</si>
  <si>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</si>
  <si>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>XCN67989682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</si>
  <si>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</si>
  <si>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</si>
  <si>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</si>
  <si>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>Mohamed  G  Mansaray</t>
  </si>
  <si>
    <t>Mattu Sillah</t>
  </si>
  <si>
    <t>ZOM52930135</t>
  </si>
  <si>
    <t>District: Bo
Chiefdom: Baoma
PHU name: Baoma CHP
Community name: Baoma Station
Name of school: Ansarul Islamic Primary School
Enrollment: 318</t>
  </si>
  <si>
    <t>AGNES SAMA</t>
  </si>
  <si>
    <t>Alex..maada..kowa</t>
  </si>
  <si>
    <t>Miriama Kaimapo</t>
  </si>
  <si>
    <t>TSG59452380</t>
  </si>
  <si>
    <t>30-06-2025 07:39 AM</t>
  </si>
  <si>
    <t>District: Bo
Chiefdom: Gbo
PHU name: Gbaiima Songa CHC
Community name: Mokebbie
Name of school: Peevic Aviation Primary School
Enrollment: 138</t>
  </si>
  <si>
    <t>Josephine Faith Fannah</t>
  </si>
  <si>
    <t>Fatmata c Vandy</t>
  </si>
  <si>
    <t>Benjamin s  sesaymmo</t>
  </si>
  <si>
    <t>XWH86274748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</si>
  <si>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0</t>
  </si>
  <si>
    <t xml:space="preserve">Fatmata Amie Gbla </t>
  </si>
  <si>
    <t xml:space="preserve">Rugiatu kargbo </t>
  </si>
  <si>
    <t xml:space="preserve">Fatmata Gibril Kalokoh </t>
  </si>
  <si>
    <t>CCE58524124</t>
  </si>
  <si>
    <t>30-06-2025 07:34 AM</t>
  </si>
  <si>
    <t>District: Bo
Chiefdom: Bo City
PHU name: Morning Star CHP
Community name: C-Line Sewa Road
Name of school: R C Madonna Primary School
Enrollment: 196</t>
  </si>
  <si>
    <t>Elizabeth B M'brewah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</si>
  <si>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</si>
  <si>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</si>
  <si>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</si>
  <si>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</si>
  <si>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</si>
  <si>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 xml:space="preserve">Lydia Thomas </t>
  </si>
  <si>
    <t xml:space="preserve">Augusta Rogers </t>
  </si>
  <si>
    <t xml:space="preserve">Jamiru Ibrahim </t>
  </si>
  <si>
    <t>HVD62101551</t>
  </si>
  <si>
    <t>Ngowahun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</si>
  <si>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</si>
  <si>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</si>
  <si>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</si>
  <si>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</si>
  <si>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</si>
  <si>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</si>
  <si>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</si>
  <si>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</si>
  <si>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</si>
  <si>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 xml:space="preserve">Fatmata W Jalloh </t>
  </si>
  <si>
    <t>Phelix A. Kainwo</t>
  </si>
  <si>
    <t>ZFJ65860817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</si>
  <si>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</si>
  <si>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</si>
  <si>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</si>
  <si>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</si>
  <si>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>Paul .T .M.  Saffa</t>
  </si>
  <si>
    <t>SSQ62369537</t>
  </si>
  <si>
    <t>30-06-2025 07:16 AM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</si>
  <si>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0</t>
  </si>
  <si>
    <t xml:space="preserve">Ramatu Barrie </t>
  </si>
  <si>
    <t xml:space="preserve">Kadiatu Sesay </t>
  </si>
  <si>
    <t xml:space="preserve">Edward Lamin Kargbo </t>
  </si>
  <si>
    <t>DEW52932994</t>
  </si>
  <si>
    <t>30-06-2025 07:12 AM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</si>
  <si>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</si>
  <si>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</si>
  <si>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</si>
  <si>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</si>
  <si>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</si>
  <si>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</si>
  <si>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</si>
  <si>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</si>
  <si>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 xml:space="preserve">Christiana Laundeh </t>
  </si>
  <si>
    <t>Alex.A .T Bangurah</t>
  </si>
  <si>
    <t>UOJ36407166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</si>
  <si>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</si>
  <si>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Isata T Bangura </t>
  </si>
  <si>
    <t xml:space="preserve">Alpha Kargbo </t>
  </si>
  <si>
    <t>Sallay Bundu</t>
  </si>
  <si>
    <t>IAB95995918</t>
  </si>
  <si>
    <t>30-06-2025 07:06 AM</t>
  </si>
  <si>
    <t>District: Bo
Chiefdom: Tinkoko
PHU name: Gondama CHC
Community name: Gondama
Name of school: SLUIM Islamic Primary School
Enrollment: 154</t>
  </si>
  <si>
    <t xml:space="preserve">Hawa mansaray </t>
  </si>
  <si>
    <t>Mariama tarawally</t>
  </si>
  <si>
    <t>Saffa sarmu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</si>
  <si>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</si>
  <si>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</si>
  <si>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</si>
  <si>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</si>
  <si>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</si>
  <si>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</si>
  <si>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</si>
  <si>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</si>
  <si>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 xml:space="preserve">Mariama Yilla </t>
  </si>
  <si>
    <t xml:space="preserve">Bernadette J George </t>
  </si>
  <si>
    <t>Saidu moigua</t>
  </si>
  <si>
    <t>MTO06577109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</si>
  <si>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</si>
  <si>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Beatrice Alice. Lebbie</t>
  </si>
  <si>
    <t>Sulaiman Bah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</si>
  <si>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</si>
  <si>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</si>
  <si>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</si>
  <si>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</si>
  <si>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</si>
  <si>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</si>
  <si>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</si>
  <si>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</si>
  <si>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</si>
  <si>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</si>
  <si>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</si>
  <si>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</si>
  <si>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</si>
  <si>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</si>
  <si>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</si>
  <si>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</si>
  <si>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</si>
  <si>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</si>
  <si>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</si>
  <si>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</si>
  <si>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</si>
  <si>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</si>
  <si>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>Saito A marah</t>
  </si>
  <si>
    <t xml:space="preserve">Issa Koroma </t>
  </si>
  <si>
    <t>PWC02903528</t>
  </si>
  <si>
    <t>District: Bombali
Chiefdom: Bombali Sebora 
PHU name: Maforay (Bombali Sebora) CHP
Community name: Mabarrie Village
Name of school: Royal Academy Primary School (2102-2-14938)(Mabarrie Village, Maforay (Bombali Sebora) CHP)
Enrollment: 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</si>
  <si>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</si>
  <si>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</si>
  <si>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</si>
  <si>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</si>
  <si>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</si>
  <si>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</si>
  <si>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</si>
  <si>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</si>
  <si>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</si>
  <si>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</si>
  <si>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</si>
  <si>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>Modu  T Mansaray</t>
  </si>
  <si>
    <t>Seibatu H Yokie</t>
  </si>
  <si>
    <t>Justina T Momodu</t>
  </si>
  <si>
    <t>EXH27204622</t>
  </si>
  <si>
    <t>niawalenga@clappia.com</t>
  </si>
  <si>
    <t>30-06-2025 06:44 AM</t>
  </si>
  <si>
    <t>District: Bo
Chiefdom: Niawa Lenga
PHU name: Nemgbema CHP
Community name: Mbellebu
Name of school: B D E C Primary School
Enrollment: 105</t>
  </si>
  <si>
    <t xml:space="preserve">Foday Francis Kargbo </t>
  </si>
  <si>
    <t xml:space="preserve">Edmond Bangalie </t>
  </si>
  <si>
    <t xml:space="preserve">Warah Conteh 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</si>
  <si>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</si>
  <si>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</si>
  <si>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</si>
  <si>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</si>
  <si>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</si>
  <si>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Bettymvonjoe</t>
  </si>
  <si>
    <t>LMG35734104</t>
  </si>
  <si>
    <t>30-06-2025 06:41 AM</t>
  </si>
  <si>
    <t>District: Bo
Chiefdom: Niawa Lenga
PHU name: Nemgbema CHP
Community name: Tondorya
Name of school: B D E C Primary School
Enrollment: 178</t>
  </si>
  <si>
    <t>Ibrahim Gamanga</t>
  </si>
  <si>
    <t>Juliana v Allieu</t>
  </si>
  <si>
    <t xml:space="preserve">David Johnny </t>
  </si>
  <si>
    <t>BXU62986863</t>
  </si>
  <si>
    <t>30-06-2025 06:40 AM</t>
  </si>
  <si>
    <t>District: Bo
Chiefdom: Lugbu
PHU name: Bontiwo MCHP
Community name: Bontiwo
Name of school: I C S Primary School
Enrollment: 247</t>
  </si>
  <si>
    <t>Lucy .M Sam</t>
  </si>
  <si>
    <t>Wuyata  Mannah</t>
  </si>
  <si>
    <t>Alhaji  Nyambeh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</si>
  <si>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</si>
  <si>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</si>
  <si>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</si>
  <si>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Margaret kabia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</si>
  <si>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</si>
  <si>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</si>
  <si>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</si>
  <si>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</si>
  <si>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</si>
  <si>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Hindowa Alie</t>
  </si>
  <si>
    <t>Sheku koroma</t>
  </si>
  <si>
    <t>Harun K Kanneh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</si>
  <si>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</si>
  <si>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</si>
  <si>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</si>
  <si>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</si>
  <si>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Yabundu kanu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</si>
  <si>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</si>
  <si>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</si>
  <si>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</si>
  <si>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</si>
  <si>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Marian I Sandy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</si>
  <si>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</si>
  <si>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</si>
  <si>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</si>
  <si>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</si>
  <si>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</si>
  <si>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</si>
  <si>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Mariama Gbanda</t>
  </si>
  <si>
    <t>OAH65104744</t>
  </si>
  <si>
    <t>30-06-2025 06:23 AM</t>
  </si>
  <si>
    <t>District: Bo
Chiefdom: Tinkoko
PHU name: Zion CHP
Community name: Bandawa
Name of school: Zion Ministry Pri Sch
Enrollment: 100</t>
  </si>
  <si>
    <t>Yeabu B Kanu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</si>
  <si>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</si>
  <si>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</si>
  <si>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</si>
  <si>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</si>
  <si>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</si>
  <si>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 xml:space="preserve">Ibrahim Blackie </t>
  </si>
  <si>
    <t xml:space="preserve">Jonathan Bangura 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</si>
  <si>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</si>
  <si>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</si>
  <si>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</si>
  <si>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 xml:space="preserve">Marie Koroma 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</si>
  <si>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</si>
  <si>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</si>
  <si>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</si>
  <si>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</si>
  <si>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</si>
  <si>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</si>
  <si>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>Tiangay Allen</t>
  </si>
  <si>
    <t xml:space="preserve">Sutta Kamara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</si>
  <si>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</si>
  <si>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</si>
  <si>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</si>
  <si>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 xml:space="preserve">Amadu Alhaji Barrie 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</si>
  <si>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</si>
  <si>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</si>
  <si>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</si>
  <si>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</si>
  <si>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</si>
  <si>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</si>
  <si>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</si>
  <si>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</si>
  <si>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</si>
  <si>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</si>
  <si>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</si>
  <si>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</si>
  <si>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Veronica Gborie</t>
  </si>
  <si>
    <t>Josephine S Simbo</t>
  </si>
  <si>
    <t>Mohamed Lamin Ngegba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</si>
  <si>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</si>
  <si>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</si>
  <si>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</si>
  <si>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</si>
  <si>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>Christiana  Kangayo</t>
  </si>
  <si>
    <t>Isata Mabel saffa</t>
  </si>
  <si>
    <t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</si>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</sst>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4" max="4" width="17.56"/>
    <col customWidth="1" min="5" max="5" width="25.4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</row>
    <row r="2">
      <c r="A2" s="1" t="s">
        <v>45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>
        <v>150.0</v>
      </c>
      <c r="H2" s="1" t="s">
        <v>51</v>
      </c>
      <c r="I2" s="1">
        <v>67.0</v>
      </c>
      <c r="J2" s="1">
        <v>32.0</v>
      </c>
      <c r="K2" s="1">
        <v>13.0</v>
      </c>
      <c r="L2" s="1">
        <v>35.0</v>
      </c>
      <c r="M2" s="1">
        <v>26.0</v>
      </c>
      <c r="N2" s="1" t="s">
        <v>52</v>
      </c>
      <c r="O2" s="1">
        <v>63.0</v>
      </c>
      <c r="P2" s="1">
        <v>28.0</v>
      </c>
      <c r="Q2" s="1">
        <v>9.0</v>
      </c>
      <c r="R2" s="1">
        <v>35.0</v>
      </c>
      <c r="S2" s="1">
        <v>13.0</v>
      </c>
      <c r="T2" s="1" t="s">
        <v>53</v>
      </c>
      <c r="U2" s="1">
        <v>60.0</v>
      </c>
      <c r="V2" s="1">
        <v>29.0</v>
      </c>
      <c r="W2" s="1">
        <v>8.0</v>
      </c>
      <c r="X2" s="1">
        <v>31.0</v>
      </c>
      <c r="Y2" s="1">
        <v>6.0</v>
      </c>
      <c r="Z2" s="1" t="s">
        <v>54</v>
      </c>
      <c r="AA2" s="1" t="s">
        <v>55</v>
      </c>
      <c r="AB2" s="1" t="s">
        <v>55</v>
      </c>
      <c r="AC2" s="1" t="s">
        <v>55</v>
      </c>
      <c r="AD2" s="1" t="s">
        <v>55</v>
      </c>
      <c r="AE2" s="1" t="s">
        <v>55</v>
      </c>
      <c r="AF2" s="1" t="s">
        <v>56</v>
      </c>
      <c r="AG2" s="1" t="s">
        <v>55</v>
      </c>
      <c r="AH2" s="1" t="s">
        <v>55</v>
      </c>
      <c r="AI2" s="1" t="s">
        <v>55</v>
      </c>
      <c r="AJ2" s="1" t="s">
        <v>55</v>
      </c>
      <c r="AK2" s="1" t="s">
        <v>55</v>
      </c>
      <c r="AL2" s="1">
        <v>75.0</v>
      </c>
      <c r="AM2" s="1" t="s">
        <v>55</v>
      </c>
      <c r="AN2" s="1">
        <v>75.0</v>
      </c>
      <c r="AO2" s="1">
        <v>75.0</v>
      </c>
      <c r="AP2" s="1" t="s">
        <v>57</v>
      </c>
      <c r="AQ2" s="3" t="str">
        <f>HYPERLINK("https://icf.clappia.com/app/GMB253374/submission/VWD64796897/ICF247370-GMB253374-396n46d0jo600000000/SIG-20250630_1636enbbm.jpeg", "SIG-20250630_1636enbbm.jpeg")</f>
        <v>SIG-20250630_1636enbbm.jpeg</v>
      </c>
      <c r="AR2" s="1" t="s">
        <v>58</v>
      </c>
      <c r="AS2" s="3" t="str">
        <f>HYPERLINK("https://icf.clappia.com/app/GMB253374/submission/VWD64796897/ICF247370-GMB253374-61n1fgk5k9620000000/SIG-20250630_163810hh3a.jpeg", "SIG-20250630_163810hh3a.jpeg")</f>
        <v>SIG-20250630_163810hh3a.jpeg</v>
      </c>
      <c r="AT2" s="1" t="s">
        <v>59</v>
      </c>
      <c r="AU2" s="3" t="str">
        <f>HYPERLINK("https://icf.clappia.com/app/GMB253374/submission/VWD64796897/ICF247370-GMB253374-68ibhajgln4g00000000/SIG-20250630_16391dj9p.jpeg", "SIG-20250630_16391dj9p.jpeg")</f>
        <v>SIG-20250630_16391dj9p.jpeg</v>
      </c>
      <c r="AV2" s="3" t="str">
        <f>HYPERLINK("https://www.google.com/maps/place/7.5045167%2C-11.8771767", "7.5045167,-11.8771767")</f>
        <v>7.5045167,-11.8771767</v>
      </c>
    </row>
    <row r="3">
      <c r="A3" s="1" t="s">
        <v>60</v>
      </c>
      <c r="B3" s="1" t="s">
        <v>61</v>
      </c>
      <c r="C3" s="1" t="s">
        <v>62</v>
      </c>
      <c r="D3" s="1" t="s">
        <v>62</v>
      </c>
      <c r="E3" s="1" t="s">
        <v>63</v>
      </c>
      <c r="F3" s="1" t="s">
        <v>50</v>
      </c>
      <c r="G3" s="1">
        <v>250.0</v>
      </c>
      <c r="H3" s="1" t="s">
        <v>51</v>
      </c>
      <c r="I3" s="1">
        <v>159.0</v>
      </c>
      <c r="J3" s="1">
        <v>64.0</v>
      </c>
      <c r="K3" s="1">
        <v>30.0</v>
      </c>
      <c r="L3" s="1">
        <v>95.0</v>
      </c>
      <c r="M3" s="1">
        <v>51.0</v>
      </c>
      <c r="N3" s="1" t="s">
        <v>52</v>
      </c>
      <c r="O3" s="1">
        <v>50.0</v>
      </c>
      <c r="P3" s="1">
        <v>11.0</v>
      </c>
      <c r="Q3" s="1">
        <v>11.0</v>
      </c>
      <c r="R3" s="1">
        <v>39.0</v>
      </c>
      <c r="S3" s="1">
        <v>12.0</v>
      </c>
      <c r="T3" s="1" t="s">
        <v>53</v>
      </c>
      <c r="U3" s="1">
        <v>47.0</v>
      </c>
      <c r="V3" s="1">
        <v>19.0</v>
      </c>
      <c r="W3" s="1">
        <v>19.0</v>
      </c>
      <c r="X3" s="1">
        <v>28.0</v>
      </c>
      <c r="Y3" s="1" t="s">
        <v>64</v>
      </c>
      <c r="Z3" s="1" t="s">
        <v>54</v>
      </c>
      <c r="AA3" s="1">
        <v>36.0</v>
      </c>
      <c r="AB3" s="1">
        <v>17.0</v>
      </c>
      <c r="AC3" s="1">
        <v>15.0</v>
      </c>
      <c r="AD3" s="1">
        <v>19.0</v>
      </c>
      <c r="AE3" s="1">
        <v>11.0</v>
      </c>
      <c r="AF3" s="1" t="s">
        <v>56</v>
      </c>
      <c r="AG3" s="1">
        <v>51.0</v>
      </c>
      <c r="AH3" s="1">
        <v>25.0</v>
      </c>
      <c r="AI3" s="1">
        <v>16.0</v>
      </c>
      <c r="AJ3" s="1">
        <v>26.0</v>
      </c>
      <c r="AK3" s="1">
        <v>15.0</v>
      </c>
      <c r="AL3" s="1">
        <v>189.0</v>
      </c>
      <c r="AM3" s="1" t="s">
        <v>55</v>
      </c>
      <c r="AN3" s="1">
        <v>61.0</v>
      </c>
      <c r="AO3" s="1">
        <v>61.0</v>
      </c>
      <c r="AP3" s="1" t="s">
        <v>65</v>
      </c>
      <c r="AQ3" s="3" t="str">
        <f>HYPERLINK("https://icf.clappia.com/app/GMB253374/submission/DAZ36915321/ICF247370-GMB253374-4357pe0572jc00000000/SIG-20250630_1850pmio2.jpeg", "SIG-20250630_1850pmio2.jpeg")</f>
        <v>SIG-20250630_1850pmio2.jpeg</v>
      </c>
      <c r="AR3" s="1" t="s">
        <v>66</v>
      </c>
      <c r="AS3" s="3" t="str">
        <f>HYPERLINK("https://icf.clappia.com/app/GMB253374/submission/DAZ36915321/ICF247370-GMB253374-52fml5go60ba00000000/SIG-20250630_18513f4d4.jpeg", "SIG-20250630_18513f4d4.jpeg")</f>
        <v>SIG-20250630_18513f4d4.jpeg</v>
      </c>
      <c r="AT3" s="1" t="s">
        <v>67</v>
      </c>
      <c r="AU3" s="3" t="str">
        <f>HYPERLINK("https://icf.clappia.com/app/GMB253374/submission/DAZ36915321/ICF247370-GMB253374-1pkcc7gdd72800000000/SIG-20250630_185227fc3.jpeg", "SIG-20250630_185227fc3.jpeg")</f>
        <v>SIG-20250630_185227fc3.jpeg</v>
      </c>
      <c r="AV3" s="3" t="str">
        <f>HYPERLINK("https://www.google.com/maps/place/7.777075%2C-12.0095403", "7.777075,-12.0095403")</f>
        <v>7.777075,-12.0095403</v>
      </c>
    </row>
    <row r="4">
      <c r="A4" s="1" t="s">
        <v>68</v>
      </c>
      <c r="B4" s="1" t="s">
        <v>69</v>
      </c>
      <c r="C4" s="1" t="s">
        <v>70</v>
      </c>
      <c r="D4" s="1" t="s">
        <v>71</v>
      </c>
      <c r="E4" s="1" t="s">
        <v>72</v>
      </c>
      <c r="F4" s="1" t="s">
        <v>50</v>
      </c>
      <c r="G4" s="1">
        <v>204.0</v>
      </c>
      <c r="H4" s="1" t="s">
        <v>51</v>
      </c>
      <c r="I4" s="1">
        <v>80.0</v>
      </c>
      <c r="J4" s="1">
        <v>35.0</v>
      </c>
      <c r="K4" s="1">
        <v>32.0</v>
      </c>
      <c r="L4" s="1">
        <v>45.0</v>
      </c>
      <c r="M4" s="1">
        <v>40.0</v>
      </c>
      <c r="N4" s="1" t="s">
        <v>52</v>
      </c>
      <c r="O4" s="1">
        <v>50.0</v>
      </c>
      <c r="P4" s="1">
        <v>15.0</v>
      </c>
      <c r="Q4" s="1">
        <v>11.0</v>
      </c>
      <c r="R4" s="1">
        <v>35.0</v>
      </c>
      <c r="S4" s="1">
        <v>9.0</v>
      </c>
      <c r="T4" s="1" t="s">
        <v>53</v>
      </c>
      <c r="U4" s="1">
        <v>13.0</v>
      </c>
      <c r="V4" s="1">
        <v>8.0</v>
      </c>
      <c r="W4" s="1">
        <v>6.0</v>
      </c>
      <c r="X4" s="1">
        <v>5.0</v>
      </c>
      <c r="Y4" s="1">
        <v>4.0</v>
      </c>
      <c r="Z4" s="1" t="s">
        <v>54</v>
      </c>
      <c r="AA4" s="1">
        <v>30.0</v>
      </c>
      <c r="AB4" s="1">
        <v>13.0</v>
      </c>
      <c r="AC4" s="1">
        <v>11.0</v>
      </c>
      <c r="AD4" s="1">
        <v>17.0</v>
      </c>
      <c r="AE4" s="1">
        <v>13.0</v>
      </c>
      <c r="AF4" s="1" t="s">
        <v>56</v>
      </c>
      <c r="AG4" s="1">
        <v>31.0</v>
      </c>
      <c r="AH4" s="1">
        <v>17.0</v>
      </c>
      <c r="AI4" s="1">
        <v>14.0</v>
      </c>
      <c r="AJ4" s="1">
        <v>14.0</v>
      </c>
      <c r="AK4" s="1">
        <v>12.0</v>
      </c>
      <c r="AL4" s="1">
        <v>152.0</v>
      </c>
      <c r="AM4" s="1">
        <v>10.0</v>
      </c>
      <c r="AN4" s="1">
        <v>42.0</v>
      </c>
      <c r="AO4" s="1">
        <v>42.0</v>
      </c>
      <c r="AP4" s="1" t="s">
        <v>73</v>
      </c>
      <c r="AQ4" s="3" t="str">
        <f>HYPERLINK("https://icf.clappia.com/app/GMB253374/submission/YZZ16535539/ICF247370-GMB253374-274oi3n69bmna0000000/SIG-20250630_145240l8m.jpeg", "SIG-20250630_145240l8m.jpeg")</f>
        <v>SIG-20250630_145240l8m.jpeg</v>
      </c>
      <c r="AR4" s="1" t="s">
        <v>74</v>
      </c>
      <c r="AS4" s="3" t="str">
        <f>HYPERLINK("https://icf.clappia.com/app/GMB253374/submission/YZZ16535539/ICF247370-GMB253374-1io0g55be151a0000000/SIG-20250630_14588cgn8.jpeg", "SIG-20250630_14588cgn8.jpeg")</f>
        <v>SIG-20250630_14588cgn8.jpeg</v>
      </c>
      <c r="AT4" s="1" t="s">
        <v>75</v>
      </c>
      <c r="AU4" s="3" t="str">
        <f>HYPERLINK("https://icf.clappia.com/app/GMB253374/submission/YZZ16535539/ICF247370-GMB253374-5ol7dc78b7k000000000/SIG-20250630_15141c07f.jpeg", "SIG-20250630_15141c07f.jpeg")</f>
        <v>SIG-20250630_15141c07f.jpeg</v>
      </c>
      <c r="AV4" s="3" t="str">
        <f>HYPERLINK("https://www.google.com/maps/place/8.20032%2C-11.46053", "8.20032,-11.46053")</f>
        <v>8.20032,-11.46053</v>
      </c>
    </row>
    <row r="5">
      <c r="A5" s="1" t="s">
        <v>76</v>
      </c>
      <c r="B5" s="1" t="s">
        <v>77</v>
      </c>
      <c r="C5" s="1" t="s">
        <v>78</v>
      </c>
      <c r="D5" s="1" t="s">
        <v>78</v>
      </c>
      <c r="E5" s="1" t="s">
        <v>79</v>
      </c>
      <c r="F5" s="1" t="s">
        <v>50</v>
      </c>
      <c r="G5" s="1">
        <v>200.0</v>
      </c>
      <c r="H5" s="1" t="s">
        <v>51</v>
      </c>
      <c r="I5" s="1" t="s">
        <v>55</v>
      </c>
      <c r="J5" s="1" t="s">
        <v>55</v>
      </c>
      <c r="K5" s="1" t="s">
        <v>55</v>
      </c>
      <c r="L5" s="1" t="s">
        <v>55</v>
      </c>
      <c r="M5" s="1" t="s">
        <v>55</v>
      </c>
      <c r="N5" s="1" t="s">
        <v>52</v>
      </c>
      <c r="O5" s="1" t="s">
        <v>55</v>
      </c>
      <c r="P5" s="1" t="s">
        <v>55</v>
      </c>
      <c r="Q5" s="1" t="s">
        <v>55</v>
      </c>
      <c r="R5" s="1" t="s">
        <v>55</v>
      </c>
      <c r="S5" s="1" t="s">
        <v>55</v>
      </c>
      <c r="T5" s="1" t="s">
        <v>53</v>
      </c>
      <c r="U5" s="1">
        <v>35.0</v>
      </c>
      <c r="V5" s="1">
        <v>17.0</v>
      </c>
      <c r="W5" s="1">
        <v>17.0</v>
      </c>
      <c r="X5" s="1">
        <v>14.0</v>
      </c>
      <c r="Y5" s="1">
        <v>14.0</v>
      </c>
      <c r="Z5" s="1" t="s">
        <v>54</v>
      </c>
      <c r="AA5" s="1">
        <v>34.0</v>
      </c>
      <c r="AB5" s="1">
        <v>16.0</v>
      </c>
      <c r="AC5" s="1">
        <v>16.0</v>
      </c>
      <c r="AD5" s="1">
        <v>17.0</v>
      </c>
      <c r="AE5" s="1">
        <v>17.0</v>
      </c>
      <c r="AF5" s="1" t="s">
        <v>56</v>
      </c>
      <c r="AG5" s="1">
        <v>38.0</v>
      </c>
      <c r="AH5" s="1">
        <v>20.0</v>
      </c>
      <c r="AI5" s="1">
        <v>15.0</v>
      </c>
      <c r="AJ5" s="1">
        <v>18.0</v>
      </c>
      <c r="AK5" s="1">
        <v>14.0</v>
      </c>
      <c r="AL5" s="1">
        <v>93.0</v>
      </c>
      <c r="AM5" s="1">
        <v>9.0</v>
      </c>
      <c r="AN5" s="1">
        <v>98.0</v>
      </c>
      <c r="AO5" s="1">
        <v>98.0</v>
      </c>
      <c r="AP5" s="1" t="s">
        <v>80</v>
      </c>
      <c r="AQ5" s="3" t="str">
        <f>HYPERLINK("https://icf.clappia.com/app/GMB253374/submission/HNK42926931/ICF247370-GMB253374-29om2d3ho07b60000000/SIG-20250630_185719h7oo.jpeg", "SIG-20250630_185719h7oo.jpeg")</f>
        <v>SIG-20250630_185719h7oo.jpeg</v>
      </c>
      <c r="AR5" s="1" t="s">
        <v>81</v>
      </c>
      <c r="AS5" s="3" t="str">
        <f>HYPERLINK("https://icf.clappia.com/app/GMB253374/submission/HNK42926931/ICF247370-GMB253374-15p2ippbdhfnm0000000/SIG-20250630_182511kjhd.jpeg", "SIG-20250630_182511kjhd.jpeg")</f>
        <v>SIG-20250630_182511kjhd.jpeg</v>
      </c>
      <c r="AT5" s="1" t="s">
        <v>82</v>
      </c>
      <c r="AU5" s="3" t="str">
        <f>HYPERLINK("https://icf.clappia.com/app/GMB253374/submission/HNK42926931/ICF247370-GMB253374-i9m28pgoofe00000000/SIG-20250630_18265efb7.jpeg", "SIG-20250630_18265efb7.jpeg")</f>
        <v>SIG-20250630_18265efb7.jpeg</v>
      </c>
      <c r="AV5" s="3" t="str">
        <f>HYPERLINK("https://www.google.com/maps/place/8.1008736%2C-11.4163496", "8.1008736,-11.4163496")</f>
        <v>8.1008736,-11.4163496</v>
      </c>
    </row>
    <row r="6">
      <c r="A6" s="1" t="s">
        <v>83</v>
      </c>
      <c r="B6" s="1" t="s">
        <v>84</v>
      </c>
      <c r="C6" s="1" t="s">
        <v>85</v>
      </c>
      <c r="D6" s="1" t="s">
        <v>85</v>
      </c>
      <c r="E6" s="1" t="s">
        <v>86</v>
      </c>
      <c r="F6" s="1" t="s">
        <v>50</v>
      </c>
      <c r="G6" s="1">
        <v>278.0</v>
      </c>
      <c r="H6" s="1" t="s">
        <v>51</v>
      </c>
      <c r="I6" s="1">
        <v>80.0</v>
      </c>
      <c r="J6" s="1">
        <v>40.0</v>
      </c>
      <c r="K6" s="1">
        <v>40.0</v>
      </c>
      <c r="L6" s="1">
        <v>40.0</v>
      </c>
      <c r="M6" s="1">
        <v>40.0</v>
      </c>
      <c r="N6" s="1" t="s">
        <v>52</v>
      </c>
      <c r="O6" s="1">
        <v>61.0</v>
      </c>
      <c r="P6" s="1">
        <v>31.0</v>
      </c>
      <c r="Q6" s="1">
        <v>31.0</v>
      </c>
      <c r="R6" s="1">
        <v>30.0</v>
      </c>
      <c r="S6" s="1">
        <v>30.0</v>
      </c>
      <c r="T6" s="1" t="s">
        <v>53</v>
      </c>
      <c r="U6" s="1">
        <v>44.0</v>
      </c>
      <c r="V6" s="1">
        <v>22.0</v>
      </c>
      <c r="W6" s="1">
        <v>22.0</v>
      </c>
      <c r="X6" s="1">
        <v>22.0</v>
      </c>
      <c r="Y6" s="1">
        <v>22.0</v>
      </c>
      <c r="Z6" s="1" t="s">
        <v>54</v>
      </c>
      <c r="AA6" s="1">
        <v>40.0</v>
      </c>
      <c r="AB6" s="1">
        <v>20.0</v>
      </c>
      <c r="AC6" s="1">
        <v>20.0</v>
      </c>
      <c r="AD6" s="1">
        <v>20.0</v>
      </c>
      <c r="AE6" s="1">
        <v>20.0</v>
      </c>
      <c r="AF6" s="1" t="s">
        <v>56</v>
      </c>
      <c r="AG6" s="1">
        <v>42.0</v>
      </c>
      <c r="AH6" s="1">
        <v>20.0</v>
      </c>
      <c r="AI6" s="1">
        <v>20.0</v>
      </c>
      <c r="AJ6" s="1">
        <v>22.0</v>
      </c>
      <c r="AK6" s="1">
        <v>22.0</v>
      </c>
      <c r="AL6" s="1">
        <v>267.0</v>
      </c>
      <c r="AM6" s="1" t="s">
        <v>55</v>
      </c>
      <c r="AN6" s="1">
        <v>11.0</v>
      </c>
      <c r="AO6" s="1">
        <v>11.0</v>
      </c>
      <c r="AP6" s="1" t="s">
        <v>87</v>
      </c>
      <c r="AQ6" s="3" t="str">
        <f>HYPERLINK("https://icf.clappia.com/app/GMB253374/submission/MKN84198463/ICF247370-GMB253374-3fa9pkebd97o00000000/SIG-20250630_1747jk8jp.jpeg", "SIG-20250630_1747jk8jp.jpeg")</f>
        <v>SIG-20250630_1747jk8jp.jpeg</v>
      </c>
      <c r="AR6" s="1" t="s">
        <v>88</v>
      </c>
      <c r="AS6" s="3" t="str">
        <f>HYPERLINK("https://icf.clappia.com/app/GMB253374/submission/MKN84198463/ICF247370-GMB253374-5507o34abkoo00000000/SIG-20250630_1751e100n.jpeg", "SIG-20250630_1751e100n.jpeg")</f>
        <v>SIG-20250630_1751e100n.jpeg</v>
      </c>
      <c r="AT6" s="1" t="s">
        <v>89</v>
      </c>
      <c r="AU6" s="3" t="str">
        <f>HYPERLINK("https://icf.clappia.com/app/GMB253374/submission/MKN84198463/ICF247370-GMB253374-4fcm0ccmhjcg00000000/SIG-20250630_1748dfpob.jpeg", "SIG-20250630_1748dfpob.jpeg")</f>
        <v>SIG-20250630_1748dfpob.jpeg</v>
      </c>
      <c r="AV6" s="3" t="str">
        <f>HYPERLINK("https://www.google.com/maps/place/7.711335%2C-11.6936117", "7.711335,-11.6936117")</f>
        <v>7.711335,-11.6936117</v>
      </c>
    </row>
    <row r="7">
      <c r="A7" s="1" t="s">
        <v>90</v>
      </c>
      <c r="B7" s="1" t="s">
        <v>91</v>
      </c>
      <c r="C7" s="1" t="s">
        <v>92</v>
      </c>
      <c r="D7" s="1" t="s">
        <v>92</v>
      </c>
      <c r="E7" s="1" t="s">
        <v>93</v>
      </c>
      <c r="F7" s="1" t="s">
        <v>50</v>
      </c>
      <c r="G7" s="1">
        <v>300.0</v>
      </c>
      <c r="H7" s="1" t="s">
        <v>51</v>
      </c>
      <c r="I7" s="1">
        <v>80.0</v>
      </c>
      <c r="J7" s="1">
        <v>48.0</v>
      </c>
      <c r="K7" s="1">
        <v>24.0</v>
      </c>
      <c r="L7" s="1">
        <v>32.0</v>
      </c>
      <c r="M7" s="1">
        <v>24.0</v>
      </c>
      <c r="N7" s="1" t="s">
        <v>52</v>
      </c>
      <c r="O7" s="1">
        <v>65.0</v>
      </c>
      <c r="P7" s="1">
        <v>34.0</v>
      </c>
      <c r="Q7" s="1">
        <v>24.0</v>
      </c>
      <c r="R7" s="1">
        <v>31.0</v>
      </c>
      <c r="S7" s="1">
        <v>26.0</v>
      </c>
      <c r="T7" s="1" t="s">
        <v>53</v>
      </c>
      <c r="U7" s="1">
        <v>56.0</v>
      </c>
      <c r="V7" s="1">
        <v>26.0</v>
      </c>
      <c r="W7" s="1">
        <v>24.0</v>
      </c>
      <c r="X7" s="1">
        <v>30.0</v>
      </c>
      <c r="Y7" s="1">
        <v>20.0</v>
      </c>
      <c r="Z7" s="1" t="s">
        <v>54</v>
      </c>
      <c r="AA7" s="1">
        <v>50.0</v>
      </c>
      <c r="AB7" s="1">
        <v>26.0</v>
      </c>
      <c r="AC7" s="1">
        <v>25.0</v>
      </c>
      <c r="AD7" s="1">
        <v>24.0</v>
      </c>
      <c r="AE7" s="1">
        <v>20.0</v>
      </c>
      <c r="AF7" s="1" t="s">
        <v>56</v>
      </c>
      <c r="AG7" s="1">
        <v>41.0</v>
      </c>
      <c r="AH7" s="1">
        <v>20.0</v>
      </c>
      <c r="AI7" s="1">
        <v>20.0</v>
      </c>
      <c r="AJ7" s="1">
        <v>21.0</v>
      </c>
      <c r="AK7" s="1">
        <v>19.0</v>
      </c>
      <c r="AL7" s="1">
        <v>226.0</v>
      </c>
      <c r="AM7" s="1">
        <v>10.0</v>
      </c>
      <c r="AN7" s="1">
        <v>64.0</v>
      </c>
      <c r="AO7" s="1">
        <v>64.0</v>
      </c>
      <c r="AP7" s="1" t="s">
        <v>94</v>
      </c>
      <c r="AQ7" s="3" t="str">
        <f>HYPERLINK("https://icf.clappia.com/app/GMB253374/submission/NYW32262992/ICF247370-GMB253374-653jab00gbmg00000000/SIG-20250630_18346m8n9.jpeg", "SIG-20250630_18346m8n9.jpeg")</f>
        <v>SIG-20250630_18346m8n9.jpeg</v>
      </c>
      <c r="AR7" s="1" t="s">
        <v>95</v>
      </c>
      <c r="AS7" s="3" t="str">
        <f>HYPERLINK("https://icf.clappia.com/app/GMB253374/submission/NYW32262992/ICF247370-GMB253374-einkg0fej1ok0000000/SIG-20250630_1835g4e2i.jpeg", "SIG-20250630_1835g4e2i.jpeg")</f>
        <v>SIG-20250630_1835g4e2i.jpeg</v>
      </c>
      <c r="AT7" s="1" t="s">
        <v>96</v>
      </c>
      <c r="AU7" s="3" t="str">
        <f>HYPERLINK("https://icf.clappia.com/app/GMB253374/submission/NYW32262992/ICF247370-GMB253374-4hcm7c32ikba0000000/SIG-20250630_183610g322.jpeg", "SIG-20250630_183610g322.jpeg")</f>
        <v>SIG-20250630_183610g322.jpeg</v>
      </c>
      <c r="AV7" s="3" t="str">
        <f>HYPERLINK("https://www.google.com/maps/place/8.3210316%2C-11.7344097", "8.3210316,-11.7344097")</f>
        <v>8.3210316,-11.7344097</v>
      </c>
    </row>
    <row r="8">
      <c r="A8" s="1" t="s">
        <v>97</v>
      </c>
      <c r="B8" s="1" t="s">
        <v>98</v>
      </c>
      <c r="C8" s="1" t="s">
        <v>92</v>
      </c>
      <c r="D8" s="1" t="s">
        <v>92</v>
      </c>
      <c r="E8" s="1" t="s">
        <v>99</v>
      </c>
      <c r="F8" s="1" t="s">
        <v>50</v>
      </c>
      <c r="G8" s="1">
        <v>200.0</v>
      </c>
      <c r="H8" s="1" t="s">
        <v>51</v>
      </c>
      <c r="I8" s="1">
        <v>30.0</v>
      </c>
      <c r="J8" s="1">
        <v>14.0</v>
      </c>
      <c r="K8" s="1">
        <v>7.0</v>
      </c>
      <c r="L8" s="1">
        <v>16.0</v>
      </c>
      <c r="M8" s="1">
        <v>12.0</v>
      </c>
      <c r="N8" s="1" t="s">
        <v>52</v>
      </c>
      <c r="O8" s="1">
        <v>26.0</v>
      </c>
      <c r="P8" s="1">
        <v>12.0</v>
      </c>
      <c r="Q8" s="1">
        <v>10.0</v>
      </c>
      <c r="R8" s="1">
        <v>14.0</v>
      </c>
      <c r="S8" s="1">
        <v>9.0</v>
      </c>
      <c r="T8" s="1" t="s">
        <v>53</v>
      </c>
      <c r="U8" s="1">
        <v>27.0</v>
      </c>
      <c r="V8" s="1">
        <v>14.0</v>
      </c>
      <c r="W8" s="1">
        <v>14.0</v>
      </c>
      <c r="X8" s="1">
        <v>13.0</v>
      </c>
      <c r="Y8" s="1">
        <v>10.0</v>
      </c>
      <c r="Z8" s="1" t="s">
        <v>54</v>
      </c>
      <c r="AA8" s="1">
        <v>27.0</v>
      </c>
      <c r="AB8" s="1">
        <v>10.0</v>
      </c>
      <c r="AC8" s="1">
        <v>8.0</v>
      </c>
      <c r="AD8" s="1">
        <v>17.0</v>
      </c>
      <c r="AE8" s="1">
        <v>15.0</v>
      </c>
      <c r="AF8" s="1" t="s">
        <v>56</v>
      </c>
      <c r="AG8" s="1">
        <v>27.0</v>
      </c>
      <c r="AH8" s="1">
        <v>8.0</v>
      </c>
      <c r="AI8" s="1">
        <v>7.0</v>
      </c>
      <c r="AJ8" s="1">
        <v>19.0</v>
      </c>
      <c r="AK8" s="1">
        <v>18.0</v>
      </c>
      <c r="AL8" s="1">
        <v>110.0</v>
      </c>
      <c r="AM8" s="1">
        <v>10.0</v>
      </c>
      <c r="AN8" s="1">
        <v>80.0</v>
      </c>
      <c r="AO8" s="1">
        <v>80.0</v>
      </c>
      <c r="AP8" s="1" t="s">
        <v>100</v>
      </c>
      <c r="AQ8" s="3" t="str">
        <f>HYPERLINK("https://icf.clappia.com/app/GMB253374/submission/OVE35326311/ICF247370-GMB253374-3d0ecp34pg0000000000/SIG-20250630_1136mm53o.jpeg", "SIG-20250630_1136mm53o.jpeg")</f>
        <v>SIG-20250630_1136mm53o.jpeg</v>
      </c>
      <c r="AR8" s="1" t="s">
        <v>101</v>
      </c>
      <c r="AS8" s="3" t="str">
        <f>HYPERLINK("https://icf.clappia.com/app/GMB253374/submission/OVE35326311/ICF247370-GMB253374-2h1dp727ja9o00000000/SIG-20250630_18331fmel.jpeg", "SIG-20250630_18331fmel.jpeg")</f>
        <v>SIG-20250630_18331fmel.jpeg</v>
      </c>
      <c r="AT8" s="1" t="s">
        <v>102</v>
      </c>
      <c r="AU8" s="3" t="str">
        <f>HYPERLINK("https://icf.clappia.com/app/GMB253374/submission/OVE35326311/ICF247370-GMB253374-100ko3f75el5a0000000/SIG-20250630_1833dba5h.jpeg", "SIG-20250630_1833dba5h.jpeg")</f>
        <v>SIG-20250630_1833dba5h.jpeg</v>
      </c>
      <c r="AV8" s="3" t="str">
        <f>HYPERLINK("https://www.google.com/maps/place/7.9558886%2C-11.7336979", "7.9558886,-11.7336979")</f>
        <v>7.9558886,-11.7336979</v>
      </c>
    </row>
    <row r="9">
      <c r="A9" s="1" t="s">
        <v>103</v>
      </c>
      <c r="B9" s="1" t="s">
        <v>104</v>
      </c>
      <c r="C9" s="1" t="s">
        <v>105</v>
      </c>
      <c r="D9" s="1" t="s">
        <v>105</v>
      </c>
      <c r="E9" s="1" t="s">
        <v>106</v>
      </c>
      <c r="F9" s="1" t="s">
        <v>50</v>
      </c>
      <c r="G9" s="1">
        <v>150.0</v>
      </c>
      <c r="H9" s="1" t="s">
        <v>51</v>
      </c>
      <c r="I9" s="1">
        <v>50.0</v>
      </c>
      <c r="J9" s="1">
        <v>26.0</v>
      </c>
      <c r="K9" s="1">
        <v>26.0</v>
      </c>
      <c r="L9" s="1">
        <v>24.0</v>
      </c>
      <c r="M9" s="1">
        <v>24.0</v>
      </c>
      <c r="N9" s="1" t="s">
        <v>52</v>
      </c>
      <c r="O9" s="1">
        <v>58.0</v>
      </c>
      <c r="P9" s="1">
        <v>30.0</v>
      </c>
      <c r="Q9" s="1">
        <v>30.0</v>
      </c>
      <c r="R9" s="1">
        <v>28.0</v>
      </c>
      <c r="S9" s="1">
        <v>9.0</v>
      </c>
      <c r="T9" s="1" t="s">
        <v>53</v>
      </c>
      <c r="U9" s="1">
        <v>49.0</v>
      </c>
      <c r="V9" s="1">
        <v>20.0</v>
      </c>
      <c r="W9" s="1">
        <v>6.0</v>
      </c>
      <c r="X9" s="1">
        <v>29.0</v>
      </c>
      <c r="Y9" s="1">
        <v>9.0</v>
      </c>
      <c r="Z9" s="1" t="s">
        <v>54</v>
      </c>
      <c r="AA9" s="1">
        <v>20.0</v>
      </c>
      <c r="AB9" s="1">
        <v>11.0</v>
      </c>
      <c r="AC9" s="1">
        <v>11.0</v>
      </c>
      <c r="AD9" s="1">
        <v>9.0</v>
      </c>
      <c r="AE9" s="1">
        <v>9.0</v>
      </c>
      <c r="AF9" s="1" t="s">
        <v>56</v>
      </c>
      <c r="AG9" s="1">
        <v>26.0</v>
      </c>
      <c r="AH9" s="1">
        <v>16.0</v>
      </c>
      <c r="AI9" s="1">
        <v>16.0</v>
      </c>
      <c r="AJ9" s="1">
        <v>10.0</v>
      </c>
      <c r="AK9" s="1">
        <v>10.0</v>
      </c>
      <c r="AL9" s="1">
        <v>150.0</v>
      </c>
      <c r="AM9" s="1" t="s">
        <v>55</v>
      </c>
      <c r="AN9" s="1" t="s">
        <v>55</v>
      </c>
      <c r="AO9" s="1" t="s">
        <v>55</v>
      </c>
      <c r="AP9" s="1" t="s">
        <v>107</v>
      </c>
      <c r="AQ9" s="3" t="str">
        <f>HYPERLINK("https://icf.clappia.com/app/GMB253374/submission/LNY32389523/ICF247370-GMB253374-678f2pcocj6o00000000/SIG-20250630_153761mn2.jpeg", "SIG-20250630_153761mn2.jpeg")</f>
        <v>SIG-20250630_153761mn2.jpeg</v>
      </c>
      <c r="AR9" s="1" t="s">
        <v>108</v>
      </c>
      <c r="AS9" s="3" t="str">
        <f>HYPERLINK("https://icf.clappia.com/app/GMB253374/submission/LNY32389523/ICF247370-GMB253374-3lp62a7k7h6c00000000/SIG-20250630_1539ggjj.jpeg", "SIG-20250630_1539ggjj.jpeg")</f>
        <v>SIG-20250630_1539ggjj.jpeg</v>
      </c>
      <c r="AT9" s="1" t="s">
        <v>109</v>
      </c>
      <c r="AU9" s="3" t="str">
        <f>HYPERLINK("https://icf.clappia.com/app/GMB253374/submission/LNY32389523/ICF247370-GMB253374-1976bcejpbo240000000/SIG-20250630_15407n7g2.jpeg", "SIG-20250630_15407n7g2.jpeg")</f>
        <v>SIG-20250630_15407n7g2.jpeg</v>
      </c>
      <c r="AV9" s="3" t="str">
        <f>HYPERLINK("https://www.google.com/maps/place/9.3219833%2C-12.0061733", "9.3219833,-12.0061733")</f>
        <v>9.3219833,-12.0061733</v>
      </c>
    </row>
    <row r="10">
      <c r="A10" s="1" t="s">
        <v>110</v>
      </c>
      <c r="B10" s="1" t="s">
        <v>111</v>
      </c>
      <c r="C10" s="1" t="s">
        <v>112</v>
      </c>
      <c r="D10" s="1" t="s">
        <v>113</v>
      </c>
      <c r="E10" s="1" t="s">
        <v>114</v>
      </c>
      <c r="F10" s="1" t="s">
        <v>50</v>
      </c>
      <c r="G10" s="1">
        <v>400.0</v>
      </c>
      <c r="H10" s="1" t="s">
        <v>51</v>
      </c>
      <c r="I10" s="1">
        <v>69.0</v>
      </c>
      <c r="J10" s="1">
        <v>41.0</v>
      </c>
      <c r="K10" s="1">
        <v>41.0</v>
      </c>
      <c r="L10" s="1">
        <v>28.0</v>
      </c>
      <c r="M10" s="1">
        <v>28.0</v>
      </c>
      <c r="N10" s="1" t="s">
        <v>52</v>
      </c>
      <c r="O10" s="1">
        <v>58.0</v>
      </c>
      <c r="P10" s="1">
        <v>34.0</v>
      </c>
      <c r="Q10" s="1">
        <v>32.0</v>
      </c>
      <c r="R10" s="1">
        <v>24.0</v>
      </c>
      <c r="S10" s="1">
        <v>22.0</v>
      </c>
      <c r="T10" s="1" t="s">
        <v>53</v>
      </c>
      <c r="U10" s="1">
        <v>55.0</v>
      </c>
      <c r="V10" s="1">
        <v>32.0</v>
      </c>
      <c r="W10" s="1">
        <v>29.0</v>
      </c>
      <c r="X10" s="1">
        <v>23.0</v>
      </c>
      <c r="Y10" s="1">
        <v>18.0</v>
      </c>
      <c r="Z10" s="1" t="s">
        <v>54</v>
      </c>
      <c r="AA10" s="1">
        <v>65.0</v>
      </c>
      <c r="AB10" s="1">
        <v>41.0</v>
      </c>
      <c r="AC10" s="1">
        <v>36.0</v>
      </c>
      <c r="AD10" s="1">
        <v>24.0</v>
      </c>
      <c r="AE10" s="1">
        <v>20.0</v>
      </c>
      <c r="AF10" s="1" t="s">
        <v>56</v>
      </c>
      <c r="AG10" s="1">
        <v>58.0</v>
      </c>
      <c r="AH10" s="1">
        <v>32.0</v>
      </c>
      <c r="AI10" s="1">
        <v>29.0</v>
      </c>
      <c r="AJ10" s="1">
        <v>26.0</v>
      </c>
      <c r="AK10" s="1">
        <v>23.0</v>
      </c>
      <c r="AL10" s="1">
        <v>278.0</v>
      </c>
      <c r="AM10" s="1">
        <v>10.0</v>
      </c>
      <c r="AN10" s="1">
        <v>112.0</v>
      </c>
      <c r="AO10" s="1">
        <v>112.0</v>
      </c>
      <c r="AP10" s="1" t="s">
        <v>115</v>
      </c>
      <c r="AQ10" s="3" t="str">
        <f>HYPERLINK("https://icf.clappia.com/app/GMB253374/submission/MJM95206729/ICF247370-GMB253374-2aj9j32ofla160000000/SIG-20250630_1804jijdf.jpeg", "SIG-20250630_1804jijdf.jpeg")</f>
        <v>SIG-20250630_1804jijdf.jpeg</v>
      </c>
      <c r="AR10" s="1" t="s">
        <v>116</v>
      </c>
      <c r="AS10" s="3" t="str">
        <f>HYPERLINK("https://icf.clappia.com/app/GMB253374/submission/MJM95206729/ICF247370-GMB253374-4ec1h4eali780000000/SIG-20250630_1804jamef.jpeg", "SIG-20250630_1804jamef.jpeg")</f>
        <v>SIG-20250630_1804jamef.jpeg</v>
      </c>
      <c r="AT10" s="1" t="s">
        <v>117</v>
      </c>
      <c r="AU10" s="3" t="str">
        <f>HYPERLINK("https://icf.clappia.com/app/GMB253374/submission/MJM95206729/ICF247370-GMB253374-4ei6f4fh1km600000000/SIG-20250630_180419ccfe.jpeg", "SIG-20250630_180419ccfe.jpeg")</f>
        <v>SIG-20250630_180419ccfe.jpeg</v>
      </c>
      <c r="AV10" s="3" t="str">
        <f>HYPERLINK("https://www.google.com/maps/place/8.0154667%2C-11.728965", "8.0154667,-11.728965")</f>
        <v>8.0154667,-11.728965</v>
      </c>
    </row>
    <row r="11">
      <c r="A11" s="1" t="s">
        <v>118</v>
      </c>
      <c r="B11" s="1" t="s">
        <v>111</v>
      </c>
      <c r="C11" s="1" t="s">
        <v>119</v>
      </c>
      <c r="D11" s="1" t="s">
        <v>119</v>
      </c>
      <c r="E11" s="1" t="s">
        <v>120</v>
      </c>
      <c r="F11" s="1" t="s">
        <v>121</v>
      </c>
      <c r="G11" s="1">
        <v>146.0</v>
      </c>
      <c r="H11" s="1" t="s">
        <v>51</v>
      </c>
      <c r="I11" s="1">
        <v>61.0</v>
      </c>
      <c r="J11" s="1">
        <v>26.0</v>
      </c>
      <c r="K11" s="1">
        <v>26.0</v>
      </c>
      <c r="L11" s="1">
        <v>35.0</v>
      </c>
      <c r="M11" s="1">
        <v>35.0</v>
      </c>
      <c r="N11" s="1" t="s">
        <v>52</v>
      </c>
      <c r="O11" s="1">
        <v>33.0</v>
      </c>
      <c r="P11" s="1">
        <v>15.0</v>
      </c>
      <c r="Q11" s="1">
        <v>15.0</v>
      </c>
      <c r="R11" s="1">
        <v>18.0</v>
      </c>
      <c r="S11" s="1">
        <v>18.0</v>
      </c>
      <c r="T11" s="1" t="s">
        <v>53</v>
      </c>
      <c r="U11" s="1">
        <v>17.0</v>
      </c>
      <c r="V11" s="1">
        <v>8.0</v>
      </c>
      <c r="W11" s="1">
        <v>8.0</v>
      </c>
      <c r="X11" s="1">
        <v>9.0</v>
      </c>
      <c r="Y11" s="1">
        <v>9.0</v>
      </c>
      <c r="Z11" s="1" t="s">
        <v>54</v>
      </c>
      <c r="AA11" s="1">
        <v>16.0</v>
      </c>
      <c r="AB11" s="1">
        <v>6.0</v>
      </c>
      <c r="AC11" s="1">
        <v>6.0</v>
      </c>
      <c r="AD11" s="1">
        <v>10.0</v>
      </c>
      <c r="AE11" s="1">
        <v>10.0</v>
      </c>
      <c r="AF11" s="1" t="s">
        <v>56</v>
      </c>
      <c r="AG11" s="1">
        <v>19.0</v>
      </c>
      <c r="AH11" s="1">
        <v>9.0</v>
      </c>
      <c r="AI11" s="1">
        <v>5.0</v>
      </c>
      <c r="AJ11" s="1">
        <v>10.0</v>
      </c>
      <c r="AK11" s="1">
        <v>4.0</v>
      </c>
      <c r="AL11" s="1">
        <v>136.0</v>
      </c>
      <c r="AM11" s="1">
        <v>10.0</v>
      </c>
      <c r="AN11" s="1" t="s">
        <v>55</v>
      </c>
      <c r="AO11" s="1" t="s">
        <v>55</v>
      </c>
      <c r="AP11" s="1" t="s">
        <v>122</v>
      </c>
      <c r="AQ11" s="3" t="str">
        <f>HYPERLINK("https://icf.clappia.com/app/GMB253374/submission/ZXJ08047363/ICF247370-GMB253374-343hm5c0ee2200000000/SIG-20250630_153413049n.jpeg", "SIG-20250630_153413049n.jpeg")</f>
        <v>SIG-20250630_153413049n.jpeg</v>
      </c>
      <c r="AR11" s="1" t="s">
        <v>123</v>
      </c>
      <c r="AS11" s="3" t="str">
        <f>HYPERLINK("https://icf.clappia.com/app/GMB253374/submission/ZXJ08047363/ICF247370-GMB253374-4hl17glffn4o00000000/SIG-20250630_1519192aa1.jpeg", "SIG-20250630_1519192aa1.jpeg")</f>
        <v>SIG-20250630_1519192aa1.jpeg</v>
      </c>
      <c r="AT11" s="1" t="s">
        <v>124</v>
      </c>
      <c r="AU11" s="3" t="str">
        <f>HYPERLINK("https://icf.clappia.com/app/GMB253374/submission/ZXJ08047363/ICF247370-GMB253374-dj99ocbeean20000000/SIG-20250630_15347baip.jpeg", "SIG-20250630_15347baip.jpeg")</f>
        <v>SIG-20250630_15347baip.jpeg</v>
      </c>
      <c r="AV11" s="3" t="str">
        <f>HYPERLINK("https://www.google.com/maps/place/7.948884%2C-11.7094981", "7.948884,-11.7094981")</f>
        <v>7.948884,-11.7094981</v>
      </c>
    </row>
    <row r="12">
      <c r="A12" s="1" t="s">
        <v>125</v>
      </c>
      <c r="B12" s="1" t="s">
        <v>98</v>
      </c>
      <c r="C12" s="1" t="s">
        <v>126</v>
      </c>
      <c r="D12" s="1" t="s">
        <v>126</v>
      </c>
      <c r="E12" s="1" t="s">
        <v>127</v>
      </c>
      <c r="F12" s="1" t="s">
        <v>50</v>
      </c>
      <c r="G12" s="1">
        <v>220.0</v>
      </c>
      <c r="H12" s="1" t="s">
        <v>51</v>
      </c>
      <c r="I12" s="1">
        <v>75.0</v>
      </c>
      <c r="J12" s="1">
        <v>38.0</v>
      </c>
      <c r="K12" s="1">
        <v>20.0</v>
      </c>
      <c r="L12" s="1">
        <v>37.0</v>
      </c>
      <c r="M12" s="1">
        <v>21.0</v>
      </c>
      <c r="N12" s="1" t="s">
        <v>52</v>
      </c>
      <c r="O12" s="1">
        <v>93.0</v>
      </c>
      <c r="P12" s="1">
        <v>44.0</v>
      </c>
      <c r="Q12" s="1">
        <v>19.0</v>
      </c>
      <c r="R12" s="1">
        <v>49.0</v>
      </c>
      <c r="S12" s="1">
        <v>25.0</v>
      </c>
      <c r="T12" s="1" t="s">
        <v>53</v>
      </c>
      <c r="U12" s="1">
        <v>95.0</v>
      </c>
      <c r="V12" s="1">
        <v>39.0</v>
      </c>
      <c r="W12" s="1">
        <v>26.0</v>
      </c>
      <c r="X12" s="1">
        <v>56.0</v>
      </c>
      <c r="Y12" s="1">
        <v>35.0</v>
      </c>
      <c r="Z12" s="1" t="s">
        <v>54</v>
      </c>
      <c r="AA12" s="1">
        <v>107.0</v>
      </c>
      <c r="AB12" s="1">
        <v>51.0</v>
      </c>
      <c r="AC12" s="1">
        <v>30.0</v>
      </c>
      <c r="AD12" s="1">
        <v>56.0</v>
      </c>
      <c r="AE12" s="1">
        <v>44.0</v>
      </c>
      <c r="AF12" s="1" t="s">
        <v>56</v>
      </c>
      <c r="AG12" s="1" t="s">
        <v>55</v>
      </c>
      <c r="AH12" s="1" t="s">
        <v>55</v>
      </c>
      <c r="AI12" s="1" t="s">
        <v>55</v>
      </c>
      <c r="AJ12" s="1" t="s">
        <v>55</v>
      </c>
      <c r="AK12" s="1" t="s">
        <v>55</v>
      </c>
      <c r="AL12" s="1">
        <v>220.0</v>
      </c>
      <c r="AM12" s="1" t="s">
        <v>55</v>
      </c>
      <c r="AN12" s="1" t="s">
        <v>55</v>
      </c>
      <c r="AO12" s="1" t="s">
        <v>55</v>
      </c>
      <c r="AP12" s="1" t="s">
        <v>128</v>
      </c>
      <c r="AQ12" s="3" t="str">
        <f>HYPERLINK("https://icf.clappia.com/app/GMB253374/submission/DJR47577182/ICF247370-GMB253374-3hg5nkl2g17800000000/SIG-20250630_17137o48n.jpeg", "SIG-20250630_17137o48n.jpeg")</f>
        <v>SIG-20250630_17137o48n.jpeg</v>
      </c>
      <c r="AR12" s="1" t="s">
        <v>129</v>
      </c>
      <c r="AS12" s="3" t="str">
        <f>HYPERLINK("https://icf.clappia.com/app/GMB253374/submission/DJR47577182/ICF247370-GMB253374-29432mkc5pp8k000000/SIG-20250630_17141hkpp.jpeg", "SIG-20250630_17141hkpp.jpeg")</f>
        <v>SIG-20250630_17141hkpp.jpeg</v>
      </c>
      <c r="AT12" s="1" t="s">
        <v>130</v>
      </c>
      <c r="AU12" s="3" t="str">
        <f>HYPERLINK("https://icf.clappia.com/app/GMB253374/submission/DJR47577182/ICF247370-GMB253374-3g93dfdd89a800000000/SIG-20250630_17176ajd7.jpeg", "SIG-20250630_17176ajd7.jpeg")</f>
        <v>SIG-20250630_17176ajd7.jpeg</v>
      </c>
      <c r="AV12" s="3" t="str">
        <f>HYPERLINK("https://www.google.com/maps/place/7.9674945%2C-11.7255121", "7.9674945,-11.7255121")</f>
        <v>7.9674945,-11.7255121</v>
      </c>
    </row>
    <row r="13">
      <c r="A13" s="1" t="s">
        <v>131</v>
      </c>
      <c r="B13" s="1" t="s">
        <v>46</v>
      </c>
      <c r="C13" s="1" t="s">
        <v>132</v>
      </c>
      <c r="D13" s="1" t="s">
        <v>132</v>
      </c>
      <c r="E13" s="1" t="s">
        <v>133</v>
      </c>
      <c r="F13" s="1" t="s">
        <v>50</v>
      </c>
      <c r="G13" s="1">
        <v>100.0</v>
      </c>
      <c r="H13" s="1" t="s">
        <v>51</v>
      </c>
      <c r="I13" s="1">
        <v>94.0</v>
      </c>
      <c r="J13" s="1">
        <v>44.0</v>
      </c>
      <c r="K13" s="1">
        <v>44.0</v>
      </c>
      <c r="L13" s="1">
        <v>50.0</v>
      </c>
      <c r="M13" s="1">
        <v>50.0</v>
      </c>
      <c r="N13" s="1" t="s">
        <v>52</v>
      </c>
      <c r="O13" s="1" t="s">
        <v>55</v>
      </c>
      <c r="P13" s="1" t="s">
        <v>55</v>
      </c>
      <c r="Q13" s="1" t="s">
        <v>55</v>
      </c>
      <c r="R13" s="1" t="s">
        <v>55</v>
      </c>
      <c r="S13" s="1" t="s">
        <v>55</v>
      </c>
      <c r="T13" s="1" t="s">
        <v>53</v>
      </c>
      <c r="U13" s="1" t="s">
        <v>55</v>
      </c>
      <c r="V13" s="1" t="s">
        <v>55</v>
      </c>
      <c r="W13" s="1" t="s">
        <v>55</v>
      </c>
      <c r="X13" s="1" t="s">
        <v>55</v>
      </c>
      <c r="Y13" s="1" t="s">
        <v>55</v>
      </c>
      <c r="Z13" s="1" t="s">
        <v>54</v>
      </c>
      <c r="AA13" s="1" t="s">
        <v>55</v>
      </c>
      <c r="AB13" s="1" t="s">
        <v>55</v>
      </c>
      <c r="AC13" s="1" t="s">
        <v>55</v>
      </c>
      <c r="AD13" s="1" t="s">
        <v>55</v>
      </c>
      <c r="AE13" s="1" t="s">
        <v>55</v>
      </c>
      <c r="AF13" s="1" t="s">
        <v>56</v>
      </c>
      <c r="AG13" s="1" t="s">
        <v>55</v>
      </c>
      <c r="AH13" s="1" t="s">
        <v>55</v>
      </c>
      <c r="AI13" s="1" t="s">
        <v>55</v>
      </c>
      <c r="AJ13" s="1" t="s">
        <v>55</v>
      </c>
      <c r="AK13" s="1" t="s">
        <v>55</v>
      </c>
      <c r="AL13" s="1">
        <v>94.0</v>
      </c>
      <c r="AM13" s="1" t="s">
        <v>55</v>
      </c>
      <c r="AN13" s="1">
        <v>6.0</v>
      </c>
      <c r="AO13" s="1">
        <v>6.0</v>
      </c>
      <c r="AP13" s="1" t="s">
        <v>134</v>
      </c>
      <c r="AQ13" s="3" t="str">
        <f>HYPERLINK("https://icf.clappia.com/app/GMB253374/submission/OAY41207360/ICF247370-GMB253374-3io7h90j3jk800000000/SIG-20250630_12598dg25.jpeg", "SIG-20250630_12598dg25.jpeg")</f>
        <v>SIG-20250630_12598dg25.jpeg</v>
      </c>
      <c r="AR13" s="1" t="s">
        <v>135</v>
      </c>
      <c r="AS13" s="3" t="str">
        <f>HYPERLINK("https://icf.clappia.com/app/GMB253374/submission/OAY41207360/ICF247370-GMB253374-4l371b1jol1600000000/SIG-20250630_131619if72.jpeg", "SIG-20250630_131619if72.jpeg")</f>
        <v>SIG-20250630_131619if72.jpeg</v>
      </c>
      <c r="AT13" s="1" t="s">
        <v>136</v>
      </c>
      <c r="AU13" s="3" t="str">
        <f>HYPERLINK("https://icf.clappia.com/app/GMB253374/submission/OAY41207360/ICF247370-GMB253374-5ne3a79gal2o0000000/SIG-20250630_130212c305.jpeg", "SIG-20250630_130212c305.jpeg")</f>
        <v>SIG-20250630_130212c305.jpeg</v>
      </c>
      <c r="AV13" s="3" t="str">
        <f>HYPERLINK("https://www.google.com/maps/place/7.681025%2C-11.7694083", "7.681025,-11.7694083")</f>
        <v>7.681025,-11.7694083</v>
      </c>
    </row>
    <row r="14">
      <c r="A14" s="1" t="s">
        <v>137</v>
      </c>
      <c r="B14" s="1" t="s">
        <v>111</v>
      </c>
      <c r="C14" s="1" t="s">
        <v>138</v>
      </c>
      <c r="D14" s="1" t="s">
        <v>138</v>
      </c>
      <c r="E14" s="1" t="s">
        <v>139</v>
      </c>
      <c r="F14" s="1" t="s">
        <v>50</v>
      </c>
      <c r="G14" s="1">
        <v>300.0</v>
      </c>
      <c r="H14" s="1" t="s">
        <v>51</v>
      </c>
      <c r="I14" s="1">
        <v>63.0</v>
      </c>
      <c r="J14" s="1">
        <v>30.0</v>
      </c>
      <c r="K14" s="1">
        <v>17.0</v>
      </c>
      <c r="L14" s="1">
        <v>33.0</v>
      </c>
      <c r="M14" s="1">
        <v>27.0</v>
      </c>
      <c r="N14" s="1" t="s">
        <v>52</v>
      </c>
      <c r="O14" s="1">
        <v>65.0</v>
      </c>
      <c r="P14" s="1">
        <v>31.0</v>
      </c>
      <c r="Q14" s="1">
        <v>20.0</v>
      </c>
      <c r="R14" s="1">
        <v>34.0</v>
      </c>
      <c r="S14" s="1">
        <v>7.0</v>
      </c>
      <c r="T14" s="1" t="s">
        <v>53</v>
      </c>
      <c r="U14" s="1">
        <v>26.0</v>
      </c>
      <c r="V14" s="1">
        <v>26.0</v>
      </c>
      <c r="W14" s="1">
        <v>12.0</v>
      </c>
      <c r="X14" s="1" t="s">
        <v>55</v>
      </c>
      <c r="Y14" s="1" t="s">
        <v>55</v>
      </c>
      <c r="Z14" s="1" t="s">
        <v>54</v>
      </c>
      <c r="AA14" s="1">
        <v>40.0</v>
      </c>
      <c r="AB14" s="1">
        <v>22.0</v>
      </c>
      <c r="AC14" s="1">
        <v>10.0</v>
      </c>
      <c r="AD14" s="1">
        <v>18.0</v>
      </c>
      <c r="AE14" s="1">
        <v>5.0</v>
      </c>
      <c r="AF14" s="1" t="s">
        <v>56</v>
      </c>
      <c r="AG14" s="1">
        <v>32.0</v>
      </c>
      <c r="AH14" s="1">
        <v>12.0</v>
      </c>
      <c r="AI14" s="1">
        <v>6.0</v>
      </c>
      <c r="AJ14" s="1">
        <v>20.0</v>
      </c>
      <c r="AK14" s="1">
        <v>2.0</v>
      </c>
      <c r="AL14" s="1">
        <v>106.0</v>
      </c>
      <c r="AM14" s="1">
        <v>10.0</v>
      </c>
      <c r="AN14" s="1">
        <v>184.0</v>
      </c>
      <c r="AO14" s="1">
        <v>184.0</v>
      </c>
      <c r="AP14" s="1" t="s">
        <v>140</v>
      </c>
      <c r="AQ14" s="3" t="str">
        <f>HYPERLINK("https://icf.clappia.com/app/GMB253374/submission/OYV62173863/ICF247370-GMB253374-140oln4i9ol280000000/SIG-20250630_1730f708.jpeg", "SIG-20250630_1730f708.jpeg")</f>
        <v>SIG-20250630_1730f708.jpeg</v>
      </c>
      <c r="AR14" s="1" t="s">
        <v>141</v>
      </c>
      <c r="AS14" s="3" t="str">
        <f>HYPERLINK("https://icf.clappia.com/app/GMB253374/submission/OYV62173863/ICF247370-GMB253374-48g4gf7e9dkg00000000/SIG-20250630_1730lc2jh.jpeg", "SIG-20250630_1730lc2jh.jpeg")</f>
        <v>SIG-20250630_1730lc2jh.jpeg</v>
      </c>
      <c r="AT14" s="1" t="s">
        <v>142</v>
      </c>
      <c r="AU14" s="3" t="str">
        <f>HYPERLINK("https://icf.clappia.com/app/GMB253374/submission/OYV62173863/ICF247370-GMB253374-3mppo2g3pb1600000000/SIG-20250630_17314cp2a.jpeg", "SIG-20250630_17314cp2a.jpeg")</f>
        <v>SIG-20250630_17314cp2a.jpeg</v>
      </c>
      <c r="AV14" s="3" t="str">
        <f>HYPERLINK("https://www.google.com/maps/place/8.0146433%2C-11.728945", "8.0146433,-11.728945")</f>
        <v>8.0146433,-11.728945</v>
      </c>
    </row>
    <row r="15">
      <c r="A15" s="1" t="s">
        <v>143</v>
      </c>
      <c r="B15" s="1" t="s">
        <v>91</v>
      </c>
      <c r="C15" s="1" t="s">
        <v>144</v>
      </c>
      <c r="D15" s="1" t="s">
        <v>144</v>
      </c>
      <c r="E15" s="1" t="s">
        <v>145</v>
      </c>
      <c r="F15" s="1" t="s">
        <v>50</v>
      </c>
      <c r="G15" s="1">
        <v>100.0</v>
      </c>
      <c r="H15" s="1" t="s">
        <v>51</v>
      </c>
      <c r="I15" s="1">
        <v>45.0</v>
      </c>
      <c r="J15" s="1">
        <v>22.0</v>
      </c>
      <c r="K15" s="1">
        <v>22.0</v>
      </c>
      <c r="L15" s="1">
        <v>23.0</v>
      </c>
      <c r="M15" s="1">
        <v>23.0</v>
      </c>
      <c r="N15" s="1" t="s">
        <v>52</v>
      </c>
      <c r="O15" s="1">
        <v>23.0</v>
      </c>
      <c r="P15" s="1">
        <v>11.0</v>
      </c>
      <c r="Q15" s="1">
        <v>11.0</v>
      </c>
      <c r="R15" s="1">
        <v>12.0</v>
      </c>
      <c r="S15" s="1">
        <v>12.0</v>
      </c>
      <c r="T15" s="1" t="s">
        <v>53</v>
      </c>
      <c r="U15" s="1">
        <v>18.0</v>
      </c>
      <c r="V15" s="1">
        <v>8.0</v>
      </c>
      <c r="W15" s="1">
        <v>8.0</v>
      </c>
      <c r="X15" s="1">
        <v>10.0</v>
      </c>
      <c r="Y15" s="1">
        <v>10.0</v>
      </c>
      <c r="Z15" s="1" t="s">
        <v>54</v>
      </c>
      <c r="AA15" s="1">
        <v>12.0</v>
      </c>
      <c r="AB15" s="1">
        <v>5.0</v>
      </c>
      <c r="AC15" s="1">
        <v>5.0</v>
      </c>
      <c r="AD15" s="1">
        <v>7.0</v>
      </c>
      <c r="AE15" s="1">
        <v>7.0</v>
      </c>
      <c r="AF15" s="1" t="s">
        <v>56</v>
      </c>
      <c r="AG15" s="1" t="s">
        <v>55</v>
      </c>
      <c r="AH15" s="1" t="s">
        <v>55</v>
      </c>
      <c r="AI15" s="1" t="s">
        <v>55</v>
      </c>
      <c r="AJ15" s="1" t="s">
        <v>55</v>
      </c>
      <c r="AK15" s="1" t="s">
        <v>55</v>
      </c>
      <c r="AL15" s="1">
        <v>98.0</v>
      </c>
      <c r="AM15" s="1" t="s">
        <v>55</v>
      </c>
      <c r="AN15" s="1">
        <v>2.0</v>
      </c>
      <c r="AO15" s="1" t="s">
        <v>55</v>
      </c>
      <c r="AP15" s="1" t="s">
        <v>146</v>
      </c>
      <c r="AQ15" s="3" t="str">
        <f>HYPERLINK("https://icf.clappia.com/app/GMB253374/submission/QJT10872541/ICF247370-GMB253374-2amhbk2dnpcja0000000/SIG-20250630_1720b98mm.jpeg", "SIG-20250630_1720b98mm.jpeg")</f>
        <v>SIG-20250630_1720b98mm.jpeg</v>
      </c>
      <c r="AR15" s="1" t="s">
        <v>147</v>
      </c>
      <c r="AS15" s="3" t="str">
        <f>HYPERLINK("https://icf.clappia.com/app/GMB253374/submission/QJT10872541/ICF247370-GMB253374-hm1igm2ei8800000000/SIG-20250630_125814kgk6.jpeg", "SIG-20250630_125814kgk6.jpeg")</f>
        <v>SIG-20250630_125814kgk6.jpeg</v>
      </c>
      <c r="AT15" s="1" t="s">
        <v>148</v>
      </c>
      <c r="AU15" s="3" t="str">
        <f>HYPERLINK("https://icf.clappia.com/app/GMB253374/submission/QJT10872541/ICF247370-GMB253374-1p8ac870hniac0000000/SIG-20250630_17223pj8g.jpeg", "SIG-20250630_17223pj8g.jpeg")</f>
        <v>SIG-20250630_17223pj8g.jpeg</v>
      </c>
      <c r="AV15" s="3" t="str">
        <f>HYPERLINK("https://www.google.com/maps/place/8.2357668%2C-11.6912849", "8.2357668,-11.6912849")</f>
        <v>8.2357668,-11.6912849</v>
      </c>
    </row>
    <row r="16">
      <c r="A16" s="1" t="s">
        <v>149</v>
      </c>
      <c r="B16" s="1" t="s">
        <v>61</v>
      </c>
      <c r="C16" s="1" t="s">
        <v>150</v>
      </c>
      <c r="D16" s="1" t="s">
        <v>150</v>
      </c>
      <c r="E16" s="1" t="s">
        <v>151</v>
      </c>
      <c r="F16" s="1" t="s">
        <v>50</v>
      </c>
      <c r="G16" s="1">
        <v>242.0</v>
      </c>
      <c r="H16" s="1" t="s">
        <v>51</v>
      </c>
      <c r="I16" s="1">
        <v>81.0</v>
      </c>
      <c r="J16" s="1">
        <v>37.0</v>
      </c>
      <c r="K16" s="1">
        <v>37.0</v>
      </c>
      <c r="L16" s="1">
        <v>44.0</v>
      </c>
      <c r="M16" s="1">
        <v>44.0</v>
      </c>
      <c r="N16" s="1" t="s">
        <v>52</v>
      </c>
      <c r="O16" s="1">
        <v>48.0</v>
      </c>
      <c r="P16" s="1">
        <v>22.0</v>
      </c>
      <c r="Q16" s="1">
        <v>22.0</v>
      </c>
      <c r="R16" s="1">
        <v>26.0</v>
      </c>
      <c r="S16" s="1">
        <v>26.0</v>
      </c>
      <c r="T16" s="1" t="s">
        <v>53</v>
      </c>
      <c r="U16" s="1">
        <v>50.0</v>
      </c>
      <c r="V16" s="1">
        <v>28.0</v>
      </c>
      <c r="W16" s="1">
        <v>28.0</v>
      </c>
      <c r="X16" s="1">
        <v>22.0</v>
      </c>
      <c r="Y16" s="1">
        <v>22.0</v>
      </c>
      <c r="Z16" s="1" t="s">
        <v>54</v>
      </c>
      <c r="AA16" s="1">
        <v>39.0</v>
      </c>
      <c r="AB16" s="1">
        <v>21.0</v>
      </c>
      <c r="AC16" s="1">
        <v>21.0</v>
      </c>
      <c r="AD16" s="1">
        <v>18.0</v>
      </c>
      <c r="AE16" s="1">
        <v>18.0</v>
      </c>
      <c r="AF16" s="1" t="s">
        <v>56</v>
      </c>
      <c r="AG16" s="1">
        <v>24.0</v>
      </c>
      <c r="AH16" s="1">
        <v>14.0</v>
      </c>
      <c r="AI16" s="1">
        <v>14.0</v>
      </c>
      <c r="AJ16" s="1">
        <v>10.0</v>
      </c>
      <c r="AK16" s="1">
        <v>10.0</v>
      </c>
      <c r="AL16" s="1">
        <v>242.0</v>
      </c>
      <c r="AM16" s="1" t="s">
        <v>55</v>
      </c>
      <c r="AN16" s="1" t="s">
        <v>55</v>
      </c>
      <c r="AO16" s="1" t="s">
        <v>55</v>
      </c>
      <c r="AP16" s="1" t="s">
        <v>152</v>
      </c>
      <c r="AQ16" s="3" t="str">
        <f>HYPERLINK("https://icf.clappia.com/app/GMB253374/submission/JFJ62737058/ICF247370-GMB253374-167ph052o5jm0000000/SIG-20250630_171617nheb.jpeg", "SIG-20250630_171617nheb.jpeg")</f>
        <v>SIG-20250630_171617nheb.jpeg</v>
      </c>
      <c r="AR16" s="1" t="s">
        <v>153</v>
      </c>
      <c r="AS16" s="3" t="str">
        <f>HYPERLINK("https://icf.clappia.com/app/GMB253374/submission/JFJ62737058/ICF247370-GMB253374-1541lbh6k2i400000000/SIG-20250630_171611d1na.jpeg", "SIG-20250630_171611d1na.jpeg")</f>
        <v>SIG-20250630_171611d1na.jpeg</v>
      </c>
      <c r="AT16" s="1" t="s">
        <v>154</v>
      </c>
      <c r="AU16" s="3" t="str">
        <f>HYPERLINK("https://icf.clappia.com/app/GMB253374/submission/JFJ62737058/ICF247370-GMB253374-4c49hnhd793800000000/SIG-20250630_171738ggg.jpeg", "SIG-20250630_171738ggg.jpeg")</f>
        <v>SIG-20250630_171738ggg.jpeg</v>
      </c>
      <c r="AV16" s="3" t="str">
        <f>HYPERLINK("https://www.google.com/maps/place/7.7387858%2C-11.9849207", "7.7387858,-11.9849207")</f>
        <v>7.7387858,-11.9849207</v>
      </c>
    </row>
    <row r="17">
      <c r="A17" s="1" t="s">
        <v>155</v>
      </c>
      <c r="B17" s="1" t="s">
        <v>61</v>
      </c>
      <c r="C17" s="1" t="s">
        <v>156</v>
      </c>
      <c r="D17" s="1" t="s">
        <v>156</v>
      </c>
      <c r="E17" s="1" t="s">
        <v>157</v>
      </c>
      <c r="F17" s="1" t="s">
        <v>50</v>
      </c>
      <c r="G17" s="1">
        <v>176.0</v>
      </c>
      <c r="H17" s="1" t="s">
        <v>51</v>
      </c>
      <c r="I17" s="1">
        <v>26.0</v>
      </c>
      <c r="J17" s="1">
        <v>13.0</v>
      </c>
      <c r="K17" s="1">
        <v>12.0</v>
      </c>
      <c r="L17" s="1">
        <v>13.0</v>
      </c>
      <c r="M17" s="1">
        <v>13.0</v>
      </c>
      <c r="N17" s="1" t="s">
        <v>52</v>
      </c>
      <c r="O17" s="1">
        <v>12.0</v>
      </c>
      <c r="P17" s="1">
        <v>6.0</v>
      </c>
      <c r="Q17" s="1">
        <v>6.0</v>
      </c>
      <c r="R17" s="1">
        <v>6.0</v>
      </c>
      <c r="S17" s="1">
        <v>6.0</v>
      </c>
      <c r="T17" s="1" t="s">
        <v>53</v>
      </c>
      <c r="U17" s="1">
        <v>44.0</v>
      </c>
      <c r="V17" s="1">
        <v>22.0</v>
      </c>
      <c r="W17" s="1">
        <v>22.0</v>
      </c>
      <c r="X17" s="1">
        <v>22.0</v>
      </c>
      <c r="Y17" s="1">
        <v>22.0</v>
      </c>
      <c r="Z17" s="1" t="s">
        <v>54</v>
      </c>
      <c r="AA17" s="1">
        <v>44.0</v>
      </c>
      <c r="AB17" s="1">
        <v>22.0</v>
      </c>
      <c r="AC17" s="1">
        <v>22.0</v>
      </c>
      <c r="AD17" s="1">
        <v>22.0</v>
      </c>
      <c r="AE17" s="1">
        <v>22.0</v>
      </c>
      <c r="AF17" s="1" t="s">
        <v>56</v>
      </c>
      <c r="AG17" s="1">
        <v>24.0</v>
      </c>
      <c r="AH17" s="1">
        <v>12.0</v>
      </c>
      <c r="AI17" s="1">
        <v>11.0</v>
      </c>
      <c r="AJ17" s="1">
        <v>12.0</v>
      </c>
      <c r="AK17" s="1">
        <v>12.0</v>
      </c>
      <c r="AL17" s="1">
        <v>148.0</v>
      </c>
      <c r="AM17" s="1" t="s">
        <v>55</v>
      </c>
      <c r="AN17" s="1">
        <v>28.0</v>
      </c>
      <c r="AO17" s="1">
        <v>28.0</v>
      </c>
      <c r="AP17" s="1" t="s">
        <v>158</v>
      </c>
      <c r="AQ17" s="3" t="str">
        <f>HYPERLINK("https://icf.clappia.com/app/GMB253374/submission/KCD06759977/ICF247370-GMB253374-5f28gbd3m58400000000/SIG-20250630_1712hpk1o.jpeg", "SIG-20250630_1712hpk1o.jpeg")</f>
        <v>SIG-20250630_1712hpk1o.jpeg</v>
      </c>
      <c r="AR17" s="1" t="s">
        <v>159</v>
      </c>
      <c r="AS17" s="3" t="str">
        <f>HYPERLINK("https://icf.clappia.com/app/GMB253374/submission/KCD06759977/ICF247370-GMB253374-nokj712k6a3a0000000/SIG-20250630_1712nnkmf.jpeg", "SIG-20250630_1712nnkmf.jpeg")</f>
        <v>SIG-20250630_1712nnkmf.jpeg</v>
      </c>
      <c r="AT17" s="1" t="s">
        <v>160</v>
      </c>
      <c r="AU17" s="3" t="str">
        <f>HYPERLINK("https://icf.clappia.com/app/GMB253374/submission/KCD06759977/ICF247370-GMB253374-6a2751ji4kb200000000/SIG-20250630_171311ih5b.jpeg", "SIG-20250630_171311ih5b.jpeg")</f>
        <v>SIG-20250630_171311ih5b.jpeg</v>
      </c>
      <c r="AV17" s="3" t="str">
        <f>HYPERLINK("https://www.google.com/maps/place/7.9666317%2C-12.0276783", "7.9666317,-12.0276783")</f>
        <v>7.9666317,-12.0276783</v>
      </c>
    </row>
    <row r="18">
      <c r="A18" s="1" t="s">
        <v>161</v>
      </c>
      <c r="B18" s="1" t="s">
        <v>162</v>
      </c>
      <c r="C18" s="1" t="s">
        <v>163</v>
      </c>
      <c r="D18" s="1" t="s">
        <v>163</v>
      </c>
      <c r="E18" s="1" t="s">
        <v>164</v>
      </c>
      <c r="F18" s="1" t="s">
        <v>50</v>
      </c>
      <c r="G18" s="1">
        <v>110.0</v>
      </c>
      <c r="H18" s="1" t="s">
        <v>51</v>
      </c>
      <c r="I18" s="1">
        <v>60.0</v>
      </c>
      <c r="J18" s="1">
        <v>30.0</v>
      </c>
      <c r="K18" s="1">
        <v>8.0</v>
      </c>
      <c r="L18" s="1">
        <v>30.0</v>
      </c>
      <c r="M18" s="1">
        <v>5.0</v>
      </c>
      <c r="N18" s="1" t="s">
        <v>52</v>
      </c>
      <c r="O18" s="1">
        <v>36.0</v>
      </c>
      <c r="P18" s="1">
        <v>24.0</v>
      </c>
      <c r="Q18" s="1">
        <v>7.0</v>
      </c>
      <c r="R18" s="1">
        <v>12.0</v>
      </c>
      <c r="S18" s="1">
        <v>9.0</v>
      </c>
      <c r="T18" s="1" t="s">
        <v>53</v>
      </c>
      <c r="U18" s="1">
        <v>30.0</v>
      </c>
      <c r="V18" s="1">
        <v>17.0</v>
      </c>
      <c r="W18" s="1">
        <v>11.0</v>
      </c>
      <c r="X18" s="1">
        <v>13.0</v>
      </c>
      <c r="Y18" s="1">
        <v>3.0</v>
      </c>
      <c r="Z18" s="1" t="s">
        <v>54</v>
      </c>
      <c r="AA18" s="1">
        <v>36.0</v>
      </c>
      <c r="AB18" s="1">
        <v>16.0</v>
      </c>
      <c r="AC18" s="1">
        <v>5.0</v>
      </c>
      <c r="AD18" s="1">
        <v>20.0</v>
      </c>
      <c r="AE18" s="1">
        <v>6.0</v>
      </c>
      <c r="AF18" s="1" t="s">
        <v>56</v>
      </c>
      <c r="AG18" s="1">
        <v>27.0</v>
      </c>
      <c r="AH18" s="1">
        <v>15.0</v>
      </c>
      <c r="AI18" s="1">
        <v>14.0</v>
      </c>
      <c r="AJ18" s="1">
        <v>12.0</v>
      </c>
      <c r="AK18" s="1">
        <v>12.0</v>
      </c>
      <c r="AL18" s="1">
        <v>80.0</v>
      </c>
      <c r="AM18" s="1">
        <v>10.0</v>
      </c>
      <c r="AN18" s="1">
        <v>20.0</v>
      </c>
      <c r="AO18" s="1">
        <v>20.0</v>
      </c>
      <c r="AP18" s="1" t="s">
        <v>165</v>
      </c>
      <c r="AQ18" s="3" t="str">
        <f>HYPERLINK("https://icf.clappia.com/app/GMB253374/submission/YRS03343154/ICF247370-GMB253374-57fgb05loecm00000000/SIG-20250630_1246a0hmf.jpeg", "SIG-20250630_1246a0hmf.jpeg")</f>
        <v>SIG-20250630_1246a0hmf.jpeg</v>
      </c>
      <c r="AR18" s="1" t="s">
        <v>166</v>
      </c>
      <c r="AS18" s="3" t="str">
        <f>HYPERLINK("https://icf.clappia.com/app/GMB253374/submission/YRS03343154/ICF247370-GMB253374-pnkj66m9b2de0000000/SIG-20250630_12439flk9.jpeg", "SIG-20250630_12439flk9.jpeg")</f>
        <v>SIG-20250630_12439flk9.jpeg</v>
      </c>
      <c r="AT18" s="1" t="s">
        <v>167</v>
      </c>
      <c r="AU18" s="3" t="str">
        <f>HYPERLINK("https://icf.clappia.com/app/GMB253374/submission/YRS03343154/ICF247370-GMB253374-3od3cdii539m00000000/SIG-20250630_1243175ho.jpeg", "SIG-20250630_1243175ho.jpeg")</f>
        <v>SIG-20250630_1243175ho.jpeg</v>
      </c>
      <c r="AV18" s="3" t="str">
        <f>HYPERLINK("https://www.google.com/maps/place/9.2113286%2C-11.9335588", "9.2113286,-11.9335588")</f>
        <v>9.2113286,-11.9335588</v>
      </c>
    </row>
    <row r="19" ht="15.75" customHeight="1">
      <c r="A19" s="1" t="s">
        <v>168</v>
      </c>
      <c r="B19" s="1" t="s">
        <v>169</v>
      </c>
      <c r="C19" s="1" t="s">
        <v>170</v>
      </c>
      <c r="D19" s="1" t="s">
        <v>170</v>
      </c>
      <c r="E19" s="1" t="s">
        <v>171</v>
      </c>
      <c r="F19" s="1" t="s">
        <v>50</v>
      </c>
      <c r="G19" s="1">
        <v>450.0</v>
      </c>
      <c r="H19" s="1" t="s">
        <v>51</v>
      </c>
      <c r="I19" s="1">
        <v>103.0</v>
      </c>
      <c r="J19" s="1">
        <v>65.0</v>
      </c>
      <c r="K19" s="1">
        <v>40.0</v>
      </c>
      <c r="L19" s="1">
        <v>38.0</v>
      </c>
      <c r="M19" s="1">
        <v>30.0</v>
      </c>
      <c r="N19" s="1" t="s">
        <v>52</v>
      </c>
      <c r="O19" s="1">
        <v>98.0</v>
      </c>
      <c r="P19" s="1">
        <v>48.0</v>
      </c>
      <c r="Q19" s="1">
        <v>41.0</v>
      </c>
      <c r="R19" s="1">
        <v>50.0</v>
      </c>
      <c r="S19" s="1">
        <v>40.0</v>
      </c>
      <c r="T19" s="1" t="s">
        <v>53</v>
      </c>
      <c r="U19" s="1">
        <v>95.0</v>
      </c>
      <c r="V19" s="1">
        <v>58.0</v>
      </c>
      <c r="W19" s="1">
        <v>44.0</v>
      </c>
      <c r="X19" s="1">
        <v>37.0</v>
      </c>
      <c r="Y19" s="1">
        <v>30.0</v>
      </c>
      <c r="Z19" s="1" t="s">
        <v>54</v>
      </c>
      <c r="AA19" s="1">
        <v>100.0</v>
      </c>
      <c r="AB19" s="1">
        <v>55.0</v>
      </c>
      <c r="AC19" s="1">
        <v>47.0</v>
      </c>
      <c r="AD19" s="1">
        <v>45.0</v>
      </c>
      <c r="AE19" s="1">
        <v>35.0</v>
      </c>
      <c r="AF19" s="1" t="s">
        <v>56</v>
      </c>
      <c r="AG19" s="1">
        <v>94.0</v>
      </c>
      <c r="AH19" s="1">
        <v>50.0</v>
      </c>
      <c r="AI19" s="1">
        <v>40.0</v>
      </c>
      <c r="AJ19" s="1">
        <v>44.0</v>
      </c>
      <c r="AK19" s="1">
        <v>32.0</v>
      </c>
      <c r="AL19" s="1">
        <v>379.0</v>
      </c>
      <c r="AM19" s="1">
        <v>10.0</v>
      </c>
      <c r="AN19" s="1">
        <v>61.0</v>
      </c>
      <c r="AO19" s="1">
        <v>61.0</v>
      </c>
      <c r="AP19" s="1" t="s">
        <v>172</v>
      </c>
      <c r="AQ19" s="3" t="str">
        <f>HYPERLINK("https://icf.clappia.com/app/GMB253374/submission/JRM39741635/ICF247370-GMB253374-24i826hk0mhk40000000/SIG-20250630_1653310n6.jpeg", "SIG-20250630_1653310n6.jpeg")</f>
        <v>SIG-20250630_1653310n6.jpeg</v>
      </c>
      <c r="AR19" s="1" t="s">
        <v>173</v>
      </c>
      <c r="AS19" s="3" t="str">
        <f>HYPERLINK("https://icf.clappia.com/app/GMB253374/submission/JRM39741635/ICF247370-GMB253374-193pn4e9nmhao0000000/SIG-20250630_16544593g.jpeg", "SIG-20250630_16544593g.jpeg")</f>
        <v>SIG-20250630_16544593g.jpeg</v>
      </c>
      <c r="AT19" s="1" t="s">
        <v>174</v>
      </c>
      <c r="AU19" s="3" t="str">
        <f>HYPERLINK("https://icf.clappia.com/app/GMB253374/submission/JRM39741635/ICF247370-GMB253374-3p2345of1mem00000000/SIG-20250630_1655bk20g.jpeg", "SIG-20250630_1655bk20g.jpeg")</f>
        <v>SIG-20250630_1655bk20g.jpeg</v>
      </c>
      <c r="AV19" s="3" t="str">
        <f>HYPERLINK("https://www.google.com/maps/place/8.8785583%2C-12.0532733", "8.8785583,-12.0532733")</f>
        <v>8.8785583,-12.0532733</v>
      </c>
    </row>
    <row r="20" ht="15.75" customHeight="1">
      <c r="A20" s="1" t="s">
        <v>175</v>
      </c>
      <c r="B20" s="1" t="s">
        <v>169</v>
      </c>
      <c r="C20" s="1" t="s">
        <v>176</v>
      </c>
      <c r="D20" s="1" t="s">
        <v>176</v>
      </c>
      <c r="E20" s="1" t="s">
        <v>177</v>
      </c>
      <c r="F20" s="1" t="s">
        <v>50</v>
      </c>
      <c r="G20" s="1">
        <v>250.0</v>
      </c>
      <c r="H20" s="1" t="s">
        <v>51</v>
      </c>
      <c r="I20" s="1">
        <v>47.0</v>
      </c>
      <c r="J20" s="1">
        <v>22.0</v>
      </c>
      <c r="K20" s="1">
        <v>22.0</v>
      </c>
      <c r="L20" s="1">
        <v>25.0</v>
      </c>
      <c r="M20" s="1">
        <v>25.0</v>
      </c>
      <c r="N20" s="1" t="s">
        <v>52</v>
      </c>
      <c r="O20" s="1">
        <v>48.0</v>
      </c>
      <c r="P20" s="1">
        <v>23.0</v>
      </c>
      <c r="Q20" s="1">
        <v>23.0</v>
      </c>
      <c r="R20" s="1">
        <v>25.0</v>
      </c>
      <c r="S20" s="1">
        <v>25.0</v>
      </c>
      <c r="T20" s="1" t="s">
        <v>53</v>
      </c>
      <c r="U20" s="1">
        <v>46.0</v>
      </c>
      <c r="V20" s="1">
        <v>19.0</v>
      </c>
      <c r="W20" s="1">
        <v>19.0</v>
      </c>
      <c r="X20" s="1">
        <v>27.0</v>
      </c>
      <c r="Y20" s="1">
        <v>27.0</v>
      </c>
      <c r="Z20" s="1" t="s">
        <v>54</v>
      </c>
      <c r="AA20" s="1">
        <v>50.0</v>
      </c>
      <c r="AB20" s="1">
        <v>27.0</v>
      </c>
      <c r="AC20" s="1">
        <v>27.0</v>
      </c>
      <c r="AD20" s="1">
        <v>23.0</v>
      </c>
      <c r="AE20" s="1">
        <v>23.0</v>
      </c>
      <c r="AF20" s="1" t="s">
        <v>56</v>
      </c>
      <c r="AG20" s="1">
        <v>49.0</v>
      </c>
      <c r="AH20" s="1">
        <v>22.0</v>
      </c>
      <c r="AI20" s="1">
        <v>22.0</v>
      </c>
      <c r="AJ20" s="1">
        <v>27.0</v>
      </c>
      <c r="AK20" s="1">
        <v>27.0</v>
      </c>
      <c r="AL20" s="1">
        <v>240.0</v>
      </c>
      <c r="AM20" s="1">
        <v>10.0</v>
      </c>
      <c r="AN20" s="1" t="s">
        <v>55</v>
      </c>
      <c r="AO20" s="1" t="s">
        <v>55</v>
      </c>
      <c r="AP20" s="1" t="s">
        <v>178</v>
      </c>
      <c r="AQ20" s="3" t="str">
        <f>HYPERLINK("https://icf.clappia.com/app/GMB253374/submission/VJD58517894/ICF247370-GMB253374-71gid88nlj2c0000000/SIG-20250630_1556i1a2.jpeg", "SIG-20250630_1556i1a2.jpeg")</f>
        <v>SIG-20250630_1556i1a2.jpeg</v>
      </c>
      <c r="AR20" s="1" t="s">
        <v>179</v>
      </c>
      <c r="AS20" s="3" t="str">
        <f>HYPERLINK("https://icf.clappia.com/app/GMB253374/submission/VJD58517894/ICF247370-GMB253374-3ca1img075b400000000/SIG-20250630_1601149mmc.jpeg", "SIG-20250630_1601149mmc.jpeg")</f>
        <v>SIG-20250630_1601149mmc.jpeg</v>
      </c>
      <c r="AT20" s="1" t="s">
        <v>180</v>
      </c>
      <c r="AU20" s="3" t="str">
        <f>HYPERLINK("https://icf.clappia.com/app/GMB253374/submission/VJD58517894/ICF247370-GMB253374-5p8og8gnp3a400000000/SIG-20250630_16412dp22.jpeg", "SIG-20250630_16412dp22.jpeg")</f>
        <v>SIG-20250630_16412dp22.jpeg</v>
      </c>
      <c r="AV20" s="3" t="str">
        <f>HYPERLINK("https://www.google.com/maps/place/8.8768383%2C-12.051415", "8.8768383,-12.051415")</f>
        <v>8.8768383,-12.051415</v>
      </c>
    </row>
    <row r="21" ht="15.75" customHeight="1">
      <c r="A21" s="1" t="s">
        <v>181</v>
      </c>
      <c r="B21" s="1" t="s">
        <v>84</v>
      </c>
      <c r="C21" s="1" t="s">
        <v>182</v>
      </c>
      <c r="D21" s="1" t="s">
        <v>182</v>
      </c>
      <c r="E21" s="1" t="s">
        <v>183</v>
      </c>
      <c r="F21" s="1" t="s">
        <v>50</v>
      </c>
      <c r="G21" s="1">
        <v>93.0</v>
      </c>
      <c r="H21" s="1" t="s">
        <v>51</v>
      </c>
      <c r="I21" s="1">
        <v>15.0</v>
      </c>
      <c r="J21" s="1">
        <v>5.0</v>
      </c>
      <c r="K21" s="1">
        <v>5.0</v>
      </c>
      <c r="L21" s="1">
        <v>10.0</v>
      </c>
      <c r="M21" s="1">
        <v>10.0</v>
      </c>
      <c r="N21" s="1" t="s">
        <v>52</v>
      </c>
      <c r="O21" s="1">
        <v>9.0</v>
      </c>
      <c r="P21" s="1">
        <v>4.0</v>
      </c>
      <c r="Q21" s="1">
        <v>4.0</v>
      </c>
      <c r="R21" s="1">
        <v>5.0</v>
      </c>
      <c r="S21" s="1">
        <v>5.0</v>
      </c>
      <c r="T21" s="1" t="s">
        <v>53</v>
      </c>
      <c r="U21" s="1">
        <v>7.0</v>
      </c>
      <c r="V21" s="1">
        <v>3.0</v>
      </c>
      <c r="W21" s="1">
        <v>3.0</v>
      </c>
      <c r="X21" s="1">
        <v>4.0</v>
      </c>
      <c r="Y21" s="1">
        <v>4.0</v>
      </c>
      <c r="Z21" s="1" t="s">
        <v>54</v>
      </c>
      <c r="AA21" s="1">
        <v>5.0</v>
      </c>
      <c r="AB21" s="1">
        <v>2.0</v>
      </c>
      <c r="AC21" s="1">
        <v>2.0</v>
      </c>
      <c r="AD21" s="1">
        <v>3.0</v>
      </c>
      <c r="AE21" s="1">
        <v>3.0</v>
      </c>
      <c r="AF21" s="1" t="s">
        <v>56</v>
      </c>
      <c r="AG21" s="1">
        <v>4.0</v>
      </c>
      <c r="AH21" s="1">
        <v>3.0</v>
      </c>
      <c r="AI21" s="1">
        <v>3.0</v>
      </c>
      <c r="AJ21" s="1">
        <v>1.0</v>
      </c>
      <c r="AK21" s="1">
        <v>1.0</v>
      </c>
      <c r="AL21" s="1">
        <v>40.0</v>
      </c>
      <c r="AM21" s="1">
        <v>8.0</v>
      </c>
      <c r="AN21" s="1">
        <v>45.0</v>
      </c>
      <c r="AO21" s="1">
        <v>42.0</v>
      </c>
      <c r="AP21" s="1" t="s">
        <v>184</v>
      </c>
      <c r="AQ21" s="3" t="str">
        <f>HYPERLINK("https://icf.clappia.com/app/GMB253374/submission/EWO93675810/ICF247370-GMB253374-3mnmc85e5hpa00000000/SIG-20250630_1512ahk2a.jpeg", "SIG-20250630_1512ahk2a.jpeg")</f>
        <v>SIG-20250630_1512ahk2a.jpeg</v>
      </c>
      <c r="AR21" s="1" t="s">
        <v>185</v>
      </c>
      <c r="AS21" s="3" t="str">
        <f>HYPERLINK("https://icf.clappia.com/app/GMB253374/submission/EWO93675810/ICF247370-GMB253374-2lkonom3h5nc00000000/SIG-20250630_1520b52mi.jpeg", "SIG-20250630_1520b52mi.jpeg")</f>
        <v>SIG-20250630_1520b52mi.jpeg</v>
      </c>
      <c r="AT21" s="1" t="s">
        <v>186</v>
      </c>
      <c r="AU21" s="3" t="str">
        <f>HYPERLINK("https://icf.clappia.com/app/GMB253374/submission/EWO93675810/ICF247370-GMB253374-cdh6jgeofi3i0000000/SIG-20250630_151313o4ep.jpeg", "SIG-20250630_151313o4ep.jpeg")</f>
        <v>SIG-20250630_151313o4ep.jpeg</v>
      </c>
      <c r="AV21" s="3" t="str">
        <f>HYPERLINK("https://www.google.com/maps/place/7.824005%2C-11.51521", "7.824005,-11.51521")</f>
        <v>7.824005,-11.51521</v>
      </c>
    </row>
    <row r="22" ht="15.75" customHeight="1">
      <c r="A22" s="1" t="s">
        <v>187</v>
      </c>
      <c r="B22" s="1" t="s">
        <v>188</v>
      </c>
      <c r="C22" s="1" t="s">
        <v>189</v>
      </c>
      <c r="D22" s="1" t="s">
        <v>189</v>
      </c>
      <c r="E22" s="1" t="s">
        <v>190</v>
      </c>
      <c r="F22" s="1" t="s">
        <v>50</v>
      </c>
      <c r="G22" s="1">
        <v>250.0</v>
      </c>
      <c r="H22" s="1" t="s">
        <v>51</v>
      </c>
      <c r="I22" s="1">
        <v>45.0</v>
      </c>
      <c r="J22" s="1">
        <v>20.0</v>
      </c>
      <c r="K22" s="1">
        <v>18.0</v>
      </c>
      <c r="L22" s="1">
        <v>25.0</v>
      </c>
      <c r="M22" s="1">
        <v>23.0</v>
      </c>
      <c r="N22" s="1" t="s">
        <v>52</v>
      </c>
      <c r="O22" s="1">
        <v>45.0</v>
      </c>
      <c r="P22" s="1">
        <v>15.0</v>
      </c>
      <c r="Q22" s="1">
        <v>14.0</v>
      </c>
      <c r="R22" s="1">
        <v>30.0</v>
      </c>
      <c r="S22" s="1">
        <v>29.0</v>
      </c>
      <c r="T22" s="1" t="s">
        <v>53</v>
      </c>
      <c r="U22" s="1">
        <v>50.0</v>
      </c>
      <c r="V22" s="1">
        <v>20.0</v>
      </c>
      <c r="W22" s="1">
        <v>20.0</v>
      </c>
      <c r="X22" s="1">
        <v>30.0</v>
      </c>
      <c r="Y22" s="1">
        <v>30.0</v>
      </c>
      <c r="Z22" s="1" t="s">
        <v>54</v>
      </c>
      <c r="AA22" s="1">
        <v>35.0</v>
      </c>
      <c r="AB22" s="1">
        <v>15.0</v>
      </c>
      <c r="AC22" s="1">
        <v>14.0</v>
      </c>
      <c r="AD22" s="1">
        <v>20.0</v>
      </c>
      <c r="AE22" s="1">
        <v>20.0</v>
      </c>
      <c r="AF22" s="1" t="s">
        <v>56</v>
      </c>
      <c r="AG22" s="1">
        <v>45.0</v>
      </c>
      <c r="AH22" s="1">
        <v>16.0</v>
      </c>
      <c r="AI22" s="1">
        <v>16.0</v>
      </c>
      <c r="AJ22" s="1">
        <v>25.0</v>
      </c>
      <c r="AK22" s="1">
        <v>25.0</v>
      </c>
      <c r="AL22" s="1">
        <v>209.0</v>
      </c>
      <c r="AM22" s="1" t="s">
        <v>55</v>
      </c>
      <c r="AN22" s="1">
        <v>41.0</v>
      </c>
      <c r="AO22" s="1">
        <v>41.0</v>
      </c>
      <c r="AP22" s="1" t="s">
        <v>191</v>
      </c>
      <c r="AQ22" s="3" t="str">
        <f>HYPERLINK("https://icf.clappia.com/app/GMB253374/submission/UEZ52119610/ICF247370-GMB253374-52k3ppjof9hi00000000/SIG-20250630_163638om4.jpeg", "SIG-20250630_163638om4.jpeg")</f>
        <v>SIG-20250630_163638om4.jpeg</v>
      </c>
      <c r="AR22" s="1" t="s">
        <v>192</v>
      </c>
      <c r="AS22" s="3" t="str">
        <f>HYPERLINK("https://icf.clappia.com/app/GMB253374/submission/UEZ52119610/ICF247370-GMB253374-gch01m2e4em40000000/SIG-20250630_105414fk28.jpeg", "SIG-20250630_105414fk28.jpeg")</f>
        <v>SIG-20250630_105414fk28.jpeg</v>
      </c>
      <c r="AT22" s="1" t="s">
        <v>193</v>
      </c>
      <c r="AU22" s="3" t="str">
        <f>HYPERLINK("https://icf.clappia.com/app/GMB253374/submission/UEZ52119610/ICF247370-GMB253374-hm8o8o024h920000000/SIG-20250630_10559gmno.jpeg", "SIG-20250630_10559gmno.jpeg")</f>
        <v>SIG-20250630_10559gmno.jpeg</v>
      </c>
      <c r="AV22" s="3" t="str">
        <f>HYPERLINK("https://www.google.com/maps/place/8.109595%2C-11.849755", "8.109595,-11.849755")</f>
        <v>8.109595,-11.849755</v>
      </c>
    </row>
    <row r="23" ht="15.75" customHeight="1">
      <c r="A23" s="1" t="s">
        <v>194</v>
      </c>
      <c r="B23" s="1" t="s">
        <v>98</v>
      </c>
      <c r="C23" s="1" t="s">
        <v>195</v>
      </c>
      <c r="D23" s="1" t="s">
        <v>195</v>
      </c>
      <c r="E23" s="1" t="s">
        <v>196</v>
      </c>
      <c r="F23" s="1" t="s">
        <v>50</v>
      </c>
      <c r="G23" s="1">
        <v>162.0</v>
      </c>
      <c r="H23" s="1" t="s">
        <v>51</v>
      </c>
      <c r="I23" s="1">
        <v>36.0</v>
      </c>
      <c r="J23" s="1">
        <v>20.0</v>
      </c>
      <c r="K23" s="1">
        <v>20.0</v>
      </c>
      <c r="L23" s="1">
        <v>16.0</v>
      </c>
      <c r="M23" s="1">
        <v>16.0</v>
      </c>
      <c r="N23" s="1" t="s">
        <v>52</v>
      </c>
      <c r="O23" s="1">
        <v>31.0</v>
      </c>
      <c r="P23" s="1">
        <v>15.0</v>
      </c>
      <c r="Q23" s="1">
        <v>14.0</v>
      </c>
      <c r="R23" s="1">
        <v>16.0</v>
      </c>
      <c r="S23" s="1">
        <v>15.0</v>
      </c>
      <c r="T23" s="1" t="s">
        <v>53</v>
      </c>
      <c r="U23" s="1">
        <v>32.0</v>
      </c>
      <c r="V23" s="1">
        <v>18.0</v>
      </c>
      <c r="W23" s="1">
        <v>18.0</v>
      </c>
      <c r="X23" s="1">
        <v>14.0</v>
      </c>
      <c r="Y23" s="1">
        <v>14.0</v>
      </c>
      <c r="Z23" s="1" t="s">
        <v>54</v>
      </c>
      <c r="AA23" s="1">
        <v>36.0</v>
      </c>
      <c r="AB23" s="1">
        <v>18.0</v>
      </c>
      <c r="AC23" s="1">
        <v>18.0</v>
      </c>
      <c r="AD23" s="1">
        <v>18.0</v>
      </c>
      <c r="AE23" s="1">
        <v>17.0</v>
      </c>
      <c r="AF23" s="1" t="s">
        <v>56</v>
      </c>
      <c r="AG23" s="1">
        <v>27.0</v>
      </c>
      <c r="AH23" s="1">
        <v>14.0</v>
      </c>
      <c r="AI23" s="1">
        <v>14.0</v>
      </c>
      <c r="AJ23" s="1">
        <v>13.0</v>
      </c>
      <c r="AK23" s="1">
        <v>13.0</v>
      </c>
      <c r="AL23" s="1">
        <v>159.0</v>
      </c>
      <c r="AM23" s="1">
        <v>1.0</v>
      </c>
      <c r="AN23" s="1">
        <v>2.0</v>
      </c>
      <c r="AO23" s="1">
        <v>2.0</v>
      </c>
      <c r="AP23" s="1" t="s">
        <v>197</v>
      </c>
      <c r="AQ23" s="3" t="str">
        <f>HYPERLINK("https://icf.clappia.com/app/GMB253374/submission/FXG10233667/ICF247370-GMB253374-389ini2dfca600000000/SIG-20250630_163610lp3i.jpeg", "SIG-20250630_163610lp3i.jpeg")</f>
        <v>SIG-20250630_163610lp3i.jpeg</v>
      </c>
      <c r="AR23" s="1" t="s">
        <v>198</v>
      </c>
      <c r="AS23" s="3" t="str">
        <f>HYPERLINK("https://icf.clappia.com/app/GMB253374/submission/FXG10233667/ICF247370-GMB253374-knjdcninbc3a0000000/SIG-20250630_16323g6a7.jpeg", "SIG-20250630_16323g6a7.jpeg")</f>
        <v>SIG-20250630_16323g6a7.jpeg</v>
      </c>
      <c r="AT23" s="1" t="s">
        <v>199</v>
      </c>
      <c r="AU23" s="3" t="str">
        <f>HYPERLINK("https://icf.clappia.com/app/GMB253374/submission/FXG10233667/ICF247370-GMB253374-2af560fceb8g80000000/SIG-20250630_163618a4im.jpeg", "SIG-20250630_163618a4im.jpeg")</f>
        <v>SIG-20250630_163618a4im.jpeg</v>
      </c>
      <c r="AV23" s="3" t="str">
        <f>HYPERLINK("https://www.google.com/maps/place/7.9563333%2C-11.7608217", "7.9563333,-11.7608217")</f>
        <v>7.9563333,-11.7608217</v>
      </c>
    </row>
    <row r="24" ht="15.75" customHeight="1">
      <c r="A24" s="1" t="s">
        <v>200</v>
      </c>
      <c r="B24" s="1" t="s">
        <v>84</v>
      </c>
      <c r="C24" s="1" t="s">
        <v>201</v>
      </c>
      <c r="D24" s="1" t="s">
        <v>201</v>
      </c>
      <c r="E24" s="1" t="s">
        <v>202</v>
      </c>
      <c r="F24" s="1" t="s">
        <v>50</v>
      </c>
      <c r="G24" s="1">
        <v>470.0</v>
      </c>
      <c r="H24" s="1" t="s">
        <v>51</v>
      </c>
      <c r="I24" s="1">
        <v>157.0</v>
      </c>
      <c r="J24" s="1">
        <v>77.0</v>
      </c>
      <c r="K24" s="1">
        <v>77.0</v>
      </c>
      <c r="L24" s="1">
        <v>80.0</v>
      </c>
      <c r="M24" s="1">
        <v>80.0</v>
      </c>
      <c r="N24" s="1" t="s">
        <v>52</v>
      </c>
      <c r="O24" s="1">
        <v>80.0</v>
      </c>
      <c r="P24" s="1">
        <v>40.0</v>
      </c>
      <c r="Q24" s="1">
        <v>40.0</v>
      </c>
      <c r="R24" s="1">
        <v>40.0</v>
      </c>
      <c r="S24" s="1">
        <v>40.0</v>
      </c>
      <c r="T24" s="1" t="s">
        <v>53</v>
      </c>
      <c r="U24" s="1">
        <v>62.0</v>
      </c>
      <c r="V24" s="1">
        <v>25.0</v>
      </c>
      <c r="W24" s="1">
        <v>24.0</v>
      </c>
      <c r="X24" s="1">
        <v>37.0</v>
      </c>
      <c r="Y24" s="1">
        <v>32.0</v>
      </c>
      <c r="Z24" s="1" t="s">
        <v>54</v>
      </c>
      <c r="AA24" s="1">
        <v>72.0</v>
      </c>
      <c r="AB24" s="1">
        <v>32.0</v>
      </c>
      <c r="AC24" s="1">
        <v>30.0</v>
      </c>
      <c r="AD24" s="1">
        <v>40.0</v>
      </c>
      <c r="AE24" s="1">
        <v>40.0</v>
      </c>
      <c r="AF24" s="1" t="s">
        <v>56</v>
      </c>
      <c r="AG24" s="1">
        <v>72.0</v>
      </c>
      <c r="AH24" s="1">
        <v>40.0</v>
      </c>
      <c r="AI24" s="1">
        <v>34.0</v>
      </c>
      <c r="AJ24" s="1">
        <v>32.0</v>
      </c>
      <c r="AK24" s="1">
        <v>32.0</v>
      </c>
      <c r="AL24" s="1">
        <v>429.0</v>
      </c>
      <c r="AM24" s="1" t="s">
        <v>55</v>
      </c>
      <c r="AN24" s="1">
        <v>41.0</v>
      </c>
      <c r="AO24" s="1">
        <v>41.0</v>
      </c>
      <c r="AP24" s="1" t="s">
        <v>203</v>
      </c>
      <c r="AQ24" s="3" t="str">
        <f>HYPERLINK("https://icf.clappia.com/app/GMB253374/submission/HCA25665492/ICF247370-GMB253374-1j58g40anfni80000000/SIG-20250630_1633olaeb.jpeg", "SIG-20250630_1633olaeb.jpeg")</f>
        <v>SIG-20250630_1633olaeb.jpeg</v>
      </c>
      <c r="AR24" s="1" t="s">
        <v>204</v>
      </c>
      <c r="AS24" s="3" t="str">
        <f>HYPERLINK("https://icf.clappia.com/app/GMB253374/submission/HCA25665492/ICF247370-GMB253374-1b5lam102bkba0000000/SIG-20250630_1634f3a33.jpeg", "SIG-20250630_1634f3a33.jpeg")</f>
        <v>SIG-20250630_1634f3a33.jpeg</v>
      </c>
      <c r="AT24" s="1" t="s">
        <v>205</v>
      </c>
      <c r="AU24" s="3" t="str">
        <f>HYPERLINK("https://icf.clappia.com/app/GMB253374/submission/HCA25665492/ICF247370-GMB253374-29o56k8kc7m1g0000000/SIG-20250630_1634h2c60.jpeg", "SIG-20250630_1634h2c60.jpeg")</f>
        <v>SIG-20250630_1634h2c60.jpeg</v>
      </c>
      <c r="AV24" s="3" t="str">
        <f>HYPERLINK("https://www.google.com/maps/place/7.7056833%2C-11.6932517", "7.7056833,-11.6932517")</f>
        <v>7.7056833,-11.6932517</v>
      </c>
    </row>
    <row r="25" ht="15.75" customHeight="1">
      <c r="A25" s="1" t="s">
        <v>206</v>
      </c>
      <c r="B25" s="1" t="s">
        <v>207</v>
      </c>
      <c r="C25" s="1" t="s">
        <v>208</v>
      </c>
      <c r="D25" s="1" t="s">
        <v>201</v>
      </c>
      <c r="E25" s="1" t="s">
        <v>209</v>
      </c>
      <c r="F25" s="1" t="s">
        <v>50</v>
      </c>
      <c r="G25" s="1">
        <v>256.0</v>
      </c>
      <c r="H25" s="1" t="s">
        <v>51</v>
      </c>
      <c r="I25" s="1">
        <v>70.0</v>
      </c>
      <c r="J25" s="1">
        <v>30.0</v>
      </c>
      <c r="K25" s="1">
        <v>19.0</v>
      </c>
      <c r="L25" s="1">
        <v>40.0</v>
      </c>
      <c r="M25" s="1">
        <v>29.0</v>
      </c>
      <c r="N25" s="1" t="s">
        <v>52</v>
      </c>
      <c r="O25" s="1">
        <v>55.0</v>
      </c>
      <c r="P25" s="1">
        <v>30.0</v>
      </c>
      <c r="Q25" s="1">
        <v>23.0</v>
      </c>
      <c r="R25" s="1">
        <v>25.0</v>
      </c>
      <c r="S25" s="1">
        <v>19.0</v>
      </c>
      <c r="T25" s="1" t="s">
        <v>53</v>
      </c>
      <c r="U25" s="1">
        <v>61.0</v>
      </c>
      <c r="V25" s="1">
        <v>26.0</v>
      </c>
      <c r="W25" s="1">
        <v>23.0</v>
      </c>
      <c r="X25" s="1">
        <v>35.0</v>
      </c>
      <c r="Y25" s="1">
        <v>27.0</v>
      </c>
      <c r="Z25" s="1" t="s">
        <v>54</v>
      </c>
      <c r="AA25" s="1">
        <v>50.0</v>
      </c>
      <c r="AB25" s="1">
        <v>16.0</v>
      </c>
      <c r="AC25" s="1">
        <v>13.0</v>
      </c>
      <c r="AD25" s="1">
        <v>34.0</v>
      </c>
      <c r="AE25" s="1">
        <v>33.0</v>
      </c>
      <c r="AF25" s="1" t="s">
        <v>56</v>
      </c>
      <c r="AG25" s="1">
        <v>33.0</v>
      </c>
      <c r="AH25" s="1">
        <v>13.0</v>
      </c>
      <c r="AI25" s="1">
        <v>8.0</v>
      </c>
      <c r="AJ25" s="1">
        <v>20.0</v>
      </c>
      <c r="AK25" s="1">
        <v>14.0</v>
      </c>
      <c r="AL25" s="1">
        <v>208.0</v>
      </c>
      <c r="AM25" s="1" t="s">
        <v>55</v>
      </c>
      <c r="AN25" s="1">
        <v>48.0</v>
      </c>
      <c r="AO25" s="1">
        <v>48.0</v>
      </c>
      <c r="AP25" s="1" t="s">
        <v>210</v>
      </c>
      <c r="AQ25" s="3" t="str">
        <f>HYPERLINK("https://icf.clappia.com/app/GMB253374/submission/MZF40612812/ICF247370-GMB253374-b4hk2hi9alf40000000/SIG-20250630_132410i9cf.jpeg", "SIG-20250630_132410i9cf.jpeg")</f>
        <v>SIG-20250630_132410i9cf.jpeg</v>
      </c>
      <c r="AR25" s="1" t="s">
        <v>211</v>
      </c>
      <c r="AS25" s="3" t="str">
        <f>HYPERLINK("https://icf.clappia.com/app/GMB253374/submission/MZF40612812/ICF247370-GMB253374-3emm3285cgj000000000/SIG-20250630_13251213gc.jpeg", "SIG-20250630_13251213gc.jpeg")</f>
        <v>SIG-20250630_13251213gc.jpeg</v>
      </c>
      <c r="AT25" s="1" t="s">
        <v>212</v>
      </c>
      <c r="AU25" s="3" t="str">
        <f>HYPERLINK("https://icf.clappia.com/app/GMB253374/submission/MZF40612812/ICF247370-GMB253374-4cea369k22p800000000/SIG-20250630_132818j1c6.jpeg", "SIG-20250630_132818j1c6.jpeg")</f>
        <v>SIG-20250630_132818j1c6.jpeg</v>
      </c>
      <c r="AV25" s="3" t="str">
        <f>HYPERLINK("https://www.google.com/maps/place/7.9341967%2C-11.4898183", "7.9341967,-11.4898183")</f>
        <v>7.9341967,-11.4898183</v>
      </c>
    </row>
    <row r="26" ht="15.75" customHeight="1">
      <c r="A26" s="1" t="s">
        <v>213</v>
      </c>
      <c r="B26" s="1" t="s">
        <v>214</v>
      </c>
      <c r="C26" s="1" t="s">
        <v>215</v>
      </c>
      <c r="D26" s="1" t="s">
        <v>215</v>
      </c>
      <c r="E26" s="1" t="s">
        <v>216</v>
      </c>
      <c r="F26" s="1" t="s">
        <v>50</v>
      </c>
      <c r="G26" s="1">
        <v>155.0</v>
      </c>
      <c r="H26" s="1" t="s">
        <v>51</v>
      </c>
      <c r="I26" s="1">
        <v>41.0</v>
      </c>
      <c r="J26" s="1">
        <v>15.0</v>
      </c>
      <c r="K26" s="1">
        <v>15.0</v>
      </c>
      <c r="L26" s="1">
        <v>26.0</v>
      </c>
      <c r="M26" s="1">
        <v>26.0</v>
      </c>
      <c r="N26" s="1" t="s">
        <v>52</v>
      </c>
      <c r="O26" s="1">
        <v>63.0</v>
      </c>
      <c r="P26" s="1">
        <v>28.0</v>
      </c>
      <c r="Q26" s="1">
        <v>15.0</v>
      </c>
      <c r="R26" s="1">
        <v>35.0</v>
      </c>
      <c r="S26" s="1">
        <v>16.0</v>
      </c>
      <c r="T26" s="1" t="s">
        <v>53</v>
      </c>
      <c r="U26" s="1">
        <v>43.0</v>
      </c>
      <c r="V26" s="1">
        <v>22.0</v>
      </c>
      <c r="W26" s="1">
        <v>13.0</v>
      </c>
      <c r="X26" s="1">
        <v>21.0</v>
      </c>
      <c r="Y26" s="1">
        <v>10.0</v>
      </c>
      <c r="Z26" s="1" t="s">
        <v>54</v>
      </c>
      <c r="AA26" s="1">
        <v>48.0</v>
      </c>
      <c r="AB26" s="1">
        <v>29.0</v>
      </c>
      <c r="AC26" s="1">
        <v>25.0</v>
      </c>
      <c r="AD26" s="1">
        <v>19.0</v>
      </c>
      <c r="AE26" s="1">
        <v>10.0</v>
      </c>
      <c r="AF26" s="1" t="s">
        <v>56</v>
      </c>
      <c r="AG26" s="1">
        <v>39.0</v>
      </c>
      <c r="AH26" s="1">
        <v>20.0</v>
      </c>
      <c r="AI26" s="1">
        <v>20.0</v>
      </c>
      <c r="AJ26" s="1">
        <v>19.0</v>
      </c>
      <c r="AK26" s="1">
        <v>5.0</v>
      </c>
      <c r="AL26" s="1">
        <v>155.0</v>
      </c>
      <c r="AM26" s="1" t="s">
        <v>55</v>
      </c>
      <c r="AN26" s="1" t="s">
        <v>55</v>
      </c>
      <c r="AO26" s="1" t="s">
        <v>55</v>
      </c>
      <c r="AP26" s="1" t="s">
        <v>217</v>
      </c>
      <c r="AQ26" s="3" t="str">
        <f>HYPERLINK("https://icf.clappia.com/app/GMB253374/submission/LQR96085063/ICF247370-GMB253374-3in01amck4c200000000/SIG-20250630_16191cgbp.jpeg", "SIG-20250630_16191cgbp.jpeg")</f>
        <v>SIG-20250630_16191cgbp.jpeg</v>
      </c>
      <c r="AR26" s="1" t="s">
        <v>218</v>
      </c>
      <c r="AS26" s="3" t="str">
        <f>HYPERLINK("https://icf.clappia.com/app/GMB253374/submission/LQR96085063/ICF247370-GMB253374-20j97bi9n7jgi0000000/SIG-20250630_162016gg94.jpeg", "SIG-20250630_162016gg94.jpeg")</f>
        <v>SIG-20250630_162016gg94.jpeg</v>
      </c>
      <c r="AT26" s="1" t="s">
        <v>219</v>
      </c>
      <c r="AU26" s="3" t="str">
        <f>HYPERLINK("https://icf.clappia.com/app/GMB253374/submission/LQR96085063/ICF247370-GMB253374-49ap6jcopl3k00000000/SIG-20250630_16208logk.jpeg", "SIG-20250630_16208logk.jpeg")</f>
        <v>SIG-20250630_16208logk.jpeg</v>
      </c>
      <c r="AV26" s="3" t="str">
        <f>HYPERLINK("https://www.google.com/maps/place/9.3079517%2C-11.8613317", "9.3079517,-11.8613317")</f>
        <v>9.3079517,-11.8613317</v>
      </c>
    </row>
    <row r="27" ht="15.75" customHeight="1">
      <c r="A27" s="1" t="s">
        <v>220</v>
      </c>
      <c r="B27" s="1" t="s">
        <v>169</v>
      </c>
      <c r="C27" s="1" t="s">
        <v>221</v>
      </c>
      <c r="D27" s="1" t="s">
        <v>221</v>
      </c>
      <c r="E27" s="1" t="s">
        <v>222</v>
      </c>
      <c r="F27" s="1" t="s">
        <v>50</v>
      </c>
      <c r="G27" s="1">
        <v>500.0</v>
      </c>
      <c r="H27" s="1" t="s">
        <v>51</v>
      </c>
      <c r="I27" s="1">
        <v>80.0</v>
      </c>
      <c r="J27" s="1">
        <v>42.0</v>
      </c>
      <c r="K27" s="1">
        <v>40.0</v>
      </c>
      <c r="L27" s="1">
        <v>33.0</v>
      </c>
      <c r="M27" s="1">
        <v>30.0</v>
      </c>
      <c r="N27" s="1" t="s">
        <v>52</v>
      </c>
      <c r="O27" s="1">
        <v>90.0</v>
      </c>
      <c r="P27" s="1">
        <v>33.0</v>
      </c>
      <c r="Q27" s="1">
        <v>30.0</v>
      </c>
      <c r="R27" s="1">
        <v>57.0</v>
      </c>
      <c r="S27" s="1">
        <v>57.0</v>
      </c>
      <c r="T27" s="1" t="s">
        <v>53</v>
      </c>
      <c r="U27" s="1">
        <v>90.0</v>
      </c>
      <c r="V27" s="1">
        <v>53.0</v>
      </c>
      <c r="W27" s="1">
        <v>53.0</v>
      </c>
      <c r="X27" s="1">
        <v>37.0</v>
      </c>
      <c r="Y27" s="1">
        <v>37.0</v>
      </c>
      <c r="Z27" s="1" t="s">
        <v>54</v>
      </c>
      <c r="AA27" s="1">
        <v>99.0</v>
      </c>
      <c r="AB27" s="1">
        <v>44.0</v>
      </c>
      <c r="AC27" s="1">
        <v>44.0</v>
      </c>
      <c r="AD27" s="1">
        <v>55.0</v>
      </c>
      <c r="AE27" s="1">
        <v>55.0</v>
      </c>
      <c r="AF27" s="1" t="s">
        <v>56</v>
      </c>
      <c r="AG27" s="1">
        <v>119.0</v>
      </c>
      <c r="AH27" s="1">
        <v>51.0</v>
      </c>
      <c r="AI27" s="1">
        <v>51.0</v>
      </c>
      <c r="AJ27" s="1">
        <v>68.0</v>
      </c>
      <c r="AK27" s="1">
        <v>68.0</v>
      </c>
      <c r="AL27" s="1">
        <v>465.0</v>
      </c>
      <c r="AM27" s="1">
        <v>5.0</v>
      </c>
      <c r="AN27" s="1">
        <v>30.0</v>
      </c>
      <c r="AO27" s="1">
        <v>30.0</v>
      </c>
      <c r="AP27" s="1" t="s">
        <v>223</v>
      </c>
      <c r="AQ27" s="3" t="str">
        <f>HYPERLINK("https://icf.clappia.com/app/GMB253374/submission/XYQ66063858/ICF247370-GMB253374-1j3cib9l9b1gk0000000/SIG-20250630_16256i143.jpeg", "SIG-20250630_16256i143.jpeg")</f>
        <v>SIG-20250630_16256i143.jpeg</v>
      </c>
      <c r="AR27" s="1" t="s">
        <v>224</v>
      </c>
      <c r="AS27" s="3" t="str">
        <f>HYPERLINK("https://icf.clappia.com/app/GMB253374/submission/XYQ66063858/ICF247370-GMB253374-3nm687b8aa8o00000000/SIG-20250630_1626o95f3.jpeg", "SIG-20250630_1626o95f3.jpeg")</f>
        <v>SIG-20250630_1626o95f3.jpeg</v>
      </c>
      <c r="AT27" s="1" t="s">
        <v>225</v>
      </c>
      <c r="AU27" s="3" t="str">
        <f>HYPERLINK("https://icf.clappia.com/app/GMB253374/submission/XYQ66063858/ICF247370-GMB253374-4heomf9i2m1a00000000/SIG-20250630_1627ln5pj.jpeg", "SIG-20250630_1627ln5pj.jpeg")</f>
        <v>SIG-20250630_1627ln5pj.jpeg</v>
      </c>
      <c r="AV27" s="3" t="str">
        <f>HYPERLINK("https://www.google.com/maps/place/8.8760433%2C-12.0515067", "8.8760433,-12.0515067")</f>
        <v>8.8760433,-12.0515067</v>
      </c>
    </row>
    <row r="28" ht="15.75" customHeight="1">
      <c r="A28" s="1" t="s">
        <v>226</v>
      </c>
      <c r="B28" s="1" t="s">
        <v>162</v>
      </c>
      <c r="C28" s="1" t="s">
        <v>221</v>
      </c>
      <c r="D28" s="1" t="s">
        <v>221</v>
      </c>
      <c r="E28" s="1" t="s">
        <v>171</v>
      </c>
      <c r="F28" s="1" t="s">
        <v>50</v>
      </c>
      <c r="G28" s="1">
        <v>450.0</v>
      </c>
      <c r="H28" s="1" t="s">
        <v>51</v>
      </c>
      <c r="I28" s="1">
        <v>103.0</v>
      </c>
      <c r="J28" s="1">
        <v>65.0</v>
      </c>
      <c r="K28" s="1">
        <v>40.0</v>
      </c>
      <c r="L28" s="1">
        <v>38.0</v>
      </c>
      <c r="M28" s="1">
        <v>30.0</v>
      </c>
      <c r="N28" s="1" t="s">
        <v>52</v>
      </c>
      <c r="O28" s="1">
        <v>98.0</v>
      </c>
      <c r="P28" s="1">
        <v>48.0</v>
      </c>
      <c r="Q28" s="1">
        <v>41.0</v>
      </c>
      <c r="R28" s="1">
        <v>50.0</v>
      </c>
      <c r="S28" s="1">
        <v>40.0</v>
      </c>
      <c r="T28" s="1" t="s">
        <v>53</v>
      </c>
      <c r="U28" s="1">
        <v>95.0</v>
      </c>
      <c r="V28" s="1">
        <v>58.0</v>
      </c>
      <c r="W28" s="1">
        <v>44.0</v>
      </c>
      <c r="X28" s="1">
        <v>37.0</v>
      </c>
      <c r="Y28" s="1">
        <v>30.0</v>
      </c>
      <c r="Z28" s="1" t="s">
        <v>54</v>
      </c>
      <c r="AA28" s="1">
        <v>100.0</v>
      </c>
      <c r="AB28" s="1">
        <v>55.0</v>
      </c>
      <c r="AC28" s="1">
        <v>47.0</v>
      </c>
      <c r="AD28" s="1">
        <v>45.0</v>
      </c>
      <c r="AE28" s="1">
        <v>35.0</v>
      </c>
      <c r="AF28" s="1" t="s">
        <v>56</v>
      </c>
      <c r="AG28" s="1">
        <v>94.0</v>
      </c>
      <c r="AH28" s="1">
        <v>50.0</v>
      </c>
      <c r="AI28" s="1">
        <v>40.0</v>
      </c>
      <c r="AJ28" s="1">
        <v>44.0</v>
      </c>
      <c r="AK28" s="1">
        <v>32.0</v>
      </c>
      <c r="AL28" s="1">
        <v>379.0</v>
      </c>
      <c r="AM28" s="1">
        <v>10.0</v>
      </c>
      <c r="AN28" s="1">
        <v>61.0</v>
      </c>
      <c r="AO28" s="1">
        <v>61.0</v>
      </c>
      <c r="AP28" s="1" t="s">
        <v>227</v>
      </c>
      <c r="AQ28" s="3" t="str">
        <f>HYPERLINK("https://icf.clappia.com/app/GMB253374/submission/YPV96340536/ICF247370-GMB253374-32e9c1l4gbm000000000/SIG-20250630_162516domd.jpeg", "SIG-20250630_162516domd.jpeg")</f>
        <v>SIG-20250630_162516domd.jpeg</v>
      </c>
      <c r="AR28" s="1" t="s">
        <v>228</v>
      </c>
      <c r="AS28" s="3" t="str">
        <f>HYPERLINK("https://icf.clappia.com/app/GMB253374/submission/YPV96340536/ICF247370-GMB253374-2dg54aijeh3400000000/SIG-20250630_16251704cl.jpeg", "SIG-20250630_16251704cl.jpeg")</f>
        <v>SIG-20250630_16251704cl.jpeg</v>
      </c>
      <c r="AT28" s="1" t="s">
        <v>174</v>
      </c>
      <c r="AU28" s="3" t="str">
        <f>HYPERLINK("https://icf.clappia.com/app/GMB253374/submission/YPV96340536/ICF247370-GMB253374-6an638bkp3ag00000000/SIG-20250630_1625pmabf.jpeg", "SIG-20250630_1625pmabf.jpeg")</f>
        <v>SIG-20250630_1625pmabf.jpeg</v>
      </c>
      <c r="AV28" s="3" t="str">
        <f>HYPERLINK("https://www.google.com/maps/place/8.8821163%2C-12.0534414", "8.8821163,-12.0534414")</f>
        <v>8.8821163,-12.0534414</v>
      </c>
    </row>
    <row r="29" ht="15.75" customHeight="1">
      <c r="A29" s="1" t="s">
        <v>229</v>
      </c>
      <c r="B29" s="1" t="s">
        <v>169</v>
      </c>
      <c r="C29" s="1" t="s">
        <v>230</v>
      </c>
      <c r="D29" s="1" t="s">
        <v>230</v>
      </c>
      <c r="E29" s="1" t="s">
        <v>231</v>
      </c>
      <c r="F29" s="1" t="s">
        <v>50</v>
      </c>
      <c r="G29" s="1">
        <v>150.0</v>
      </c>
      <c r="H29" s="1" t="s">
        <v>51</v>
      </c>
      <c r="I29" s="1">
        <v>27.0</v>
      </c>
      <c r="J29" s="1">
        <v>13.0</v>
      </c>
      <c r="K29" s="1">
        <v>13.0</v>
      </c>
      <c r="L29" s="1">
        <v>14.0</v>
      </c>
      <c r="M29" s="1">
        <v>14.0</v>
      </c>
      <c r="N29" s="1" t="s">
        <v>52</v>
      </c>
      <c r="O29" s="1">
        <v>26.0</v>
      </c>
      <c r="P29" s="1">
        <v>11.0</v>
      </c>
      <c r="Q29" s="1">
        <v>11.0</v>
      </c>
      <c r="R29" s="1">
        <v>15.0</v>
      </c>
      <c r="S29" s="1">
        <v>15.0</v>
      </c>
      <c r="T29" s="1" t="s">
        <v>53</v>
      </c>
      <c r="U29" s="1">
        <v>25.0</v>
      </c>
      <c r="V29" s="1">
        <v>13.0</v>
      </c>
      <c r="W29" s="1">
        <v>13.0</v>
      </c>
      <c r="X29" s="1">
        <v>12.0</v>
      </c>
      <c r="Y29" s="1">
        <v>12.0</v>
      </c>
      <c r="Z29" s="1" t="s">
        <v>54</v>
      </c>
      <c r="AA29" s="1">
        <v>23.0</v>
      </c>
      <c r="AB29" s="1">
        <v>8.0</v>
      </c>
      <c r="AC29" s="1">
        <v>8.0</v>
      </c>
      <c r="AD29" s="1">
        <v>15.0</v>
      </c>
      <c r="AE29" s="1">
        <v>15.0</v>
      </c>
      <c r="AF29" s="1" t="s">
        <v>56</v>
      </c>
      <c r="AG29" s="1">
        <v>30.0</v>
      </c>
      <c r="AH29" s="1">
        <v>15.0</v>
      </c>
      <c r="AI29" s="1">
        <v>15.0</v>
      </c>
      <c r="AJ29" s="1">
        <v>15.0</v>
      </c>
      <c r="AK29" s="1">
        <v>15.0</v>
      </c>
      <c r="AL29" s="1">
        <v>131.0</v>
      </c>
      <c r="AM29" s="1" t="s">
        <v>55</v>
      </c>
      <c r="AN29" s="1">
        <v>19.0</v>
      </c>
      <c r="AO29" s="1">
        <v>19.0</v>
      </c>
      <c r="AP29" s="1" t="s">
        <v>232</v>
      </c>
      <c r="AQ29" s="3" t="str">
        <f>HYPERLINK("https://icf.clappia.com/app/GMB253374/submission/NGM00011530/ICF247370-GMB253374-4jb1cole036a00000000/SIG-20250630_16181aha0j.jpeg", "SIG-20250630_16181aha0j.jpeg")</f>
        <v>SIG-20250630_16181aha0j.jpeg</v>
      </c>
      <c r="AR29" s="1" t="s">
        <v>233</v>
      </c>
      <c r="AS29" s="3" t="str">
        <f>HYPERLINK("https://icf.clappia.com/app/GMB253374/submission/NGM00011530/ICF247370-GMB253374-2a682ap57n78i0000000/SIG-20250630_161918d1fg.jpeg", "SIG-20250630_161918d1fg.jpeg")</f>
        <v>SIG-20250630_161918d1fg.jpeg</v>
      </c>
      <c r="AT29" s="1" t="s">
        <v>234</v>
      </c>
      <c r="AU29" s="3" t="str">
        <f>HYPERLINK("https://icf.clappia.com/app/GMB253374/submission/NGM00011530/ICF247370-GMB253374-4ee750od38j200000000/SIG-20250630_16192m5hm.jpeg", "SIG-20250630_16192m5hm.jpeg")</f>
        <v>SIG-20250630_16192m5hm.jpeg</v>
      </c>
      <c r="AV29" s="3" t="str">
        <f>HYPERLINK("https://www.google.com/maps/place/8.8710345%2C-12.0286075", "8.8710345,-12.0286075")</f>
        <v>8.8710345,-12.0286075</v>
      </c>
    </row>
    <row r="30" ht="15.75" customHeight="1">
      <c r="A30" s="1" t="s">
        <v>235</v>
      </c>
      <c r="B30" s="1" t="s">
        <v>236</v>
      </c>
      <c r="C30" s="1" t="s">
        <v>237</v>
      </c>
      <c r="D30" s="1" t="s">
        <v>237</v>
      </c>
      <c r="E30" s="1" t="s">
        <v>238</v>
      </c>
      <c r="F30" s="1" t="s">
        <v>50</v>
      </c>
      <c r="G30" s="1">
        <v>142.0</v>
      </c>
      <c r="H30" s="1" t="s">
        <v>51</v>
      </c>
      <c r="I30" s="1">
        <v>11.0</v>
      </c>
      <c r="J30" s="1">
        <v>4.0</v>
      </c>
      <c r="K30" s="1">
        <v>4.0</v>
      </c>
      <c r="L30" s="1">
        <v>7.0</v>
      </c>
      <c r="M30" s="1">
        <v>7.0</v>
      </c>
      <c r="N30" s="1" t="s">
        <v>52</v>
      </c>
      <c r="O30" s="1">
        <v>5.0</v>
      </c>
      <c r="P30" s="1">
        <v>4.0</v>
      </c>
      <c r="Q30" s="1">
        <v>4.0</v>
      </c>
      <c r="R30" s="1">
        <v>1.0</v>
      </c>
      <c r="S30" s="1">
        <v>1.0</v>
      </c>
      <c r="T30" s="1" t="s">
        <v>53</v>
      </c>
      <c r="U30" s="1">
        <v>8.0</v>
      </c>
      <c r="V30" s="1">
        <v>6.0</v>
      </c>
      <c r="W30" s="1">
        <v>6.0</v>
      </c>
      <c r="X30" s="1">
        <v>2.0</v>
      </c>
      <c r="Y30" s="1">
        <v>2.0</v>
      </c>
      <c r="Z30" s="1" t="s">
        <v>54</v>
      </c>
      <c r="AA30" s="1">
        <v>2.0</v>
      </c>
      <c r="AB30" s="1">
        <v>1.0</v>
      </c>
      <c r="AC30" s="1">
        <v>1.0</v>
      </c>
      <c r="AD30" s="1">
        <v>1.0</v>
      </c>
      <c r="AE30" s="1">
        <v>1.0</v>
      </c>
      <c r="AF30" s="1" t="s">
        <v>56</v>
      </c>
      <c r="AG30" s="1">
        <v>3.0</v>
      </c>
      <c r="AH30" s="1">
        <v>1.0</v>
      </c>
      <c r="AI30" s="1">
        <v>1.0</v>
      </c>
      <c r="AJ30" s="1">
        <v>2.0</v>
      </c>
      <c r="AK30" s="1">
        <v>2.0</v>
      </c>
      <c r="AL30" s="1">
        <v>29.0</v>
      </c>
      <c r="AM30" s="1">
        <v>10.0</v>
      </c>
      <c r="AN30" s="1">
        <v>103.0</v>
      </c>
      <c r="AO30" s="1">
        <v>103.0</v>
      </c>
      <c r="AP30" s="1" t="s">
        <v>239</v>
      </c>
      <c r="AQ30" s="3" t="str">
        <f>HYPERLINK("https://icf.clappia.com/app/GMB253374/submission/CAL28599111/ICF247370-GMB253374-2opel9a8m0l200000000/SIG-20250630_1557ec7mj.jpeg", "SIG-20250630_1557ec7mj.jpeg")</f>
        <v>SIG-20250630_1557ec7mj.jpeg</v>
      </c>
      <c r="AR30" s="1" t="s">
        <v>240</v>
      </c>
      <c r="AS30" s="3" t="str">
        <f>HYPERLINK("https://icf.clappia.com/app/GMB253374/submission/CAL28599111/ICF247370-GMB253374-585568mlpoac00000000/SIG-20250630_1558130p7e.jpeg", "SIG-20250630_1558130p7e.jpeg")</f>
        <v>SIG-20250630_1558130p7e.jpeg</v>
      </c>
      <c r="AT30" s="1" t="s">
        <v>241</v>
      </c>
      <c r="AU30" s="3" t="str">
        <f>HYPERLINK("https://icf.clappia.com/app/GMB253374/submission/CAL28599111/ICF247370-GMB253374-44ieam1ge0ck00000000/SIG-20250630_1559d6o86.jpeg", "SIG-20250630_1559d6o86.jpeg")</f>
        <v>SIG-20250630_1559d6o86.jpeg</v>
      </c>
      <c r="AV30" s="3" t="str">
        <f>HYPERLINK("https://www.google.com/maps/place/7.8784367%2C-11.7811833", "7.8784367,-11.7811833")</f>
        <v>7.8784367,-11.7811833</v>
      </c>
    </row>
    <row r="31" ht="15.75" customHeight="1">
      <c r="A31" s="1" t="s">
        <v>242</v>
      </c>
      <c r="B31" s="1" t="s">
        <v>236</v>
      </c>
      <c r="C31" s="1" t="s">
        <v>243</v>
      </c>
      <c r="D31" s="1" t="s">
        <v>243</v>
      </c>
      <c r="E31" s="1" t="s">
        <v>244</v>
      </c>
      <c r="F31" s="1" t="s">
        <v>50</v>
      </c>
      <c r="G31" s="1">
        <v>100.0</v>
      </c>
      <c r="H31" s="1" t="s">
        <v>51</v>
      </c>
      <c r="I31" s="1">
        <v>30.0</v>
      </c>
      <c r="J31" s="1">
        <v>13.0</v>
      </c>
      <c r="K31" s="1">
        <v>8.0</v>
      </c>
      <c r="L31" s="1">
        <v>17.0</v>
      </c>
      <c r="M31" s="1">
        <v>14.0</v>
      </c>
      <c r="N31" s="1" t="s">
        <v>52</v>
      </c>
      <c r="O31" s="1">
        <v>25.0</v>
      </c>
      <c r="P31" s="1">
        <v>15.0</v>
      </c>
      <c r="Q31" s="1">
        <v>5.0</v>
      </c>
      <c r="R31" s="1">
        <v>10.0</v>
      </c>
      <c r="S31" s="1">
        <v>7.0</v>
      </c>
      <c r="T31" s="1" t="s">
        <v>53</v>
      </c>
      <c r="U31" s="1">
        <v>33.0</v>
      </c>
      <c r="V31" s="1">
        <v>15.0</v>
      </c>
      <c r="W31" s="1">
        <v>7.0</v>
      </c>
      <c r="X31" s="1">
        <v>18.0</v>
      </c>
      <c r="Y31" s="1">
        <v>10.0</v>
      </c>
      <c r="Z31" s="1" t="s">
        <v>54</v>
      </c>
      <c r="AA31" s="1">
        <v>30.0</v>
      </c>
      <c r="AB31" s="1">
        <v>12.0</v>
      </c>
      <c r="AC31" s="1">
        <v>6.0</v>
      </c>
      <c r="AD31" s="1">
        <v>18.0</v>
      </c>
      <c r="AE31" s="1">
        <v>10.0</v>
      </c>
      <c r="AF31" s="1" t="s">
        <v>56</v>
      </c>
      <c r="AG31" s="1">
        <v>19.0</v>
      </c>
      <c r="AH31" s="1">
        <v>9.0</v>
      </c>
      <c r="AI31" s="1">
        <v>9.0</v>
      </c>
      <c r="AJ31" s="1">
        <v>10.0</v>
      </c>
      <c r="AK31" s="1">
        <v>8.0</v>
      </c>
      <c r="AL31" s="1">
        <v>84.0</v>
      </c>
      <c r="AM31" s="1" t="s">
        <v>55</v>
      </c>
      <c r="AN31" s="1">
        <v>16.0</v>
      </c>
      <c r="AO31" s="1">
        <v>16.0</v>
      </c>
      <c r="AP31" s="1" t="s">
        <v>245</v>
      </c>
      <c r="AQ31" s="3" t="str">
        <f>HYPERLINK("https://icf.clappia.com/app/GMB253374/submission/VII66849461/ICF247370-GMB253374-33dhd1ijjpek00000000/SIG-20250630_161527307.jpeg", "SIG-20250630_161527307.jpeg")</f>
        <v>SIG-20250630_161527307.jpeg</v>
      </c>
      <c r="AR31" s="1" t="s">
        <v>246</v>
      </c>
      <c r="AS31" s="3" t="str">
        <f>HYPERLINK("https://icf.clappia.com/app/GMB253374/submission/VII66849461/ICF247370-GMB253374-3h7kac7kfdg000000000/SIG-20250630_1616lblm6.jpeg", "SIG-20250630_1616lblm6.jpeg")</f>
        <v>SIG-20250630_1616lblm6.jpeg</v>
      </c>
      <c r="AT31" s="1" t="s">
        <v>247</v>
      </c>
      <c r="AU31" s="3" t="str">
        <f>HYPERLINK("https://icf.clappia.com/app/GMB253374/submission/VII66849461/ICF247370-GMB253374-3510bc0c70gk00000000/SIG-20250630_161415fpmb.jpeg", "SIG-20250630_161415fpmb.jpeg")</f>
        <v>SIG-20250630_161415fpmb.jpeg</v>
      </c>
      <c r="AV31" s="3" t="str">
        <f>HYPERLINK("https://www.google.com/maps/place/7.7804819%2C-11.724275", "7.7804819,-11.724275")</f>
        <v>7.7804819,-11.724275</v>
      </c>
    </row>
    <row r="32" ht="15.75" customHeight="1">
      <c r="A32" s="1" t="s">
        <v>248</v>
      </c>
      <c r="B32" s="1" t="s">
        <v>46</v>
      </c>
      <c r="C32" s="1" t="s">
        <v>243</v>
      </c>
      <c r="D32" s="1" t="s">
        <v>243</v>
      </c>
      <c r="E32" s="1" t="s">
        <v>249</v>
      </c>
      <c r="F32" s="1" t="s">
        <v>50</v>
      </c>
      <c r="G32" s="1">
        <v>200.0</v>
      </c>
      <c r="H32" s="1" t="s">
        <v>51</v>
      </c>
      <c r="I32" s="1">
        <v>80.0</v>
      </c>
      <c r="J32" s="1">
        <v>35.0</v>
      </c>
      <c r="K32" s="1">
        <v>22.0</v>
      </c>
      <c r="L32" s="1">
        <v>45.0</v>
      </c>
      <c r="M32" s="1">
        <v>22.0</v>
      </c>
      <c r="N32" s="1" t="s">
        <v>52</v>
      </c>
      <c r="O32" s="1">
        <v>44.0</v>
      </c>
      <c r="P32" s="1">
        <v>15.0</v>
      </c>
      <c r="Q32" s="1">
        <v>2.0</v>
      </c>
      <c r="R32" s="1">
        <v>29.0</v>
      </c>
      <c r="S32" s="1">
        <v>15.0</v>
      </c>
      <c r="T32" s="1" t="s">
        <v>53</v>
      </c>
      <c r="U32" s="1">
        <v>45.0</v>
      </c>
      <c r="V32" s="1">
        <v>15.0</v>
      </c>
      <c r="W32" s="1">
        <v>15.0</v>
      </c>
      <c r="X32" s="1">
        <v>30.0</v>
      </c>
      <c r="Y32" s="1">
        <v>19.0</v>
      </c>
      <c r="Z32" s="1" t="s">
        <v>54</v>
      </c>
      <c r="AA32" s="1" t="s">
        <v>55</v>
      </c>
      <c r="AB32" s="1" t="s">
        <v>55</v>
      </c>
      <c r="AC32" s="1" t="s">
        <v>55</v>
      </c>
      <c r="AD32" s="1" t="s">
        <v>55</v>
      </c>
      <c r="AE32" s="1" t="s">
        <v>55</v>
      </c>
      <c r="AF32" s="1" t="s">
        <v>56</v>
      </c>
      <c r="AG32" s="1" t="s">
        <v>55</v>
      </c>
      <c r="AH32" s="1" t="s">
        <v>55</v>
      </c>
      <c r="AI32" s="1" t="s">
        <v>55</v>
      </c>
      <c r="AJ32" s="1" t="s">
        <v>55</v>
      </c>
      <c r="AK32" s="1" t="s">
        <v>55</v>
      </c>
      <c r="AL32" s="1">
        <v>95.0</v>
      </c>
      <c r="AM32" s="1" t="s">
        <v>55</v>
      </c>
      <c r="AN32" s="1">
        <v>105.0</v>
      </c>
      <c r="AO32" s="1">
        <v>105.0</v>
      </c>
      <c r="AP32" s="1" t="s">
        <v>250</v>
      </c>
      <c r="AQ32" s="3" t="str">
        <f>HYPERLINK("https://icf.clappia.com/app/GMB253374/submission/CAH20988377/ICF247370-GMB253374-6b93g841jpig00000000/SIG-20250630_1401f6e02.jpeg", "SIG-20250630_1401f6e02.jpeg")</f>
        <v>SIG-20250630_1401f6e02.jpeg</v>
      </c>
      <c r="AR32" s="1" t="s">
        <v>251</v>
      </c>
      <c r="AS32" s="3" t="str">
        <f>HYPERLINK("https://icf.clappia.com/app/GMB253374/submission/CAH20988377/ICF247370-GMB253374-52185pbj7nco00000000/SIG-20250630_140411d610.jpeg", "SIG-20250630_140411d610.jpeg")</f>
        <v>SIG-20250630_140411d610.jpeg</v>
      </c>
      <c r="AT32" s="1" t="s">
        <v>252</v>
      </c>
      <c r="AU32" s="3" t="str">
        <f>HYPERLINK("https://icf.clappia.com/app/GMB253374/submission/CAH20988377/ICF247370-GMB253374-2ofkoikkl65g00000000/SIG-20250630_1512kdf1c.jpeg", "SIG-20250630_1512kdf1c.jpeg")</f>
        <v>SIG-20250630_1512kdf1c.jpeg</v>
      </c>
      <c r="AV32" s="3" t="str">
        <f>HYPERLINK("https://www.google.com/maps/place/7.6083864%2C-11.8138106", "7.6083864,-11.8138106")</f>
        <v>7.6083864,-11.8138106</v>
      </c>
    </row>
    <row r="33" ht="15.75" customHeight="1">
      <c r="A33" s="1" t="s">
        <v>253</v>
      </c>
      <c r="B33" s="1" t="s">
        <v>111</v>
      </c>
      <c r="C33" s="1" t="s">
        <v>254</v>
      </c>
      <c r="D33" s="1" t="s">
        <v>254</v>
      </c>
      <c r="E33" s="1" t="s">
        <v>255</v>
      </c>
      <c r="F33" s="1" t="s">
        <v>50</v>
      </c>
      <c r="G33" s="1">
        <v>150.0</v>
      </c>
      <c r="H33" s="1" t="s">
        <v>51</v>
      </c>
      <c r="I33" s="1">
        <v>59.0</v>
      </c>
      <c r="J33" s="1">
        <v>35.0</v>
      </c>
      <c r="K33" s="1">
        <v>31.0</v>
      </c>
      <c r="L33" s="1">
        <v>24.0</v>
      </c>
      <c r="M33" s="1">
        <v>21.0</v>
      </c>
      <c r="N33" s="1" t="s">
        <v>52</v>
      </c>
      <c r="O33" s="1">
        <v>9.0</v>
      </c>
      <c r="P33" s="1">
        <v>6.0</v>
      </c>
      <c r="Q33" s="1">
        <v>5.0</v>
      </c>
      <c r="R33" s="1">
        <v>3.0</v>
      </c>
      <c r="S33" s="1">
        <v>2.0</v>
      </c>
      <c r="T33" s="1" t="s">
        <v>53</v>
      </c>
      <c r="U33" s="1">
        <v>13.0</v>
      </c>
      <c r="V33" s="1">
        <v>5.0</v>
      </c>
      <c r="W33" s="1">
        <v>4.0</v>
      </c>
      <c r="X33" s="1">
        <v>8.0</v>
      </c>
      <c r="Y33" s="1">
        <v>7.0</v>
      </c>
      <c r="Z33" s="1" t="s">
        <v>54</v>
      </c>
      <c r="AA33" s="1">
        <v>35.0</v>
      </c>
      <c r="AB33" s="1">
        <v>22.0</v>
      </c>
      <c r="AC33" s="1">
        <v>18.0</v>
      </c>
      <c r="AD33" s="1">
        <v>13.0</v>
      </c>
      <c r="AE33" s="1">
        <v>7.0</v>
      </c>
      <c r="AF33" s="1" t="s">
        <v>56</v>
      </c>
      <c r="AG33" s="1">
        <v>3.0</v>
      </c>
      <c r="AH33" s="1">
        <v>2.0</v>
      </c>
      <c r="AI33" s="1">
        <v>2.0</v>
      </c>
      <c r="AJ33" s="1">
        <v>1.0</v>
      </c>
      <c r="AK33" s="1">
        <v>1.0</v>
      </c>
      <c r="AL33" s="1">
        <v>98.0</v>
      </c>
      <c r="AM33" s="1">
        <v>9.0</v>
      </c>
      <c r="AN33" s="1">
        <v>43.0</v>
      </c>
      <c r="AO33" s="1">
        <v>2.0</v>
      </c>
      <c r="AP33" s="1" t="s">
        <v>256</v>
      </c>
      <c r="AQ33" s="3" t="str">
        <f>HYPERLINK("https://icf.clappia.com/app/GMB253374/submission/KOZ46104365/ICF247370-GMB253374-4ngollbkobe400000000/SIG-20250630_1600i9k9k.jpeg", "SIG-20250630_1600i9k9k.jpeg")</f>
        <v>SIG-20250630_1600i9k9k.jpeg</v>
      </c>
      <c r="AR33" s="1" t="s">
        <v>257</v>
      </c>
      <c r="AS33" s="3" t="str">
        <f>HYPERLINK("https://icf.clappia.com/app/GMB253374/submission/KOZ46104365/ICF247370-GMB253374-2ahlngcb2k6mi0000000/SIG-20250630_1601c70go.jpeg", "SIG-20250630_1601c70go.jpeg")</f>
        <v>SIG-20250630_1601c70go.jpeg</v>
      </c>
      <c r="AT33" s="1" t="s">
        <v>258</v>
      </c>
      <c r="AU33" s="3" t="str">
        <f>HYPERLINK("https://icf.clappia.com/app/GMB253374/submission/KOZ46104365/ICF247370-GMB253374-4da63lj0ldfi00000000/SIG-20250630_1604k72l6.jpeg", "SIG-20250630_1604k72l6.jpeg")</f>
        <v>SIG-20250630_1604k72l6.jpeg</v>
      </c>
      <c r="AV33" s="3" t="str">
        <f>HYPERLINK("https://www.google.com/maps/place/8.0146617%2C-11.7288883", "8.0146617,-11.7288883")</f>
        <v>8.0146617,-11.7288883</v>
      </c>
    </row>
    <row r="34" ht="15.75" customHeight="1">
      <c r="A34" s="1" t="s">
        <v>259</v>
      </c>
      <c r="B34" s="1" t="s">
        <v>169</v>
      </c>
      <c r="C34" s="1" t="s">
        <v>254</v>
      </c>
      <c r="D34" s="1" t="s">
        <v>254</v>
      </c>
      <c r="E34" s="1" t="s">
        <v>260</v>
      </c>
      <c r="F34" s="1" t="s">
        <v>50</v>
      </c>
      <c r="G34" s="1">
        <v>654.0</v>
      </c>
      <c r="H34" s="1" t="s">
        <v>51</v>
      </c>
      <c r="I34" s="1">
        <v>122.0</v>
      </c>
      <c r="J34" s="1">
        <v>57.0</v>
      </c>
      <c r="K34" s="1">
        <v>57.0</v>
      </c>
      <c r="L34" s="1">
        <v>65.0</v>
      </c>
      <c r="M34" s="1">
        <v>65.0</v>
      </c>
      <c r="N34" s="1" t="s">
        <v>52</v>
      </c>
      <c r="O34" s="1">
        <v>118.0</v>
      </c>
      <c r="P34" s="1">
        <v>49.0</v>
      </c>
      <c r="Q34" s="1">
        <v>49.0</v>
      </c>
      <c r="R34" s="1">
        <v>69.0</v>
      </c>
      <c r="S34" s="1">
        <v>69.0</v>
      </c>
      <c r="T34" s="1" t="s">
        <v>53</v>
      </c>
      <c r="U34" s="1">
        <v>122.0</v>
      </c>
      <c r="V34" s="1">
        <v>61.0</v>
      </c>
      <c r="W34" s="1">
        <v>61.0</v>
      </c>
      <c r="X34" s="1">
        <v>61.0</v>
      </c>
      <c r="Y34" s="1">
        <v>61.0</v>
      </c>
      <c r="Z34" s="1" t="s">
        <v>54</v>
      </c>
      <c r="AA34" s="1">
        <v>114.0</v>
      </c>
      <c r="AB34" s="1">
        <v>52.0</v>
      </c>
      <c r="AC34" s="1">
        <v>52.0</v>
      </c>
      <c r="AD34" s="1">
        <v>62.0</v>
      </c>
      <c r="AE34" s="1">
        <v>62.0</v>
      </c>
      <c r="AF34" s="1" t="s">
        <v>56</v>
      </c>
      <c r="AG34" s="1">
        <v>88.0</v>
      </c>
      <c r="AH34" s="1">
        <v>50.0</v>
      </c>
      <c r="AI34" s="1">
        <v>50.0</v>
      </c>
      <c r="AJ34" s="1">
        <v>38.0</v>
      </c>
      <c r="AK34" s="1">
        <v>38.0</v>
      </c>
      <c r="AL34" s="1">
        <v>564.0</v>
      </c>
      <c r="AM34" s="1" t="s">
        <v>55</v>
      </c>
      <c r="AN34" s="1">
        <v>90.0</v>
      </c>
      <c r="AO34" s="1">
        <v>90.0</v>
      </c>
      <c r="AP34" s="1" t="s">
        <v>261</v>
      </c>
      <c r="AQ34" s="3" t="str">
        <f>HYPERLINK("https://icf.clappia.com/app/GMB253374/submission/DHC38495164/ICF247370-GMB253374-5eelc2d6f6c200000000/SIG-20250630_15309nb8e.jpeg", "SIG-20250630_15309nb8e.jpeg")</f>
        <v>SIG-20250630_15309nb8e.jpeg</v>
      </c>
      <c r="AR34" s="1" t="s">
        <v>262</v>
      </c>
      <c r="AS34" s="3" t="str">
        <f>HYPERLINK("https://icf.clappia.com/app/GMB253374/submission/DHC38495164/ICF247370-GMB253374-2617lc40gfmp60000000/SIG-20250630_1530k8810.jpeg", "SIG-20250630_1530k8810.jpeg")</f>
        <v>SIG-20250630_1530k8810.jpeg</v>
      </c>
      <c r="AT34" s="1" t="s">
        <v>263</v>
      </c>
      <c r="AU34" s="3" t="str">
        <f>HYPERLINK("https://icf.clappia.com/app/GMB253374/submission/DHC38495164/ICF247370-GMB253374-agaff5748l9i0000000/SIG-20250630_153112d6a4.jpeg", "SIG-20250630_153112d6a4.jpeg")</f>
        <v>SIG-20250630_153112d6a4.jpeg</v>
      </c>
      <c r="AV34" s="3" t="str">
        <f>HYPERLINK("https://www.google.com/maps/place/8.8680683%2C-12.039075", "8.8680683,-12.039075")</f>
        <v>8.8680683,-12.039075</v>
      </c>
    </row>
    <row r="35" ht="15.75" customHeight="1">
      <c r="A35" s="1" t="s">
        <v>264</v>
      </c>
      <c r="B35" s="1" t="s">
        <v>84</v>
      </c>
      <c r="C35" s="1" t="s">
        <v>265</v>
      </c>
      <c r="D35" s="1" t="s">
        <v>265</v>
      </c>
      <c r="E35" s="1" t="s">
        <v>266</v>
      </c>
      <c r="F35" s="1" t="s">
        <v>50</v>
      </c>
      <c r="G35" s="1">
        <v>343.0</v>
      </c>
      <c r="H35" s="1" t="s">
        <v>51</v>
      </c>
      <c r="I35" s="1">
        <v>80.0</v>
      </c>
      <c r="J35" s="1">
        <v>40.0</v>
      </c>
      <c r="K35" s="1">
        <v>40.0</v>
      </c>
      <c r="L35" s="1">
        <v>40.0</v>
      </c>
      <c r="M35" s="1">
        <v>40.0</v>
      </c>
      <c r="N35" s="1" t="s">
        <v>52</v>
      </c>
      <c r="O35" s="1">
        <v>62.0</v>
      </c>
      <c r="P35" s="1">
        <v>30.0</v>
      </c>
      <c r="Q35" s="1">
        <v>30.0</v>
      </c>
      <c r="R35" s="1">
        <v>32.0</v>
      </c>
      <c r="S35" s="1">
        <v>32.0</v>
      </c>
      <c r="T35" s="1" t="s">
        <v>53</v>
      </c>
      <c r="U35" s="1">
        <v>58.0</v>
      </c>
      <c r="V35" s="1">
        <v>27.0</v>
      </c>
      <c r="W35" s="1">
        <v>27.0</v>
      </c>
      <c r="X35" s="1">
        <v>31.0</v>
      </c>
      <c r="Y35" s="1">
        <v>31.0</v>
      </c>
      <c r="Z35" s="1" t="s">
        <v>54</v>
      </c>
      <c r="AA35" s="1">
        <v>54.0</v>
      </c>
      <c r="AB35" s="1">
        <v>25.0</v>
      </c>
      <c r="AC35" s="1">
        <v>8.0</v>
      </c>
      <c r="AD35" s="1">
        <v>29.0</v>
      </c>
      <c r="AE35" s="1">
        <v>12.0</v>
      </c>
      <c r="AF35" s="1" t="s">
        <v>56</v>
      </c>
      <c r="AG35" s="1">
        <v>48.0</v>
      </c>
      <c r="AH35" s="1">
        <v>23.0</v>
      </c>
      <c r="AI35" s="1">
        <v>7.0</v>
      </c>
      <c r="AJ35" s="1">
        <v>25.0</v>
      </c>
      <c r="AK35" s="1">
        <v>10.0</v>
      </c>
      <c r="AL35" s="1">
        <v>237.0</v>
      </c>
      <c r="AM35" s="1">
        <v>10.0</v>
      </c>
      <c r="AN35" s="1">
        <v>96.0</v>
      </c>
      <c r="AO35" s="1">
        <v>96.0</v>
      </c>
      <c r="AP35" s="1" t="s">
        <v>267</v>
      </c>
      <c r="AQ35" s="3" t="str">
        <f>HYPERLINK("https://icf.clappia.com/app/GMB253374/submission/ASK51045368/ICF247370-GMB253374-3pa4e40pn7eo00000000/SIG-20250630_16035870.jpeg", "SIG-20250630_16035870.jpeg")</f>
        <v>SIG-20250630_16035870.jpeg</v>
      </c>
      <c r="AR35" s="1" t="s">
        <v>268</v>
      </c>
      <c r="AS35" s="3" t="str">
        <f>HYPERLINK("https://icf.clappia.com/app/GMB253374/submission/ASK51045368/ICF247370-GMB253374-4j6addjecccg00000000/SIG-20250630_160266a99.jpeg", "SIG-20250630_160266a99.jpeg")</f>
        <v>SIG-20250630_160266a99.jpeg</v>
      </c>
      <c r="AT35" s="1" t="s">
        <v>269</v>
      </c>
      <c r="AU35" s="3" t="str">
        <f>HYPERLINK("https://icf.clappia.com/app/GMB253374/submission/ASK51045368/ICF247370-GMB253374-4pdme77a6ngk00000000/SIG-20250630_160216l6p.jpeg", "SIG-20250630_160216l6p.jpeg")</f>
        <v>SIG-20250630_160216l6p.jpeg</v>
      </c>
      <c r="AV35" s="3" t="str">
        <f>HYPERLINK("https://www.google.com/maps/place/7.7099523%2C-11.6927751", "7.7099523,-11.6927751")</f>
        <v>7.7099523,-11.6927751</v>
      </c>
    </row>
    <row r="36" ht="15.75" customHeight="1">
      <c r="A36" s="1" t="s">
        <v>270</v>
      </c>
      <c r="B36" s="1" t="s">
        <v>214</v>
      </c>
      <c r="C36" s="1" t="s">
        <v>265</v>
      </c>
      <c r="D36" s="1" t="s">
        <v>265</v>
      </c>
      <c r="E36" s="1" t="s">
        <v>271</v>
      </c>
      <c r="F36" s="1" t="s">
        <v>50</v>
      </c>
      <c r="G36" s="1">
        <v>100.0</v>
      </c>
      <c r="H36" s="1" t="s">
        <v>51</v>
      </c>
      <c r="I36" s="1">
        <v>25.0</v>
      </c>
      <c r="J36" s="1">
        <v>12.0</v>
      </c>
      <c r="K36" s="1">
        <v>12.0</v>
      </c>
      <c r="L36" s="1">
        <v>13.0</v>
      </c>
      <c r="M36" s="1">
        <v>13.0</v>
      </c>
      <c r="N36" s="1" t="s">
        <v>52</v>
      </c>
      <c r="O36" s="1">
        <v>16.0</v>
      </c>
      <c r="P36" s="1">
        <v>9.0</v>
      </c>
      <c r="Q36" s="1">
        <v>9.0</v>
      </c>
      <c r="R36" s="1">
        <v>7.0</v>
      </c>
      <c r="S36" s="1">
        <v>7.0</v>
      </c>
      <c r="T36" s="1" t="s">
        <v>53</v>
      </c>
      <c r="U36" s="1">
        <v>15.0</v>
      </c>
      <c r="V36" s="1">
        <v>7.0</v>
      </c>
      <c r="W36" s="1">
        <v>7.0</v>
      </c>
      <c r="X36" s="1">
        <v>8.0</v>
      </c>
      <c r="Y36" s="1">
        <v>8.0</v>
      </c>
      <c r="Z36" s="1" t="s">
        <v>54</v>
      </c>
      <c r="AA36" s="1">
        <v>12.0</v>
      </c>
      <c r="AB36" s="1">
        <v>6.0</v>
      </c>
      <c r="AC36" s="1">
        <v>6.0</v>
      </c>
      <c r="AD36" s="1">
        <v>6.0</v>
      </c>
      <c r="AE36" s="1">
        <v>6.0</v>
      </c>
      <c r="AF36" s="1" t="s">
        <v>56</v>
      </c>
      <c r="AG36" s="1">
        <v>10.0</v>
      </c>
      <c r="AH36" s="1">
        <v>6.0</v>
      </c>
      <c r="AI36" s="1">
        <v>6.0</v>
      </c>
      <c r="AJ36" s="1">
        <v>4.0</v>
      </c>
      <c r="AK36" s="1">
        <v>4.0</v>
      </c>
      <c r="AL36" s="1">
        <v>78.0</v>
      </c>
      <c r="AM36" s="1" t="s">
        <v>55</v>
      </c>
      <c r="AN36" s="1">
        <v>22.0</v>
      </c>
      <c r="AO36" s="1">
        <v>22.0</v>
      </c>
      <c r="AP36" s="1" t="s">
        <v>272</v>
      </c>
      <c r="AQ36" s="3" t="str">
        <f>HYPERLINK("https://icf.clappia.com/app/GMB253374/submission/XXK96292452/ICF247370-GMB253374-pm13fo5ei7ag0000000/SIG-20250630_1357ih2pi.jpeg", "SIG-20250630_1357ih2pi.jpeg")</f>
        <v>SIG-20250630_1357ih2pi.jpeg</v>
      </c>
      <c r="AR36" s="1" t="s">
        <v>273</v>
      </c>
      <c r="AS36" s="3" t="str">
        <f>HYPERLINK("https://icf.clappia.com/app/GMB253374/submission/XXK96292452/ICF247370-GMB253374-284p17m1e36hg0000000/SIG-20250630_1602pf7ll.jpeg", "SIG-20250630_1602pf7ll.jpeg")</f>
        <v>SIG-20250630_1602pf7ll.jpeg</v>
      </c>
      <c r="AT36" s="1" t="s">
        <v>274</v>
      </c>
      <c r="AU36" s="3" t="str">
        <f>HYPERLINK("https://icf.clappia.com/app/GMB253374/submission/XXK96292452/ICF247370-GMB253374-2gol7n1al2am00000000/SIG-20250630_1602n9hcb.jpeg", "SIG-20250630_1602n9hcb.jpeg")</f>
        <v>SIG-20250630_1602n9hcb.jpeg</v>
      </c>
      <c r="AV36" s="3" t="str">
        <f>HYPERLINK("https://www.google.com/maps/place/9.1660167%2C-11.9322333", "9.1660167,-11.9322333")</f>
        <v>9.1660167,-11.9322333</v>
      </c>
    </row>
    <row r="37" ht="15.75" customHeight="1">
      <c r="A37" s="1" t="s">
        <v>275</v>
      </c>
      <c r="B37" s="1" t="s">
        <v>276</v>
      </c>
      <c r="C37" s="1" t="s">
        <v>277</v>
      </c>
      <c r="D37" s="1" t="s">
        <v>277</v>
      </c>
      <c r="E37" s="1" t="s">
        <v>278</v>
      </c>
      <c r="F37" s="1" t="s">
        <v>50</v>
      </c>
      <c r="G37" s="1">
        <v>167.0</v>
      </c>
      <c r="H37" s="1" t="s">
        <v>51</v>
      </c>
      <c r="I37" s="1">
        <v>28.0</v>
      </c>
      <c r="J37" s="1">
        <v>14.0</v>
      </c>
      <c r="K37" s="1">
        <v>14.0</v>
      </c>
      <c r="L37" s="1">
        <v>14.0</v>
      </c>
      <c r="M37" s="1">
        <v>14.0</v>
      </c>
      <c r="N37" s="1" t="s">
        <v>52</v>
      </c>
      <c r="O37" s="1">
        <v>27.0</v>
      </c>
      <c r="P37" s="1">
        <v>14.0</v>
      </c>
      <c r="Q37" s="1">
        <v>14.0</v>
      </c>
      <c r="R37" s="1">
        <v>13.0</v>
      </c>
      <c r="S37" s="1">
        <v>13.0</v>
      </c>
      <c r="T37" s="1" t="s">
        <v>53</v>
      </c>
      <c r="U37" s="1">
        <v>30.0</v>
      </c>
      <c r="V37" s="1">
        <v>11.0</v>
      </c>
      <c r="W37" s="1">
        <v>11.0</v>
      </c>
      <c r="X37" s="1">
        <v>19.0</v>
      </c>
      <c r="Y37" s="1">
        <v>19.0</v>
      </c>
      <c r="Z37" s="1" t="s">
        <v>54</v>
      </c>
      <c r="AA37" s="1">
        <v>53.0</v>
      </c>
      <c r="AB37" s="1">
        <v>27.0</v>
      </c>
      <c r="AC37" s="1">
        <v>27.0</v>
      </c>
      <c r="AD37" s="1">
        <v>26.0</v>
      </c>
      <c r="AE37" s="1">
        <v>26.0</v>
      </c>
      <c r="AF37" s="1" t="s">
        <v>56</v>
      </c>
      <c r="AG37" s="1">
        <v>25.0</v>
      </c>
      <c r="AH37" s="1">
        <v>16.0</v>
      </c>
      <c r="AI37" s="1">
        <v>16.0</v>
      </c>
      <c r="AJ37" s="1">
        <v>9.0</v>
      </c>
      <c r="AK37" s="1">
        <v>9.0</v>
      </c>
      <c r="AL37" s="1">
        <v>163.0</v>
      </c>
      <c r="AM37" s="1" t="s">
        <v>55</v>
      </c>
      <c r="AN37" s="1">
        <v>4.0</v>
      </c>
      <c r="AO37" s="1">
        <v>4.0</v>
      </c>
      <c r="AP37" s="1" t="s">
        <v>279</v>
      </c>
      <c r="AQ37" s="3" t="str">
        <f>HYPERLINK("https://icf.clappia.com/app/GMB253374/submission/ICS81220847/ICF247370-GMB253374-2ggjj262c22600000000/SIG-20250630_1555ei9o6.jpeg", "SIG-20250630_1555ei9o6.jpeg")</f>
        <v>SIG-20250630_1555ei9o6.jpeg</v>
      </c>
      <c r="AR37" s="1" t="s">
        <v>280</v>
      </c>
      <c r="AS37" s="3" t="str">
        <f>HYPERLINK("https://icf.clappia.com/app/GMB253374/submission/ICS81220847/ICF247370-GMB253374-4284g4jg686600000000/SIG-20250630_1556165650.jpeg", "SIG-20250630_1556165650.jpeg")</f>
        <v>SIG-20250630_1556165650.jpeg</v>
      </c>
      <c r="AT37" s="1" t="s">
        <v>281</v>
      </c>
      <c r="AU37" s="3" t="str">
        <f>HYPERLINK("https://icf.clappia.com/app/GMB253374/submission/ICS81220847/ICF247370-GMB253374-1a250inmg25nm0000000/SIG-20250630_1557lko4a.jpeg", "SIG-20250630_1557lko4a.jpeg")</f>
        <v>SIG-20250630_1557lko4a.jpeg</v>
      </c>
      <c r="AV37" s="3" t="str">
        <f>HYPERLINK("https://www.google.com/maps/place/7.7099523%2C-11.6927751", "7.7099523,-11.6927751")</f>
        <v>7.7099523,-11.6927751</v>
      </c>
    </row>
    <row r="38" ht="15.75" customHeight="1">
      <c r="A38" s="1" t="s">
        <v>282</v>
      </c>
      <c r="B38" s="1" t="s">
        <v>91</v>
      </c>
      <c r="C38" s="1" t="s">
        <v>283</v>
      </c>
      <c r="D38" s="1" t="s">
        <v>284</v>
      </c>
      <c r="E38" s="1" t="s">
        <v>285</v>
      </c>
      <c r="F38" s="1" t="s">
        <v>50</v>
      </c>
      <c r="G38" s="1">
        <v>350.0</v>
      </c>
      <c r="H38" s="1" t="s">
        <v>51</v>
      </c>
      <c r="I38" s="1">
        <v>132.0</v>
      </c>
      <c r="J38" s="1">
        <v>61.0</v>
      </c>
      <c r="K38" s="1">
        <v>61.0</v>
      </c>
      <c r="L38" s="1">
        <v>71.0</v>
      </c>
      <c r="M38" s="1">
        <v>71.0</v>
      </c>
      <c r="N38" s="1" t="s">
        <v>52</v>
      </c>
      <c r="O38" s="1">
        <v>50.0</v>
      </c>
      <c r="P38" s="1">
        <v>10.0</v>
      </c>
      <c r="Q38" s="1">
        <v>10.0</v>
      </c>
      <c r="R38" s="1">
        <v>40.0</v>
      </c>
      <c r="S38" s="1">
        <v>40.0</v>
      </c>
      <c r="T38" s="1" t="s">
        <v>53</v>
      </c>
      <c r="U38" s="1">
        <v>70.0</v>
      </c>
      <c r="V38" s="1">
        <v>30.0</v>
      </c>
      <c r="W38" s="1">
        <v>30.0</v>
      </c>
      <c r="X38" s="1">
        <v>40.0</v>
      </c>
      <c r="Y38" s="1">
        <v>40.0</v>
      </c>
      <c r="Z38" s="1" t="s">
        <v>54</v>
      </c>
      <c r="AA38" s="1">
        <v>63.0</v>
      </c>
      <c r="AB38" s="1">
        <v>28.0</v>
      </c>
      <c r="AC38" s="1">
        <v>28.0</v>
      </c>
      <c r="AD38" s="1">
        <v>35.0</v>
      </c>
      <c r="AE38" s="1">
        <v>35.0</v>
      </c>
      <c r="AF38" s="1" t="s">
        <v>56</v>
      </c>
      <c r="AG38" s="1">
        <v>35.0</v>
      </c>
      <c r="AH38" s="1">
        <v>20.0</v>
      </c>
      <c r="AI38" s="1">
        <v>20.0</v>
      </c>
      <c r="AJ38" s="1">
        <v>15.0</v>
      </c>
      <c r="AK38" s="1">
        <v>15.0</v>
      </c>
      <c r="AL38" s="1">
        <v>350.0</v>
      </c>
      <c r="AM38" s="1" t="s">
        <v>55</v>
      </c>
      <c r="AN38" s="1" t="s">
        <v>55</v>
      </c>
      <c r="AO38" s="1" t="s">
        <v>55</v>
      </c>
      <c r="AP38" s="1" t="s">
        <v>286</v>
      </c>
      <c r="AQ38" s="3" t="str">
        <f>HYPERLINK("https://icf.clappia.com/app/GMB253374/submission/SQM79923246/ICF247370-GMB253374-16cg05gpdai560000000/SIG-20250630_0930eb05c.jpeg", "SIG-20250630_0930eb05c.jpeg")</f>
        <v>SIG-20250630_0930eb05c.jpeg</v>
      </c>
      <c r="AR38" s="1" t="s">
        <v>287</v>
      </c>
      <c r="AS38" s="3" t="str">
        <f>HYPERLINK("https://icf.clappia.com/app/GMB253374/submission/SQM79923246/ICF247370-GMB253374-105o773dj114c0000000/SIG-20250630_09314kejo.jpeg", "SIG-20250630_09314kejo.jpeg")</f>
        <v>SIG-20250630_09314kejo.jpeg</v>
      </c>
      <c r="AT38" s="1" t="s">
        <v>288</v>
      </c>
      <c r="AU38" s="3" t="str">
        <f>HYPERLINK("https://icf.clappia.com/app/GMB253374/submission/SQM79923246/ICF247370-GMB253374-2ccl7p192f4o00000000/SIG-20250630_09337p1fo.jpeg", "SIG-20250630_09337p1fo.jpeg")</f>
        <v>SIG-20250630_09337p1fo.jpeg</v>
      </c>
      <c r="AV38" s="3" t="str">
        <f>HYPERLINK("https://www.google.com/maps/place/8.217751%2C-11.6327661", "8.217751,-11.6327661")</f>
        <v>8.217751,-11.6327661</v>
      </c>
    </row>
    <row r="39" ht="15.75" customHeight="1">
      <c r="A39" s="1" t="s">
        <v>289</v>
      </c>
      <c r="B39" s="1" t="s">
        <v>169</v>
      </c>
      <c r="C39" s="1" t="s">
        <v>290</v>
      </c>
      <c r="D39" s="1" t="s">
        <v>290</v>
      </c>
      <c r="E39" s="1" t="s">
        <v>291</v>
      </c>
      <c r="F39" s="1" t="s">
        <v>50</v>
      </c>
      <c r="G39" s="1">
        <v>750.0</v>
      </c>
      <c r="H39" s="1" t="s">
        <v>51</v>
      </c>
      <c r="I39" s="1">
        <v>173.0</v>
      </c>
      <c r="J39" s="1" t="s">
        <v>55</v>
      </c>
      <c r="K39" s="1" t="s">
        <v>55</v>
      </c>
      <c r="L39" s="1">
        <v>173.0</v>
      </c>
      <c r="M39" s="1">
        <v>158.0</v>
      </c>
      <c r="N39" s="1" t="s">
        <v>52</v>
      </c>
      <c r="O39" s="1">
        <v>149.0</v>
      </c>
      <c r="P39" s="1" t="s">
        <v>55</v>
      </c>
      <c r="Q39" s="1" t="s">
        <v>55</v>
      </c>
      <c r="R39" s="1">
        <v>149.0</v>
      </c>
      <c r="S39" s="1">
        <v>146.0</v>
      </c>
      <c r="T39" s="1" t="s">
        <v>53</v>
      </c>
      <c r="U39" s="1">
        <v>150.0</v>
      </c>
      <c r="V39" s="1" t="s">
        <v>55</v>
      </c>
      <c r="W39" s="1" t="s">
        <v>55</v>
      </c>
      <c r="X39" s="1">
        <v>150.0</v>
      </c>
      <c r="Y39" s="1">
        <v>142.0</v>
      </c>
      <c r="Z39" s="1" t="s">
        <v>54</v>
      </c>
      <c r="AA39" s="1">
        <v>177.0</v>
      </c>
      <c r="AB39" s="1" t="s">
        <v>55</v>
      </c>
      <c r="AC39" s="1" t="s">
        <v>55</v>
      </c>
      <c r="AD39" s="1">
        <v>177.0</v>
      </c>
      <c r="AE39" s="1">
        <v>173.0</v>
      </c>
      <c r="AF39" s="1" t="s">
        <v>56</v>
      </c>
      <c r="AG39" s="1">
        <v>160.0</v>
      </c>
      <c r="AH39" s="1" t="s">
        <v>55</v>
      </c>
      <c r="AI39" s="1" t="s">
        <v>55</v>
      </c>
      <c r="AJ39" s="1">
        <v>160.0</v>
      </c>
      <c r="AK39" s="1">
        <v>123.0</v>
      </c>
      <c r="AL39" s="1">
        <v>742.0</v>
      </c>
      <c r="AM39" s="1" t="s">
        <v>55</v>
      </c>
      <c r="AN39" s="1">
        <v>8.0</v>
      </c>
      <c r="AO39" s="1">
        <v>8.0</v>
      </c>
      <c r="AP39" s="1" t="s">
        <v>292</v>
      </c>
      <c r="AQ39" s="3" t="str">
        <f>HYPERLINK("https://icf.clappia.com/app/GMB253374/submission/OTP21115512/ICF247370-GMB253374-5fe1hbflk9lm00000000/SIG-20250630_145910ac2h.jpeg", "SIG-20250630_145910ac2h.jpeg")</f>
        <v>SIG-20250630_145910ac2h.jpeg</v>
      </c>
      <c r="AR39" s="1" t="s">
        <v>293</v>
      </c>
      <c r="AS39" s="3" t="str">
        <f>HYPERLINK("https://icf.clappia.com/app/GMB253374/submission/OTP21115512/ICF247370-GMB253374-3g7cb5bn5e2e00000000/SIG-20250630_1459163j83.jpeg", "SIG-20250630_1459163j83.jpeg")</f>
        <v>SIG-20250630_1459163j83.jpeg</v>
      </c>
      <c r="AT39" s="1" t="s">
        <v>294</v>
      </c>
      <c r="AU39" s="3" t="str">
        <f>HYPERLINK("https://icf.clappia.com/app/GMB253374/submission/OTP21115512/ICF247370-GMB253374-531d70a3aj0o00000000/SIG-20250630_1503987n7.jpeg", "SIG-20250630_1503987n7.jpeg")</f>
        <v>SIG-20250630_1503987n7.jpeg</v>
      </c>
      <c r="AV39" s="3" t="str">
        <f>HYPERLINK("https://www.google.com/maps/place/8.8866823%2C-12.043834", "8.8866823,-12.043834")</f>
        <v>8.8866823,-12.043834</v>
      </c>
    </row>
    <row r="40" ht="15.75" customHeight="1">
      <c r="A40" s="1" t="s">
        <v>295</v>
      </c>
      <c r="B40" s="1" t="s">
        <v>296</v>
      </c>
      <c r="C40" s="1" t="s">
        <v>297</v>
      </c>
      <c r="D40" s="1" t="s">
        <v>297</v>
      </c>
      <c r="E40" s="1" t="s">
        <v>298</v>
      </c>
      <c r="F40" s="1" t="s">
        <v>50</v>
      </c>
      <c r="G40" s="1">
        <v>316.0</v>
      </c>
      <c r="H40" s="1" t="s">
        <v>51</v>
      </c>
      <c r="I40" s="1">
        <v>80.0</v>
      </c>
      <c r="J40" s="1">
        <v>40.0</v>
      </c>
      <c r="K40" s="1">
        <v>23.0</v>
      </c>
      <c r="L40" s="1">
        <v>40.0</v>
      </c>
      <c r="M40" s="1">
        <v>32.0</v>
      </c>
      <c r="N40" s="1" t="s">
        <v>52</v>
      </c>
      <c r="O40" s="1">
        <v>54.0</v>
      </c>
      <c r="P40" s="1">
        <v>23.0</v>
      </c>
      <c r="Q40" s="1">
        <v>17.0</v>
      </c>
      <c r="R40" s="1">
        <v>31.0</v>
      </c>
      <c r="S40" s="1">
        <v>26.0</v>
      </c>
      <c r="T40" s="1" t="s">
        <v>53</v>
      </c>
      <c r="U40" s="1">
        <v>40.0</v>
      </c>
      <c r="V40" s="1">
        <v>26.0</v>
      </c>
      <c r="W40" s="1">
        <v>19.0</v>
      </c>
      <c r="X40" s="1">
        <v>14.0</v>
      </c>
      <c r="Y40" s="1">
        <v>11.0</v>
      </c>
      <c r="Z40" s="1" t="s">
        <v>54</v>
      </c>
      <c r="AA40" s="1">
        <v>38.0</v>
      </c>
      <c r="AB40" s="1">
        <v>21.0</v>
      </c>
      <c r="AC40" s="1">
        <v>19.0</v>
      </c>
      <c r="AD40" s="1">
        <v>17.0</v>
      </c>
      <c r="AE40" s="1">
        <v>13.0</v>
      </c>
      <c r="AF40" s="1" t="s">
        <v>56</v>
      </c>
      <c r="AG40" s="1">
        <v>18.0</v>
      </c>
      <c r="AH40" s="1">
        <v>9.0</v>
      </c>
      <c r="AI40" s="1">
        <v>6.0</v>
      </c>
      <c r="AJ40" s="1">
        <v>9.0</v>
      </c>
      <c r="AK40" s="1">
        <v>6.0</v>
      </c>
      <c r="AL40" s="1">
        <v>172.0</v>
      </c>
      <c r="AM40" s="1" t="s">
        <v>55</v>
      </c>
      <c r="AN40" s="1">
        <v>144.0</v>
      </c>
      <c r="AO40" s="1">
        <v>144.0</v>
      </c>
      <c r="AP40" s="1" t="s">
        <v>299</v>
      </c>
      <c r="AQ40" s="3" t="str">
        <f>HYPERLINK("https://icf.clappia.com/app/GMB253374/submission/WMV44272848/ICF247370-GMB253374-habampdndbne0000000/SIG-20250630_1548f7f9m.jpeg", "SIG-20250630_1548f7f9m.jpeg")</f>
        <v>SIG-20250630_1548f7f9m.jpeg</v>
      </c>
      <c r="AR40" s="1" t="s">
        <v>300</v>
      </c>
      <c r="AS40" s="3" t="str">
        <f>HYPERLINK("https://icf.clappia.com/app/GMB253374/submission/WMV44272848/ICF247370-GMB253374-4k66m78594ek0000000/SIG-20250630_154819l95j.jpeg", "SIG-20250630_154819l95j.jpeg")</f>
        <v>SIG-20250630_154819l95j.jpeg</v>
      </c>
      <c r="AT40" s="1" t="s">
        <v>301</v>
      </c>
      <c r="AU40" s="3" t="str">
        <f>HYPERLINK("https://icf.clappia.com/app/GMB253374/submission/WMV44272848/ICF247370-GMB253374-o7p6j01b3l040000000/SIG-20250630_1549ml09d.jpeg", "SIG-20250630_1549ml09d.jpeg")</f>
        <v>SIG-20250630_1549ml09d.jpeg</v>
      </c>
      <c r="AV40" s="3" t="str">
        <f>HYPERLINK("https://www.google.com/maps/place/8.8416965%2C-12.076866", "8.8416965,-12.076866")</f>
        <v>8.8416965,-12.076866</v>
      </c>
    </row>
    <row r="41" ht="15.75" customHeight="1">
      <c r="A41" s="1" t="s">
        <v>302</v>
      </c>
      <c r="B41" s="1" t="s">
        <v>46</v>
      </c>
      <c r="C41" s="1" t="s">
        <v>303</v>
      </c>
      <c r="D41" s="1" t="s">
        <v>303</v>
      </c>
      <c r="E41" s="1" t="s">
        <v>304</v>
      </c>
      <c r="F41" s="1" t="s">
        <v>50</v>
      </c>
      <c r="G41" s="1">
        <v>107.0</v>
      </c>
      <c r="H41" s="1" t="s">
        <v>51</v>
      </c>
      <c r="I41" s="1">
        <v>51.0</v>
      </c>
      <c r="J41" s="1">
        <v>30.0</v>
      </c>
      <c r="K41" s="1">
        <v>30.0</v>
      </c>
      <c r="L41" s="1">
        <v>21.0</v>
      </c>
      <c r="M41" s="1">
        <v>20.0</v>
      </c>
      <c r="N41" s="1" t="s">
        <v>52</v>
      </c>
      <c r="O41" s="1">
        <v>34.0</v>
      </c>
      <c r="P41" s="1">
        <v>14.0</v>
      </c>
      <c r="Q41" s="1">
        <v>12.0</v>
      </c>
      <c r="R41" s="1">
        <v>20.0</v>
      </c>
      <c r="S41" s="1">
        <v>20.0</v>
      </c>
      <c r="T41" s="1" t="s">
        <v>53</v>
      </c>
      <c r="U41" s="1">
        <v>22.0</v>
      </c>
      <c r="V41" s="1">
        <v>10.0</v>
      </c>
      <c r="W41" s="1">
        <v>10.0</v>
      </c>
      <c r="X41" s="1">
        <v>12.0</v>
      </c>
      <c r="Y41" s="1">
        <v>10.0</v>
      </c>
      <c r="Z41" s="1" t="s">
        <v>54</v>
      </c>
      <c r="AA41" s="1" t="s">
        <v>55</v>
      </c>
      <c r="AB41" s="1" t="s">
        <v>55</v>
      </c>
      <c r="AC41" s="1" t="s">
        <v>55</v>
      </c>
      <c r="AD41" s="1" t="s">
        <v>55</v>
      </c>
      <c r="AE41" s="1" t="s">
        <v>55</v>
      </c>
      <c r="AF41" s="1" t="s">
        <v>56</v>
      </c>
      <c r="AG41" s="1" t="s">
        <v>55</v>
      </c>
      <c r="AH41" s="1" t="s">
        <v>55</v>
      </c>
      <c r="AI41" s="1" t="s">
        <v>55</v>
      </c>
      <c r="AJ41" s="1" t="s">
        <v>55</v>
      </c>
      <c r="AK41" s="1" t="s">
        <v>55</v>
      </c>
      <c r="AL41" s="1">
        <v>102.0</v>
      </c>
      <c r="AM41" s="1">
        <v>5.0</v>
      </c>
      <c r="AN41" s="1" t="s">
        <v>55</v>
      </c>
      <c r="AO41" s="1" t="s">
        <v>55</v>
      </c>
      <c r="AP41" s="1" t="s">
        <v>305</v>
      </c>
      <c r="AQ41" s="3" t="str">
        <f>HYPERLINK("https://icf.clappia.com/app/GMB253374/submission/MKX84849272/ICF247370-GMB253374-5p0dp5nl8g8400000000/SIG-20250630_131415lm0p.jpeg", "SIG-20250630_131415lm0p.jpeg")</f>
        <v>SIG-20250630_131415lm0p.jpeg</v>
      </c>
      <c r="AR41" s="1" t="s">
        <v>306</v>
      </c>
      <c r="AS41" s="3" t="str">
        <f>HYPERLINK("https://icf.clappia.com/app/GMB253374/submission/MKX84849272/ICF247370-GMB253374-2imc60n8pjo000000000/SIG-20250630_1322180g2j.jpeg", "SIG-20250630_1322180g2j.jpeg")</f>
        <v>SIG-20250630_1322180g2j.jpeg</v>
      </c>
      <c r="AT41" s="1" t="s">
        <v>307</v>
      </c>
      <c r="AU41" s="3" t="str">
        <f>HYPERLINK("https://icf.clappia.com/app/GMB253374/submission/MKX84849272/ICF247370-GMB253374-2m693nci49mc00000000/SIG-20250630_13247p7m1.jpeg", "SIG-20250630_13247p7m1.jpeg")</f>
        <v>SIG-20250630_13247p7m1.jpeg</v>
      </c>
      <c r="AV41" s="3" t="str">
        <f>HYPERLINK("https://www.google.com/maps/place/7.558357%2C-11.8689604", "7.558357,-11.8689604")</f>
        <v>7.558357,-11.8689604</v>
      </c>
    </row>
    <row r="42" ht="15.75" customHeight="1">
      <c r="A42" s="1" t="s">
        <v>308</v>
      </c>
      <c r="B42" s="1" t="s">
        <v>46</v>
      </c>
      <c r="C42" s="1" t="s">
        <v>303</v>
      </c>
      <c r="D42" s="1" t="s">
        <v>303</v>
      </c>
      <c r="E42" s="1" t="s">
        <v>309</v>
      </c>
      <c r="F42" s="1" t="s">
        <v>50</v>
      </c>
      <c r="G42" s="1">
        <v>200.0</v>
      </c>
      <c r="H42" s="1" t="s">
        <v>51</v>
      </c>
      <c r="I42" s="1">
        <v>47.0</v>
      </c>
      <c r="J42" s="1">
        <v>26.0</v>
      </c>
      <c r="K42" s="1">
        <v>20.0</v>
      </c>
      <c r="L42" s="1">
        <v>21.0</v>
      </c>
      <c r="M42" s="1">
        <v>16.0</v>
      </c>
      <c r="N42" s="1" t="s">
        <v>52</v>
      </c>
      <c r="O42" s="1">
        <v>44.0</v>
      </c>
      <c r="P42" s="1">
        <v>14.0</v>
      </c>
      <c r="Q42" s="1">
        <v>9.0</v>
      </c>
      <c r="R42" s="1">
        <v>30.0</v>
      </c>
      <c r="S42" s="1">
        <v>25.0</v>
      </c>
      <c r="T42" s="1" t="s">
        <v>53</v>
      </c>
      <c r="U42" s="1" t="s">
        <v>55</v>
      </c>
      <c r="V42" s="1" t="s">
        <v>55</v>
      </c>
      <c r="W42" s="1" t="s">
        <v>55</v>
      </c>
      <c r="X42" s="1" t="s">
        <v>55</v>
      </c>
      <c r="Y42" s="1" t="s">
        <v>55</v>
      </c>
      <c r="Z42" s="1" t="s">
        <v>54</v>
      </c>
      <c r="AA42" s="1" t="s">
        <v>55</v>
      </c>
      <c r="AB42" s="1" t="s">
        <v>55</v>
      </c>
      <c r="AC42" s="1" t="s">
        <v>55</v>
      </c>
      <c r="AD42" s="1" t="s">
        <v>55</v>
      </c>
      <c r="AE42" s="1" t="s">
        <v>55</v>
      </c>
      <c r="AF42" s="1" t="s">
        <v>56</v>
      </c>
      <c r="AG42" s="1" t="s">
        <v>55</v>
      </c>
      <c r="AH42" s="1" t="s">
        <v>55</v>
      </c>
      <c r="AI42" s="1" t="s">
        <v>55</v>
      </c>
      <c r="AJ42" s="1" t="s">
        <v>55</v>
      </c>
      <c r="AK42" s="1" t="s">
        <v>55</v>
      </c>
      <c r="AL42" s="1">
        <v>70.0</v>
      </c>
      <c r="AM42" s="1" t="s">
        <v>55</v>
      </c>
      <c r="AN42" s="1">
        <v>130.0</v>
      </c>
      <c r="AO42" s="1">
        <v>130.0</v>
      </c>
      <c r="AP42" s="1" t="s">
        <v>310</v>
      </c>
      <c r="AQ42" s="3" t="str">
        <f>HYPERLINK("https://icf.clappia.com/app/GMB253374/submission/UIA24944375/ICF247370-GMB253374-2gclngc49e0m00000000/SIG-20250630_15346mah7.jpeg", "SIG-20250630_15346mah7.jpeg")</f>
        <v>SIG-20250630_15346mah7.jpeg</v>
      </c>
      <c r="AR42" s="1" t="s">
        <v>311</v>
      </c>
      <c r="AS42" s="3" t="str">
        <f>HYPERLINK("https://icf.clappia.com/app/GMB253374/submission/UIA24944375/ICF247370-GMB253374-3con3ia64e9800000000/SIG-20250630_1504ofdb2.jpeg", "SIG-20250630_1504ofdb2.jpeg")</f>
        <v>SIG-20250630_1504ofdb2.jpeg</v>
      </c>
      <c r="AT42" s="1" t="s">
        <v>312</v>
      </c>
      <c r="AU42" s="3" t="str">
        <f>HYPERLINK("https://icf.clappia.com/app/GMB253374/submission/UIA24944375/ICF247370-GMB253374-35d1do81h8ck00000000/SIG-20250630_145115dh4i.jpeg", "SIG-20250630_145115dh4i.jpeg")</f>
        <v>SIG-20250630_145115dh4i.jpeg</v>
      </c>
      <c r="AV42" s="3" t="str">
        <f>HYPERLINK("https://www.google.com/maps/place/7.6075967%2C-11.8139533", "7.6075967,-11.8139533")</f>
        <v>7.6075967,-11.8139533</v>
      </c>
    </row>
    <row r="43" ht="15.75" customHeight="1">
      <c r="A43" s="1" t="s">
        <v>313</v>
      </c>
      <c r="B43" s="1" t="s">
        <v>98</v>
      </c>
      <c r="C43" s="1" t="s">
        <v>314</v>
      </c>
      <c r="D43" s="1" t="s">
        <v>314</v>
      </c>
      <c r="E43" s="1" t="s">
        <v>315</v>
      </c>
      <c r="F43" s="1" t="s">
        <v>121</v>
      </c>
      <c r="G43" s="1">
        <v>355.0</v>
      </c>
      <c r="H43" s="1" t="s">
        <v>51</v>
      </c>
      <c r="I43" s="1">
        <v>91.0</v>
      </c>
      <c r="J43" s="1">
        <v>45.0</v>
      </c>
      <c r="K43" s="1">
        <v>44.0</v>
      </c>
      <c r="L43" s="1">
        <v>46.0</v>
      </c>
      <c r="M43" s="1">
        <v>45.0</v>
      </c>
      <c r="N43" s="1" t="s">
        <v>52</v>
      </c>
      <c r="O43" s="1">
        <v>54.0</v>
      </c>
      <c r="P43" s="1">
        <v>22.0</v>
      </c>
      <c r="Q43" s="1">
        <v>21.0</v>
      </c>
      <c r="R43" s="1">
        <v>32.0</v>
      </c>
      <c r="S43" s="1">
        <v>31.0</v>
      </c>
      <c r="T43" s="1" t="s">
        <v>53</v>
      </c>
      <c r="U43" s="1">
        <v>68.0</v>
      </c>
      <c r="V43" s="1">
        <v>32.0</v>
      </c>
      <c r="W43" s="1">
        <v>31.0</v>
      </c>
      <c r="X43" s="1">
        <v>36.0</v>
      </c>
      <c r="Y43" s="1">
        <v>36.0</v>
      </c>
      <c r="Z43" s="1" t="s">
        <v>54</v>
      </c>
      <c r="AA43" s="1">
        <v>82.0</v>
      </c>
      <c r="AB43" s="1">
        <v>33.0</v>
      </c>
      <c r="AC43" s="1">
        <v>31.0</v>
      </c>
      <c r="AD43" s="1">
        <v>49.0</v>
      </c>
      <c r="AE43" s="1">
        <v>48.0</v>
      </c>
      <c r="AF43" s="1" t="s">
        <v>56</v>
      </c>
      <c r="AG43" s="1">
        <v>60.0</v>
      </c>
      <c r="AH43" s="1">
        <v>33.0</v>
      </c>
      <c r="AI43" s="1">
        <v>32.0</v>
      </c>
      <c r="AJ43" s="1">
        <v>27.0</v>
      </c>
      <c r="AK43" s="1">
        <v>26.0</v>
      </c>
      <c r="AL43" s="1">
        <v>345.0</v>
      </c>
      <c r="AM43" s="1">
        <v>10.0</v>
      </c>
      <c r="AN43" s="1" t="s">
        <v>55</v>
      </c>
      <c r="AO43" s="1" t="s">
        <v>55</v>
      </c>
      <c r="AP43" s="1" t="s">
        <v>316</v>
      </c>
      <c r="AQ43" s="3" t="str">
        <f>HYPERLINK("https://icf.clappia.com/app/GMB253374/submission/QFU83555777/ICF247370-GMB253374-4eid4i65aalc00000000/SIG-20250630_1024hb3dk.jpeg", "SIG-20250630_1024hb3dk.jpeg")</f>
        <v>SIG-20250630_1024hb3dk.jpeg</v>
      </c>
      <c r="AR43" s="1" t="s">
        <v>317</v>
      </c>
      <c r="AS43" s="3" t="str">
        <f>HYPERLINK("https://icf.clappia.com/app/GMB253374/submission/QFU83555777/ICF247370-GMB253374-2oimhci4lhek00000000/SIG-20250630_1025kmbo5.jpeg", "SIG-20250630_1025kmbo5.jpeg")</f>
        <v>SIG-20250630_1025kmbo5.jpeg</v>
      </c>
      <c r="AT43" s="1" t="s">
        <v>318</v>
      </c>
      <c r="AU43" s="3" t="str">
        <f>HYPERLINK("https://icf.clappia.com/app/GMB253374/submission/QFU83555777/ICF247370-GMB253374-2ah69l88d29120000000/SIG-20250630_1026103604.jpeg", "SIG-20250630_1026103604.jpeg")</f>
        <v>SIG-20250630_1026103604.jpeg</v>
      </c>
      <c r="AV43" s="3" t="str">
        <f>HYPERLINK("https://www.google.com/maps/place/7.9489056%2C-11.7557673", "7.9489056,-11.7557673")</f>
        <v>7.9489056,-11.7557673</v>
      </c>
    </row>
    <row r="44" ht="15.75" customHeight="1">
      <c r="A44" s="1" t="s">
        <v>319</v>
      </c>
      <c r="B44" s="1" t="s">
        <v>320</v>
      </c>
      <c r="C44" s="1" t="s">
        <v>321</v>
      </c>
      <c r="D44" s="1" t="s">
        <v>321</v>
      </c>
      <c r="E44" s="1" t="s">
        <v>322</v>
      </c>
      <c r="F44" s="1" t="s">
        <v>50</v>
      </c>
      <c r="G44" s="1">
        <v>111.0</v>
      </c>
      <c r="H44" s="1" t="s">
        <v>51</v>
      </c>
      <c r="I44" s="1">
        <v>27.0</v>
      </c>
      <c r="J44" s="1">
        <v>15.0</v>
      </c>
      <c r="K44" s="1">
        <v>15.0</v>
      </c>
      <c r="L44" s="1">
        <v>12.0</v>
      </c>
      <c r="M44" s="1">
        <v>11.0</v>
      </c>
      <c r="N44" s="1" t="s">
        <v>52</v>
      </c>
      <c r="O44" s="1">
        <v>16.0</v>
      </c>
      <c r="P44" s="1">
        <v>10.0</v>
      </c>
      <c r="Q44" s="1">
        <v>9.0</v>
      </c>
      <c r="R44" s="1">
        <v>6.0</v>
      </c>
      <c r="S44" s="1">
        <v>4.0</v>
      </c>
      <c r="T44" s="1" t="s">
        <v>53</v>
      </c>
      <c r="U44" s="1">
        <v>22.0</v>
      </c>
      <c r="V44" s="1">
        <v>10.0</v>
      </c>
      <c r="W44" s="1">
        <v>9.0</v>
      </c>
      <c r="X44" s="1">
        <v>12.0</v>
      </c>
      <c r="Y44" s="1">
        <v>11.0</v>
      </c>
      <c r="Z44" s="1" t="s">
        <v>54</v>
      </c>
      <c r="AA44" s="1">
        <v>25.0</v>
      </c>
      <c r="AB44" s="1">
        <v>12.0</v>
      </c>
      <c r="AC44" s="1">
        <v>9.0</v>
      </c>
      <c r="AD44" s="1">
        <v>13.0</v>
      </c>
      <c r="AE44" s="1">
        <v>11.0</v>
      </c>
      <c r="AF44" s="1" t="s">
        <v>56</v>
      </c>
      <c r="AG44" s="1">
        <v>14.0</v>
      </c>
      <c r="AH44" s="1">
        <v>7.0</v>
      </c>
      <c r="AI44" s="1">
        <v>6.0</v>
      </c>
      <c r="AJ44" s="1">
        <v>7.0</v>
      </c>
      <c r="AK44" s="1">
        <v>5.0</v>
      </c>
      <c r="AL44" s="1">
        <v>90.0</v>
      </c>
      <c r="AM44" s="1" t="s">
        <v>55</v>
      </c>
      <c r="AN44" s="1">
        <v>21.0</v>
      </c>
      <c r="AO44" s="1">
        <v>21.0</v>
      </c>
      <c r="AP44" s="1" t="s">
        <v>323</v>
      </c>
      <c r="AQ44" s="3" t="str">
        <f>HYPERLINK("https://icf.clappia.com/app/GMB253374/submission/KQS53460625/ICF247370-GMB253374-6al1km1l3ene00000000/SIG-20250630_1132g4c50.jpeg", "SIG-20250630_1132g4c50.jpeg")</f>
        <v>SIG-20250630_1132g4c50.jpeg</v>
      </c>
      <c r="AR44" s="1" t="s">
        <v>324</v>
      </c>
      <c r="AS44" s="3" t="str">
        <f>HYPERLINK("https://icf.clappia.com/app/GMB253374/submission/KQS53460625/ICF247370-GMB253374-4hn8g0lk47pe00000000/SIG-20250630_1129151b92.jpeg", "SIG-20250630_1129151b92.jpeg")</f>
        <v>SIG-20250630_1129151b92.jpeg</v>
      </c>
      <c r="AT44" s="1" t="s">
        <v>325</v>
      </c>
      <c r="AU44" s="3" t="str">
        <f>HYPERLINK("https://icf.clappia.com/app/GMB253374/submission/KQS53460625/ICF247370-GMB253374-l11k3gnbo4gg0000000/SIG-20250630_11323mkhj.jpeg", "SIG-20250630_11323mkhj.jpeg")</f>
        <v>SIG-20250630_11323mkhj.jpeg</v>
      </c>
      <c r="AV44" s="3" t="str">
        <f>HYPERLINK("https://www.google.com/maps/place/8.9621189%2C-11.9570966", "8.9621189,-11.9570966")</f>
        <v>8.9621189,-11.9570966</v>
      </c>
    </row>
    <row r="45" ht="15.75" customHeight="1">
      <c r="A45" s="1" t="s">
        <v>326</v>
      </c>
      <c r="B45" s="1" t="s">
        <v>98</v>
      </c>
      <c r="C45" s="1" t="s">
        <v>327</v>
      </c>
      <c r="D45" s="1" t="s">
        <v>327</v>
      </c>
      <c r="E45" s="1" t="s">
        <v>328</v>
      </c>
      <c r="F45" s="1" t="s">
        <v>50</v>
      </c>
      <c r="G45" s="1">
        <v>181.0</v>
      </c>
      <c r="H45" s="1" t="s">
        <v>51</v>
      </c>
      <c r="I45" s="1">
        <v>55.0</v>
      </c>
      <c r="J45" s="1">
        <v>20.0</v>
      </c>
      <c r="K45" s="1">
        <v>20.0</v>
      </c>
      <c r="L45" s="1">
        <v>35.0</v>
      </c>
      <c r="M45" s="1">
        <v>35.0</v>
      </c>
      <c r="N45" s="1" t="s">
        <v>52</v>
      </c>
      <c r="O45" s="1">
        <v>38.0</v>
      </c>
      <c r="P45" s="1">
        <v>14.0</v>
      </c>
      <c r="Q45" s="1">
        <v>14.0</v>
      </c>
      <c r="R45" s="1">
        <v>24.0</v>
      </c>
      <c r="S45" s="1">
        <v>24.0</v>
      </c>
      <c r="T45" s="1" t="s">
        <v>53</v>
      </c>
      <c r="U45" s="1">
        <v>30.0</v>
      </c>
      <c r="V45" s="1">
        <v>14.0</v>
      </c>
      <c r="W45" s="1">
        <v>14.0</v>
      </c>
      <c r="X45" s="1">
        <v>16.0</v>
      </c>
      <c r="Y45" s="1">
        <v>16.0</v>
      </c>
      <c r="Z45" s="1" t="s">
        <v>54</v>
      </c>
      <c r="AA45" s="1">
        <v>30.0</v>
      </c>
      <c r="AB45" s="1">
        <v>12.0</v>
      </c>
      <c r="AC45" s="1">
        <v>12.0</v>
      </c>
      <c r="AD45" s="1">
        <v>18.0</v>
      </c>
      <c r="AE45" s="1">
        <v>18.0</v>
      </c>
      <c r="AF45" s="1" t="s">
        <v>56</v>
      </c>
      <c r="AG45" s="1">
        <v>28.0</v>
      </c>
      <c r="AH45" s="1">
        <v>12.0</v>
      </c>
      <c r="AI45" s="1">
        <v>12.0</v>
      </c>
      <c r="AJ45" s="1">
        <v>16.0</v>
      </c>
      <c r="AK45" s="1">
        <v>16.0</v>
      </c>
      <c r="AL45" s="1">
        <v>181.0</v>
      </c>
      <c r="AM45" s="1" t="s">
        <v>55</v>
      </c>
      <c r="AN45" s="1" t="s">
        <v>55</v>
      </c>
      <c r="AO45" s="1" t="s">
        <v>55</v>
      </c>
      <c r="AP45" s="1" t="s">
        <v>329</v>
      </c>
      <c r="AQ45" s="3" t="str">
        <f>HYPERLINK("https://icf.clappia.com/app/GMB253374/submission/KNF19188849/ICF247370-GMB253374-m5p8nc1ohipm0000000/SIG-20250630_1414abomg.jpeg", "SIG-20250630_1414abomg.jpeg")</f>
        <v>SIG-20250630_1414abomg.jpeg</v>
      </c>
      <c r="AR45" s="1" t="s">
        <v>330</v>
      </c>
      <c r="AS45" s="3" t="str">
        <f>HYPERLINK("https://icf.clappia.com/app/GMB253374/submission/KNF19188849/ICF247370-GMB253374-d9cjkkl000fi0000000/SIG-20250630_1415mg3m4.jpeg", "SIG-20250630_1415mg3m4.jpeg")</f>
        <v>SIG-20250630_1415mg3m4.jpeg</v>
      </c>
      <c r="AT45" s="1" t="s">
        <v>331</v>
      </c>
      <c r="AU45" s="3" t="str">
        <f>HYPERLINK("https://icf.clappia.com/app/GMB253374/submission/KNF19188849/ICF247370-GMB253374-adnb9ci9gc0o0000000/SIG-20250630_141518c4m4.jpeg", "SIG-20250630_141518c4m4.jpeg")</f>
        <v>SIG-20250630_141518c4m4.jpeg</v>
      </c>
      <c r="AV45" s="3" t="str">
        <f>HYPERLINK("https://www.google.com/maps/place/7.9751275%2C-11.7393928", "7.9751275,-11.7393928")</f>
        <v>7.9751275,-11.7393928</v>
      </c>
    </row>
    <row r="46" ht="15.75" customHeight="1">
      <c r="A46" s="1" t="s">
        <v>332</v>
      </c>
      <c r="B46" s="1" t="s">
        <v>169</v>
      </c>
      <c r="C46" s="1" t="s">
        <v>333</v>
      </c>
      <c r="D46" s="1" t="s">
        <v>333</v>
      </c>
      <c r="E46" s="1" t="s">
        <v>334</v>
      </c>
      <c r="F46" s="1" t="s">
        <v>50</v>
      </c>
      <c r="G46" s="1">
        <v>442.0</v>
      </c>
      <c r="H46" s="1" t="s">
        <v>51</v>
      </c>
      <c r="I46" s="1">
        <v>83.0</v>
      </c>
      <c r="J46" s="1">
        <v>42.0</v>
      </c>
      <c r="K46" s="1">
        <v>42.0</v>
      </c>
      <c r="L46" s="1">
        <v>41.0</v>
      </c>
      <c r="M46" s="1">
        <v>39.0</v>
      </c>
      <c r="N46" s="1" t="s">
        <v>52</v>
      </c>
      <c r="O46" s="1">
        <v>85.0</v>
      </c>
      <c r="P46" s="1">
        <v>40.0</v>
      </c>
      <c r="Q46" s="1">
        <v>40.0</v>
      </c>
      <c r="R46" s="1">
        <v>44.0</v>
      </c>
      <c r="S46" s="1">
        <v>44.0</v>
      </c>
      <c r="T46" s="1" t="s">
        <v>53</v>
      </c>
      <c r="U46" s="1">
        <v>90.0</v>
      </c>
      <c r="V46" s="1">
        <v>47.0</v>
      </c>
      <c r="W46" s="1">
        <v>47.0</v>
      </c>
      <c r="X46" s="1">
        <v>43.0</v>
      </c>
      <c r="Y46" s="1">
        <v>43.0</v>
      </c>
      <c r="Z46" s="1" t="s">
        <v>54</v>
      </c>
      <c r="AA46" s="1">
        <v>85.0</v>
      </c>
      <c r="AB46" s="1">
        <v>48.0</v>
      </c>
      <c r="AC46" s="1">
        <v>42.0</v>
      </c>
      <c r="AD46" s="1">
        <v>37.0</v>
      </c>
      <c r="AE46" s="1">
        <v>37.0</v>
      </c>
      <c r="AF46" s="1" t="s">
        <v>56</v>
      </c>
      <c r="AG46" s="1">
        <v>89.0</v>
      </c>
      <c r="AH46" s="1">
        <v>50.0</v>
      </c>
      <c r="AI46" s="1">
        <v>50.0</v>
      </c>
      <c r="AJ46" s="1">
        <v>38.0</v>
      </c>
      <c r="AK46" s="1">
        <v>36.0</v>
      </c>
      <c r="AL46" s="1">
        <v>420.0</v>
      </c>
      <c r="AM46" s="1">
        <v>10.0</v>
      </c>
      <c r="AN46" s="1">
        <v>12.0</v>
      </c>
      <c r="AO46" s="1">
        <v>12.0</v>
      </c>
      <c r="AP46" s="1" t="s">
        <v>335</v>
      </c>
      <c r="AQ46" s="3" t="str">
        <f>HYPERLINK("https://icf.clappia.com/app/GMB253374/submission/OJE56801233/ICF247370-GMB253374-4jagfanmeojk00000000/SIG-20250630_1534pi512.jpeg", "SIG-20250630_1534pi512.jpeg")</f>
        <v>SIG-20250630_1534pi512.jpeg</v>
      </c>
      <c r="AR46" s="1" t="s">
        <v>336</v>
      </c>
      <c r="AS46" s="3" t="str">
        <f>HYPERLINK("https://icf.clappia.com/app/GMB253374/submission/OJE56801233/ICF247370-GMB253374-5in2420di87m00000000/SIG-20250630_1534188jgp.jpeg", "SIG-20250630_1534188jgp.jpeg")</f>
        <v>SIG-20250630_1534188jgp.jpeg</v>
      </c>
      <c r="AT46" s="1" t="s">
        <v>337</v>
      </c>
      <c r="AU46" s="3" t="str">
        <f>HYPERLINK("https://icf.clappia.com/app/GMB253374/submission/OJE56801233/ICF247370-GMB253374-2nica9en629e00000000/SIG-20250630_153416545p.jpeg", "SIG-20250630_153416545p.jpeg")</f>
        <v>SIG-20250630_153416545p.jpeg</v>
      </c>
      <c r="AV46" s="3" t="str">
        <f>HYPERLINK("https://www.google.com/maps/place/8.8710983%2C-12.0288217", "8.8710983,-12.0288217")</f>
        <v>8.8710983,-12.0288217</v>
      </c>
    </row>
    <row r="47" ht="15.75" customHeight="1">
      <c r="A47" s="1" t="s">
        <v>338</v>
      </c>
      <c r="B47" s="1" t="s">
        <v>46</v>
      </c>
      <c r="C47" s="1" t="s">
        <v>333</v>
      </c>
      <c r="D47" s="1" t="s">
        <v>333</v>
      </c>
      <c r="E47" s="1" t="s">
        <v>339</v>
      </c>
      <c r="F47" s="1" t="s">
        <v>50</v>
      </c>
      <c r="G47" s="1">
        <v>250.0</v>
      </c>
      <c r="H47" s="1" t="s">
        <v>51</v>
      </c>
      <c r="I47" s="1">
        <v>89.0</v>
      </c>
      <c r="J47" s="1">
        <v>41.0</v>
      </c>
      <c r="K47" s="1">
        <v>41.0</v>
      </c>
      <c r="L47" s="1">
        <v>48.0</v>
      </c>
      <c r="M47" s="1">
        <v>48.0</v>
      </c>
      <c r="N47" s="1" t="s">
        <v>52</v>
      </c>
      <c r="O47" s="1">
        <v>76.0</v>
      </c>
      <c r="P47" s="1">
        <v>39.0</v>
      </c>
      <c r="Q47" s="1">
        <v>39.0</v>
      </c>
      <c r="R47" s="1">
        <v>37.0</v>
      </c>
      <c r="S47" s="1">
        <v>37.0</v>
      </c>
      <c r="T47" s="1" t="s">
        <v>53</v>
      </c>
      <c r="U47" s="1">
        <v>79.0</v>
      </c>
      <c r="V47" s="1">
        <v>38.0</v>
      </c>
      <c r="W47" s="1">
        <v>38.0</v>
      </c>
      <c r="X47" s="1">
        <v>41.0</v>
      </c>
      <c r="Y47" s="1">
        <v>41.0</v>
      </c>
      <c r="Z47" s="1" t="s">
        <v>54</v>
      </c>
      <c r="AA47" s="1" t="s">
        <v>55</v>
      </c>
      <c r="AB47" s="1" t="s">
        <v>55</v>
      </c>
      <c r="AC47" s="1" t="s">
        <v>55</v>
      </c>
      <c r="AD47" s="1" t="s">
        <v>55</v>
      </c>
      <c r="AE47" s="1" t="s">
        <v>55</v>
      </c>
      <c r="AF47" s="1" t="s">
        <v>56</v>
      </c>
      <c r="AG47" s="1" t="s">
        <v>55</v>
      </c>
      <c r="AH47" s="1" t="s">
        <v>55</v>
      </c>
      <c r="AI47" s="1" t="s">
        <v>55</v>
      </c>
      <c r="AJ47" s="1" t="s">
        <v>55</v>
      </c>
      <c r="AK47" s="1" t="s">
        <v>55</v>
      </c>
      <c r="AL47" s="1">
        <v>244.0</v>
      </c>
      <c r="AM47" s="1" t="s">
        <v>55</v>
      </c>
      <c r="AN47" s="1">
        <v>6.0</v>
      </c>
      <c r="AO47" s="1">
        <v>6.0</v>
      </c>
      <c r="AP47" s="1" t="s">
        <v>340</v>
      </c>
      <c r="AQ47" s="3" t="str">
        <f>HYPERLINK("https://icf.clappia.com/app/GMB253374/submission/WFS71389166/ICF247370-GMB253374-1aaocagifhjkk0000000/SIG-20250630_1525m73ga.jpeg", "SIG-20250630_1525m73ga.jpeg")</f>
        <v>SIG-20250630_1525m73ga.jpeg</v>
      </c>
      <c r="AR47" s="1" t="s">
        <v>341</v>
      </c>
      <c r="AS47" s="3" t="str">
        <f>HYPERLINK("https://icf.clappia.com/app/GMB253374/submission/WFS71389166/ICF247370-GMB253374-21e59cbfek3840000000/SIG-20250630_1526nn466.jpeg", "SIG-20250630_1526nn466.jpeg")</f>
        <v>SIG-20250630_1526nn466.jpeg</v>
      </c>
      <c r="AT47" s="1" t="s">
        <v>342</v>
      </c>
      <c r="AU47" s="3" t="str">
        <f>HYPERLINK("https://icf.clappia.com/app/GMB253374/submission/WFS71389166/ICF247370-GMB253374-je2aa1o1ba000000000/SIG-20250630_1527f9lma.jpeg", "SIG-20250630_1527f9lma.jpeg")</f>
        <v>SIG-20250630_1527f9lma.jpeg</v>
      </c>
      <c r="AV47" s="3" t="str">
        <f>HYPERLINK("https://www.google.com/maps/place/7.6308676%2C-11.8070431", "7.6308676,-11.8070431")</f>
        <v>7.6308676,-11.8070431</v>
      </c>
    </row>
    <row r="48" ht="15.75" customHeight="1">
      <c r="A48" s="1" t="s">
        <v>343</v>
      </c>
      <c r="B48" s="1" t="s">
        <v>98</v>
      </c>
      <c r="C48" s="1" t="s">
        <v>344</v>
      </c>
      <c r="D48" s="1" t="s">
        <v>344</v>
      </c>
      <c r="E48" s="1" t="s">
        <v>345</v>
      </c>
      <c r="F48" s="1" t="s">
        <v>50</v>
      </c>
      <c r="G48" s="1">
        <v>182.0</v>
      </c>
      <c r="H48" s="1" t="s">
        <v>51</v>
      </c>
      <c r="I48" s="1">
        <v>35.0</v>
      </c>
      <c r="J48" s="1">
        <v>15.0</v>
      </c>
      <c r="K48" s="1">
        <v>15.0</v>
      </c>
      <c r="L48" s="1">
        <v>20.0</v>
      </c>
      <c r="M48" s="1">
        <v>15.0</v>
      </c>
      <c r="N48" s="1" t="s">
        <v>52</v>
      </c>
      <c r="O48" s="1">
        <v>29.0</v>
      </c>
      <c r="P48" s="1">
        <v>13.0</v>
      </c>
      <c r="Q48" s="1">
        <v>13.0</v>
      </c>
      <c r="R48" s="1">
        <v>16.0</v>
      </c>
      <c r="S48" s="1">
        <v>16.0</v>
      </c>
      <c r="T48" s="1" t="s">
        <v>53</v>
      </c>
      <c r="U48" s="1">
        <v>46.0</v>
      </c>
      <c r="V48" s="1">
        <v>21.0</v>
      </c>
      <c r="W48" s="1">
        <v>21.0</v>
      </c>
      <c r="X48" s="1">
        <v>25.0</v>
      </c>
      <c r="Y48" s="1">
        <v>25.0</v>
      </c>
      <c r="Z48" s="1" t="s">
        <v>54</v>
      </c>
      <c r="AA48" s="1">
        <v>45.0</v>
      </c>
      <c r="AB48" s="1">
        <v>19.0</v>
      </c>
      <c r="AC48" s="1">
        <v>19.0</v>
      </c>
      <c r="AD48" s="1">
        <v>26.0</v>
      </c>
      <c r="AE48" s="1">
        <v>26.0</v>
      </c>
      <c r="AF48" s="1" t="s">
        <v>56</v>
      </c>
      <c r="AG48" s="1">
        <v>27.0</v>
      </c>
      <c r="AH48" s="1">
        <v>15.0</v>
      </c>
      <c r="AI48" s="1">
        <v>15.0</v>
      </c>
      <c r="AJ48" s="1">
        <v>12.0</v>
      </c>
      <c r="AK48" s="1">
        <v>12.0</v>
      </c>
      <c r="AL48" s="1">
        <v>177.0</v>
      </c>
      <c r="AM48" s="1">
        <v>5.0</v>
      </c>
      <c r="AN48" s="1" t="s">
        <v>55</v>
      </c>
      <c r="AO48" s="1" t="s">
        <v>55</v>
      </c>
      <c r="AP48" s="1" t="s">
        <v>346</v>
      </c>
      <c r="AQ48" s="3" t="str">
        <f>HYPERLINK("https://icf.clappia.com/app/GMB253374/submission/GNZ57999784/ICF247370-GMB253374-5n9epi8el3m200000000/SIG-20250630_1529114ibc.jpeg", "SIG-20250630_1529114ibc.jpeg")</f>
        <v>SIG-20250630_1529114ibc.jpeg</v>
      </c>
      <c r="AR48" s="1" t="s">
        <v>347</v>
      </c>
      <c r="AS48" s="3" t="str">
        <f>HYPERLINK("https://icf.clappia.com/app/GMB253374/submission/GNZ57999784/ICF247370-GMB253374-587oijc1h5l200000000/SIG-20250630_1529874e4.jpeg", "SIG-20250630_1529874e4.jpeg")</f>
        <v>SIG-20250630_1529874e4.jpeg</v>
      </c>
      <c r="AT48" s="1" t="s">
        <v>348</v>
      </c>
      <c r="AU48" s="3" t="str">
        <f>HYPERLINK("https://icf.clappia.com/app/GMB253374/submission/GNZ57999784/ICF247370-GMB253374-4cjm83gna4kg00000000/SIG-20250630_1530h61nk.jpeg", "SIG-20250630_1530h61nk.jpeg")</f>
        <v>SIG-20250630_1530h61nk.jpeg</v>
      </c>
      <c r="AV48" s="3" t="str">
        <f>HYPERLINK("https://www.google.com/maps/place/7.9562583%2C-11.7607517", "7.9562583,-11.7607517")</f>
        <v>7.9562583,-11.7607517</v>
      </c>
    </row>
    <row r="49" ht="15.75" customHeight="1">
      <c r="A49" s="1" t="s">
        <v>349</v>
      </c>
      <c r="B49" s="1" t="s">
        <v>207</v>
      </c>
      <c r="C49" s="1" t="s">
        <v>350</v>
      </c>
      <c r="D49" s="1" t="s">
        <v>350</v>
      </c>
      <c r="E49" s="1" t="s">
        <v>351</v>
      </c>
      <c r="F49" s="1" t="s">
        <v>50</v>
      </c>
      <c r="G49" s="1">
        <v>350.0</v>
      </c>
      <c r="H49" s="1" t="s">
        <v>51</v>
      </c>
      <c r="I49" s="1">
        <v>71.0</v>
      </c>
      <c r="J49" s="1" t="s">
        <v>55</v>
      </c>
      <c r="K49" s="1" t="s">
        <v>55</v>
      </c>
      <c r="L49" s="1">
        <v>71.0</v>
      </c>
      <c r="M49" s="1">
        <v>71.0</v>
      </c>
      <c r="N49" s="1" t="s">
        <v>52</v>
      </c>
      <c r="O49" s="1">
        <v>65.0</v>
      </c>
      <c r="P49" s="1" t="s">
        <v>55</v>
      </c>
      <c r="Q49" s="1" t="s">
        <v>55</v>
      </c>
      <c r="R49" s="1">
        <v>65.0</v>
      </c>
      <c r="S49" s="1">
        <v>65.0</v>
      </c>
      <c r="T49" s="1" t="s">
        <v>53</v>
      </c>
      <c r="U49" s="1">
        <v>68.0</v>
      </c>
      <c r="V49" s="1" t="s">
        <v>55</v>
      </c>
      <c r="W49" s="1" t="s">
        <v>55</v>
      </c>
      <c r="X49" s="1">
        <v>68.0</v>
      </c>
      <c r="Y49" s="1">
        <v>68.0</v>
      </c>
      <c r="Z49" s="1" t="s">
        <v>54</v>
      </c>
      <c r="AA49" s="1" t="s">
        <v>55</v>
      </c>
      <c r="AB49" s="1" t="s">
        <v>55</v>
      </c>
      <c r="AC49" s="1" t="s">
        <v>55</v>
      </c>
      <c r="AD49" s="1" t="s">
        <v>55</v>
      </c>
      <c r="AE49" s="1" t="s">
        <v>55</v>
      </c>
      <c r="AF49" s="1" t="s">
        <v>56</v>
      </c>
      <c r="AG49" s="1" t="s">
        <v>55</v>
      </c>
      <c r="AH49" s="1" t="s">
        <v>55</v>
      </c>
      <c r="AI49" s="1" t="s">
        <v>55</v>
      </c>
      <c r="AJ49" s="1" t="s">
        <v>55</v>
      </c>
      <c r="AK49" s="1" t="s">
        <v>55</v>
      </c>
      <c r="AL49" s="1">
        <v>204.0</v>
      </c>
      <c r="AM49" s="1" t="s">
        <v>55</v>
      </c>
      <c r="AN49" s="1">
        <v>146.0</v>
      </c>
      <c r="AO49" s="1">
        <v>146.0</v>
      </c>
      <c r="AP49" s="1" t="s">
        <v>352</v>
      </c>
      <c r="AQ49" s="3" t="str">
        <f>HYPERLINK("https://icf.clappia.com/app/GMB253374/submission/KCU17181476/ICF247370-GMB253374-5ial0f3n2ce000000000/SIG-20250630_11121a8dml.jpeg", "SIG-20250630_11121a8dml.jpeg")</f>
        <v>SIG-20250630_11121a8dml.jpeg</v>
      </c>
      <c r="AR49" s="1" t="s">
        <v>353</v>
      </c>
      <c r="AS49" s="3" t="str">
        <f>HYPERLINK("https://icf.clappia.com/app/GMB253374/submission/KCU17181476/ICF247370-GMB253374-4i25bmcl41b200000000/SIG-20250630_111375nd8.jpeg", "SIG-20250630_111375nd8.jpeg")</f>
        <v>SIG-20250630_111375nd8.jpeg</v>
      </c>
      <c r="AT49" s="1" t="s">
        <v>354</v>
      </c>
      <c r="AU49" s="3" t="str">
        <f>HYPERLINK("https://icf.clappia.com/app/GMB253374/submission/KCU17181476/ICF247370-GMB253374-55m3m298flim00000000/SIG-20250630_111418d282.jpeg", "SIG-20250630_111418d282.jpeg")</f>
        <v>SIG-20250630_111418d282.jpeg</v>
      </c>
      <c r="AV49" s="3" t="str">
        <f>HYPERLINK("https://www.google.com/maps/place/7.9299644%2C-11.5857406", "7.9299644,-11.5857406")</f>
        <v>7.9299644,-11.5857406</v>
      </c>
    </row>
    <row r="50" ht="15.75" customHeight="1">
      <c r="A50" s="1" t="s">
        <v>355</v>
      </c>
      <c r="B50" s="1" t="s">
        <v>356</v>
      </c>
      <c r="C50" s="1" t="s">
        <v>350</v>
      </c>
      <c r="D50" s="1" t="s">
        <v>350</v>
      </c>
      <c r="E50" s="1" t="s">
        <v>357</v>
      </c>
      <c r="F50" s="1" t="s">
        <v>50</v>
      </c>
      <c r="G50" s="1">
        <v>198.0</v>
      </c>
      <c r="H50" s="1" t="s">
        <v>51</v>
      </c>
      <c r="I50" s="1">
        <v>63.0</v>
      </c>
      <c r="J50" s="1">
        <v>25.0</v>
      </c>
      <c r="K50" s="1">
        <v>23.0</v>
      </c>
      <c r="L50" s="1">
        <v>38.0</v>
      </c>
      <c r="M50" s="1">
        <v>35.0</v>
      </c>
      <c r="N50" s="1" t="s">
        <v>52</v>
      </c>
      <c r="O50" s="1">
        <v>36.0</v>
      </c>
      <c r="P50" s="1">
        <v>15.0</v>
      </c>
      <c r="Q50" s="1">
        <v>13.0</v>
      </c>
      <c r="R50" s="1">
        <v>21.0</v>
      </c>
      <c r="S50" s="1">
        <v>20.0</v>
      </c>
      <c r="T50" s="1" t="s">
        <v>53</v>
      </c>
      <c r="U50" s="1">
        <v>45.0</v>
      </c>
      <c r="V50" s="1">
        <v>28.0</v>
      </c>
      <c r="W50" s="1">
        <v>28.0</v>
      </c>
      <c r="X50" s="1">
        <v>17.0</v>
      </c>
      <c r="Y50" s="1">
        <v>17.0</v>
      </c>
      <c r="Z50" s="1" t="s">
        <v>54</v>
      </c>
      <c r="AA50" s="1">
        <v>34.0</v>
      </c>
      <c r="AB50" s="1">
        <v>15.0</v>
      </c>
      <c r="AC50" s="1">
        <v>11.0</v>
      </c>
      <c r="AD50" s="1">
        <v>19.0</v>
      </c>
      <c r="AE50" s="1">
        <v>17.0</v>
      </c>
      <c r="AF50" s="1" t="s">
        <v>56</v>
      </c>
      <c r="AG50" s="1">
        <v>43.0</v>
      </c>
      <c r="AH50" s="1">
        <v>21.0</v>
      </c>
      <c r="AI50" s="1">
        <v>13.0</v>
      </c>
      <c r="AJ50" s="1">
        <v>22.0</v>
      </c>
      <c r="AK50" s="1">
        <v>8.0</v>
      </c>
      <c r="AL50" s="1">
        <v>185.0</v>
      </c>
      <c r="AM50" s="1" t="s">
        <v>55</v>
      </c>
      <c r="AN50" s="1">
        <v>13.0</v>
      </c>
      <c r="AO50" s="1">
        <v>13.0</v>
      </c>
      <c r="AP50" s="1" t="s">
        <v>358</v>
      </c>
      <c r="AQ50" s="3" t="str">
        <f>HYPERLINK("https://icf.clappia.com/app/GMB253374/submission/TDM41196191/ICF247370-GMB253374-1g23g0na7c86k000000/SIG-20250630_120819ffp8.jpeg", "SIG-20250630_120819ffp8.jpeg")</f>
        <v>SIG-20250630_120819ffp8.jpeg</v>
      </c>
      <c r="AR50" s="1" t="s">
        <v>55</v>
      </c>
      <c r="AS50" s="3" t="str">
        <f>HYPERLINK("https://icf.clappia.com/app/GMB253374/submission/TDM41196191/ICF247370-GMB253374-5o3bl6f0fhek00000000/SIG-20250630_152950424.jpeg", "SIG-20250630_152950424.jpeg")</f>
        <v>SIG-20250630_152950424.jpeg</v>
      </c>
      <c r="AT50" s="1" t="s">
        <v>55</v>
      </c>
      <c r="AU50" s="3" t="str">
        <f>HYPERLINK("https://icf.clappia.com/app/GMB253374/submission/TDM41196191/ICF247370-GMB253374-1c34ic2iai6ik0000000/SIG-20250630_1529117g0d.jpeg", "SIG-20250630_1529117g0d.jpeg")</f>
        <v>SIG-20250630_1529117g0d.jpeg</v>
      </c>
      <c r="AV50" s="3" t="str">
        <f>HYPERLINK("https://www.google.com/maps/place/7.6806783%2C-11.9209083", "7.6806783,-11.9209083")</f>
        <v>7.6806783,-11.9209083</v>
      </c>
    </row>
    <row r="51" ht="15.75" customHeight="1">
      <c r="A51" s="1" t="s">
        <v>359</v>
      </c>
      <c r="B51" s="1" t="s">
        <v>46</v>
      </c>
      <c r="C51" s="1" t="s">
        <v>360</v>
      </c>
      <c r="D51" s="1" t="s">
        <v>360</v>
      </c>
      <c r="E51" s="1" t="s">
        <v>361</v>
      </c>
      <c r="F51" s="1" t="s">
        <v>50</v>
      </c>
      <c r="G51" s="1">
        <v>250.0</v>
      </c>
      <c r="H51" s="1" t="s">
        <v>51</v>
      </c>
      <c r="I51" s="1">
        <v>116.0</v>
      </c>
      <c r="J51" s="1">
        <v>60.0</v>
      </c>
      <c r="K51" s="1">
        <v>60.0</v>
      </c>
      <c r="L51" s="1">
        <v>56.0</v>
      </c>
      <c r="M51" s="1">
        <v>56.0</v>
      </c>
      <c r="N51" s="1" t="s">
        <v>52</v>
      </c>
      <c r="O51" s="1">
        <v>67.0</v>
      </c>
      <c r="P51" s="1">
        <v>36.0</v>
      </c>
      <c r="Q51" s="1">
        <v>36.0</v>
      </c>
      <c r="R51" s="1">
        <v>31.0</v>
      </c>
      <c r="S51" s="1">
        <v>31.0</v>
      </c>
      <c r="T51" s="1" t="s">
        <v>53</v>
      </c>
      <c r="U51" s="1">
        <v>64.0</v>
      </c>
      <c r="V51" s="1">
        <v>38.0</v>
      </c>
      <c r="W51" s="1">
        <v>38.0</v>
      </c>
      <c r="X51" s="1">
        <v>26.0</v>
      </c>
      <c r="Y51" s="1">
        <v>26.0</v>
      </c>
      <c r="Z51" s="1" t="s">
        <v>54</v>
      </c>
      <c r="AA51" s="1">
        <v>50.0</v>
      </c>
      <c r="AB51" s="1">
        <v>22.0</v>
      </c>
      <c r="AC51" s="1" t="s">
        <v>55</v>
      </c>
      <c r="AD51" s="1">
        <v>28.0</v>
      </c>
      <c r="AE51" s="1" t="s">
        <v>55</v>
      </c>
      <c r="AF51" s="1" t="s">
        <v>56</v>
      </c>
      <c r="AG51" s="1">
        <v>28.0</v>
      </c>
      <c r="AH51" s="1">
        <v>23.0</v>
      </c>
      <c r="AI51" s="1" t="s">
        <v>55</v>
      </c>
      <c r="AJ51" s="1" t="s">
        <v>362</v>
      </c>
      <c r="AK51" s="1" t="s">
        <v>55</v>
      </c>
      <c r="AL51" s="1">
        <v>247.0</v>
      </c>
      <c r="AM51" s="1" t="s">
        <v>55</v>
      </c>
      <c r="AN51" s="1">
        <v>3.0</v>
      </c>
      <c r="AO51" s="1">
        <v>3.0</v>
      </c>
      <c r="AP51" s="1" t="s">
        <v>363</v>
      </c>
      <c r="AQ51" s="3" t="str">
        <f>HYPERLINK("https://icf.clappia.com/app/GMB253374/submission/GNA16808268/ICF247370-GMB253374-5phakh3h2ji600000000/SIG-20250630_1232ilecb.jpeg", "SIG-20250630_1232ilecb.jpeg")</f>
        <v>SIG-20250630_1232ilecb.jpeg</v>
      </c>
      <c r="AR51" s="1" t="s">
        <v>364</v>
      </c>
      <c r="AS51" s="3" t="str">
        <f>HYPERLINK("https://icf.clappia.com/app/GMB253374/submission/GNA16808268/ICF247370-GMB253374-1d9ajd1do38mc0000000/SIG-20250630_1234eni63.jpeg", "SIG-20250630_1234eni63.jpeg")</f>
        <v>SIG-20250630_1234eni63.jpeg</v>
      </c>
      <c r="AT51" s="1" t="s">
        <v>365</v>
      </c>
      <c r="AU51" s="3" t="str">
        <f>HYPERLINK("https://icf.clappia.com/app/GMB253374/submission/GNA16808268/ICF247370-GMB253374-1612ok1419i480000000/SIG-20250630_1235jbjb9.jpeg", "SIG-20250630_1235jbjb9.jpeg")</f>
        <v>SIG-20250630_1235jbjb9.jpeg</v>
      </c>
      <c r="AV51" s="3" t="str">
        <f>HYPERLINK("https://www.google.com/maps/place/7.5541522%2C-11.9239312", "7.5541522,-11.9239312")</f>
        <v>7.5541522,-11.9239312</v>
      </c>
    </row>
    <row r="52" ht="15.75" customHeight="1">
      <c r="A52" s="1" t="s">
        <v>366</v>
      </c>
      <c r="B52" s="1" t="s">
        <v>46</v>
      </c>
      <c r="C52" s="1" t="s">
        <v>360</v>
      </c>
      <c r="D52" s="1" t="s">
        <v>360</v>
      </c>
      <c r="E52" s="1" t="s">
        <v>367</v>
      </c>
      <c r="F52" s="1" t="s">
        <v>50</v>
      </c>
      <c r="G52" s="1">
        <v>200.0</v>
      </c>
      <c r="H52" s="1" t="s">
        <v>51</v>
      </c>
      <c r="I52" s="1">
        <v>65.0</v>
      </c>
      <c r="J52" s="1">
        <v>31.0</v>
      </c>
      <c r="K52" s="1">
        <v>31.0</v>
      </c>
      <c r="L52" s="1">
        <v>34.0</v>
      </c>
      <c r="M52" s="1">
        <v>34.0</v>
      </c>
      <c r="N52" s="1" t="s">
        <v>52</v>
      </c>
      <c r="O52" s="1">
        <v>54.0</v>
      </c>
      <c r="P52" s="1">
        <v>29.0</v>
      </c>
      <c r="Q52" s="1">
        <v>29.0</v>
      </c>
      <c r="R52" s="1">
        <v>25.0</v>
      </c>
      <c r="S52" s="1">
        <v>25.0</v>
      </c>
      <c r="T52" s="1" t="s">
        <v>53</v>
      </c>
      <c r="U52" s="1">
        <v>62.0</v>
      </c>
      <c r="V52" s="1">
        <v>30.0</v>
      </c>
      <c r="W52" s="1">
        <v>30.0</v>
      </c>
      <c r="X52" s="1">
        <v>32.0</v>
      </c>
      <c r="Y52" s="1">
        <v>32.0</v>
      </c>
      <c r="Z52" s="1" t="s">
        <v>54</v>
      </c>
      <c r="AA52" s="1" t="s">
        <v>55</v>
      </c>
      <c r="AB52" s="1" t="s">
        <v>55</v>
      </c>
      <c r="AC52" s="1" t="s">
        <v>55</v>
      </c>
      <c r="AD52" s="1" t="s">
        <v>55</v>
      </c>
      <c r="AE52" s="1" t="s">
        <v>55</v>
      </c>
      <c r="AF52" s="1" t="s">
        <v>56</v>
      </c>
      <c r="AG52" s="1" t="s">
        <v>55</v>
      </c>
      <c r="AH52" s="1" t="s">
        <v>55</v>
      </c>
      <c r="AI52" s="1" t="s">
        <v>55</v>
      </c>
      <c r="AJ52" s="1" t="s">
        <v>55</v>
      </c>
      <c r="AK52" s="1" t="s">
        <v>55</v>
      </c>
      <c r="AL52" s="1">
        <v>181.0</v>
      </c>
      <c r="AM52" s="1" t="s">
        <v>55</v>
      </c>
      <c r="AN52" s="1">
        <v>19.0</v>
      </c>
      <c r="AO52" s="1">
        <v>19.0</v>
      </c>
      <c r="AP52" s="1" t="s">
        <v>368</v>
      </c>
      <c r="AQ52" s="3" t="str">
        <f>HYPERLINK("https://icf.clappia.com/app/GMB253374/submission/VQJ46134725/ICF247370-GMB253374-5hl6anl1inm000000000/SIG-20250630_11535o9k4.jpeg", "SIG-20250630_11535o9k4.jpeg")</f>
        <v>SIG-20250630_11535o9k4.jpeg</v>
      </c>
      <c r="AR52" s="1" t="s">
        <v>369</v>
      </c>
      <c r="AS52" s="3" t="str">
        <f>HYPERLINK("https://icf.clappia.com/app/GMB253374/submission/VQJ46134725/ICF247370-GMB253374-58op09ko5g8600000000/SIG-20250630_115318d1l2.jpeg", "SIG-20250630_115318d1l2.jpeg")</f>
        <v>SIG-20250630_115318d1l2.jpeg</v>
      </c>
      <c r="AT52" s="1" t="s">
        <v>370</v>
      </c>
      <c r="AU52" s="3" t="str">
        <f>HYPERLINK("https://icf.clappia.com/app/GMB253374/submission/VQJ46134725/ICF247370-GMB253374-5bigh67nc66g00000000/SIG-20250630_1155c2g23.jpeg", "SIG-20250630_1155c2g23.jpeg")</f>
        <v>SIG-20250630_1155c2g23.jpeg</v>
      </c>
      <c r="AV52" s="3" t="str">
        <f>HYPERLINK("https://www.google.com/maps/place/7.6431183%2C-11.792485", "7.6431183,-11.792485")</f>
        <v>7.6431183,-11.792485</v>
      </c>
    </row>
    <row r="53" ht="15.75" customHeight="1">
      <c r="A53" s="1" t="s">
        <v>371</v>
      </c>
      <c r="B53" s="1" t="s">
        <v>188</v>
      </c>
      <c r="C53" s="1" t="s">
        <v>360</v>
      </c>
      <c r="D53" s="1" t="s">
        <v>360</v>
      </c>
      <c r="E53" s="1" t="s">
        <v>372</v>
      </c>
      <c r="F53" s="1" t="s">
        <v>50</v>
      </c>
      <c r="G53" s="1">
        <v>300.0</v>
      </c>
      <c r="H53" s="1" t="s">
        <v>51</v>
      </c>
      <c r="I53" s="1">
        <v>73.0</v>
      </c>
      <c r="J53" s="1">
        <v>33.0</v>
      </c>
      <c r="K53" s="1">
        <v>31.0</v>
      </c>
      <c r="L53" s="1">
        <v>40.0</v>
      </c>
      <c r="M53" s="1">
        <v>38.0</v>
      </c>
      <c r="N53" s="1" t="s">
        <v>52</v>
      </c>
      <c r="O53" s="1">
        <v>56.0</v>
      </c>
      <c r="P53" s="1">
        <v>26.0</v>
      </c>
      <c r="Q53" s="1">
        <v>24.0</v>
      </c>
      <c r="R53" s="1">
        <v>30.0</v>
      </c>
      <c r="S53" s="1">
        <v>27.0</v>
      </c>
      <c r="T53" s="1" t="s">
        <v>53</v>
      </c>
      <c r="U53" s="1">
        <v>50.0</v>
      </c>
      <c r="V53" s="1">
        <v>19.0</v>
      </c>
      <c r="W53" s="1">
        <v>17.0</v>
      </c>
      <c r="X53" s="1">
        <v>31.0</v>
      </c>
      <c r="Y53" s="1">
        <v>29.0</v>
      </c>
      <c r="Z53" s="1" t="s">
        <v>54</v>
      </c>
      <c r="AA53" s="1">
        <v>29.0</v>
      </c>
      <c r="AB53" s="1">
        <v>21.0</v>
      </c>
      <c r="AC53" s="1">
        <v>18.0</v>
      </c>
      <c r="AD53" s="1">
        <v>8.0</v>
      </c>
      <c r="AE53" s="1">
        <v>8.0</v>
      </c>
      <c r="AF53" s="1" t="s">
        <v>56</v>
      </c>
      <c r="AG53" s="1">
        <v>25.0</v>
      </c>
      <c r="AH53" s="1">
        <v>14.0</v>
      </c>
      <c r="AI53" s="1">
        <v>14.0</v>
      </c>
      <c r="AJ53" s="1">
        <v>11.0</v>
      </c>
      <c r="AK53" s="1">
        <v>11.0</v>
      </c>
      <c r="AL53" s="1">
        <v>217.0</v>
      </c>
      <c r="AM53" s="1" t="s">
        <v>55</v>
      </c>
      <c r="AN53" s="1">
        <v>83.0</v>
      </c>
      <c r="AO53" s="1">
        <v>83.0</v>
      </c>
      <c r="AP53" s="1" t="s">
        <v>373</v>
      </c>
      <c r="AQ53" s="3" t="str">
        <f>HYPERLINK("https://icf.clappia.com/app/GMB253374/submission/PSV31572533/ICF247370-GMB253374-4nheocnfn00800000000/SIG-20250630_1521hdnm4.jpeg", "SIG-20250630_1521hdnm4.jpeg")</f>
        <v>SIG-20250630_1521hdnm4.jpeg</v>
      </c>
      <c r="AR53" s="1" t="s">
        <v>374</v>
      </c>
      <c r="AS53" s="3" t="str">
        <f>HYPERLINK("https://icf.clappia.com/app/GMB253374/submission/PSV31572533/ICF247370-GMB253374-1j2eha6771mo00000000/SIG-20250630_1522on8e3.jpeg", "SIG-20250630_1522on8e3.jpeg")</f>
        <v>SIG-20250630_1522on8e3.jpeg</v>
      </c>
      <c r="AT53" s="1" t="s">
        <v>375</v>
      </c>
      <c r="AU53" s="3" t="str">
        <f>HYPERLINK("https://icf.clappia.com/app/GMB253374/submission/PSV31572533/ICF247370-GMB253374-1f07o9d13d86c0000000/SIG-20250630_1523a606g.jpeg", "SIG-20250630_1523a606g.jpeg")</f>
        <v>SIG-20250630_1523a606g.jpeg</v>
      </c>
      <c r="AV53" s="3" t="str">
        <f>HYPERLINK("https://www.google.com/maps/place/8.0708742%2C-11.8202222", "8.0708742,-11.8202222")</f>
        <v>8.0708742,-11.8202222</v>
      </c>
    </row>
    <row r="54" ht="15.75" customHeight="1">
      <c r="A54" s="1" t="s">
        <v>376</v>
      </c>
      <c r="B54" s="1" t="s">
        <v>276</v>
      </c>
      <c r="C54" s="1" t="s">
        <v>377</v>
      </c>
      <c r="D54" s="1" t="s">
        <v>377</v>
      </c>
      <c r="E54" s="1" t="s">
        <v>378</v>
      </c>
      <c r="F54" s="1" t="s">
        <v>50</v>
      </c>
      <c r="G54" s="1">
        <v>150.0</v>
      </c>
      <c r="H54" s="1" t="s">
        <v>51</v>
      </c>
      <c r="I54" s="1">
        <v>45.0</v>
      </c>
      <c r="J54" s="1">
        <v>25.0</v>
      </c>
      <c r="K54" s="1">
        <v>18.0</v>
      </c>
      <c r="L54" s="1">
        <v>20.0</v>
      </c>
      <c r="M54" s="1">
        <v>17.0</v>
      </c>
      <c r="N54" s="1" t="s">
        <v>52</v>
      </c>
      <c r="O54" s="1">
        <v>34.0</v>
      </c>
      <c r="P54" s="1">
        <v>18.0</v>
      </c>
      <c r="Q54" s="1">
        <v>14.0</v>
      </c>
      <c r="R54" s="1">
        <v>16.0</v>
      </c>
      <c r="S54" s="1">
        <v>11.0</v>
      </c>
      <c r="T54" s="1" t="s">
        <v>53</v>
      </c>
      <c r="U54" s="1">
        <v>29.0</v>
      </c>
      <c r="V54" s="1">
        <v>15.0</v>
      </c>
      <c r="W54" s="1">
        <v>12.0</v>
      </c>
      <c r="X54" s="1">
        <v>14.0</v>
      </c>
      <c r="Y54" s="1">
        <v>13.0</v>
      </c>
      <c r="Z54" s="1" t="s">
        <v>54</v>
      </c>
      <c r="AA54" s="1">
        <v>21.0</v>
      </c>
      <c r="AB54" s="1">
        <v>10.0</v>
      </c>
      <c r="AC54" s="1">
        <v>9.0</v>
      </c>
      <c r="AD54" s="1">
        <v>11.0</v>
      </c>
      <c r="AE54" s="1">
        <v>9.0</v>
      </c>
      <c r="AF54" s="1" t="s">
        <v>56</v>
      </c>
      <c r="AG54" s="1">
        <v>19.0</v>
      </c>
      <c r="AH54" s="1">
        <v>9.0</v>
      </c>
      <c r="AI54" s="1">
        <v>7.0</v>
      </c>
      <c r="AJ54" s="1">
        <v>10.0</v>
      </c>
      <c r="AK54" s="1">
        <v>6.0</v>
      </c>
      <c r="AL54" s="1">
        <v>116.0</v>
      </c>
      <c r="AM54" s="1" t="s">
        <v>55</v>
      </c>
      <c r="AN54" s="1">
        <v>34.0</v>
      </c>
      <c r="AO54" s="1">
        <v>34.0</v>
      </c>
      <c r="AP54" s="1" t="s">
        <v>379</v>
      </c>
      <c r="AQ54" s="3" t="str">
        <f>HYPERLINK("https://icf.clappia.com/app/GMB253374/submission/PKA26662408/ICF247370-GMB253374-g86np2n59loc0000000/SIG-20250630_1453lp4h5.jpeg", "SIG-20250630_1453lp4h5.jpeg")</f>
        <v>SIG-20250630_1453lp4h5.jpeg</v>
      </c>
      <c r="AR54" s="1" t="s">
        <v>380</v>
      </c>
      <c r="AS54" s="3" t="str">
        <f>HYPERLINK("https://icf.clappia.com/app/GMB253374/submission/PKA26662408/ICF247370-GMB253374-58ipnfodd91e00000000/SIG-20250630_145413ghbn.jpeg", "SIG-20250630_145413ghbn.jpeg")</f>
        <v>SIG-20250630_145413ghbn.jpeg</v>
      </c>
      <c r="AT54" s="1" t="s">
        <v>381</v>
      </c>
      <c r="AU54" s="3" t="str">
        <f>HYPERLINK("https://icf.clappia.com/app/GMB253374/submission/PKA26662408/ICF247370-GMB253374-l15dj6e97feg0000000/SIG-20250630_145519ebg2.jpeg", "SIG-20250630_145519ebg2.jpeg")</f>
        <v>SIG-20250630_145519ebg2.jpeg</v>
      </c>
      <c r="AV54" s="3" t="str">
        <f>HYPERLINK("https://www.google.com/maps/place/7.8171827%2C-11.6273322", "7.8171827,-11.6273322")</f>
        <v>7.8171827,-11.6273322</v>
      </c>
    </row>
    <row r="55" ht="15.75" customHeight="1">
      <c r="A55" s="1" t="s">
        <v>382</v>
      </c>
      <c r="B55" s="1" t="s">
        <v>236</v>
      </c>
      <c r="C55" s="1" t="s">
        <v>70</v>
      </c>
      <c r="D55" s="1" t="s">
        <v>70</v>
      </c>
      <c r="E55" s="1" t="s">
        <v>383</v>
      </c>
      <c r="F55" s="1" t="s">
        <v>50</v>
      </c>
      <c r="G55" s="1">
        <v>150.0</v>
      </c>
      <c r="H55" s="1" t="s">
        <v>51</v>
      </c>
      <c r="I55" s="1">
        <v>52.0</v>
      </c>
      <c r="J55" s="1">
        <v>25.0</v>
      </c>
      <c r="K55" s="1">
        <v>25.0</v>
      </c>
      <c r="L55" s="1">
        <v>27.0</v>
      </c>
      <c r="M55" s="1">
        <v>27.0</v>
      </c>
      <c r="N55" s="1" t="s">
        <v>52</v>
      </c>
      <c r="O55" s="1">
        <v>24.0</v>
      </c>
      <c r="P55" s="1">
        <v>11.0</v>
      </c>
      <c r="Q55" s="1">
        <v>11.0</v>
      </c>
      <c r="R55" s="1">
        <v>13.0</v>
      </c>
      <c r="S55" s="1">
        <v>13.0</v>
      </c>
      <c r="T55" s="1" t="s">
        <v>53</v>
      </c>
      <c r="U55" s="1">
        <v>26.0</v>
      </c>
      <c r="V55" s="1">
        <v>12.0</v>
      </c>
      <c r="W55" s="1">
        <v>12.0</v>
      </c>
      <c r="X55" s="1">
        <v>14.0</v>
      </c>
      <c r="Y55" s="1">
        <v>14.0</v>
      </c>
      <c r="Z55" s="1" t="s">
        <v>54</v>
      </c>
      <c r="AA55" s="1">
        <v>24.0</v>
      </c>
      <c r="AB55" s="1">
        <v>14.0</v>
      </c>
      <c r="AC55" s="1">
        <v>14.0</v>
      </c>
      <c r="AD55" s="1">
        <v>10.0</v>
      </c>
      <c r="AE55" s="1">
        <v>10.0</v>
      </c>
      <c r="AF55" s="1" t="s">
        <v>56</v>
      </c>
      <c r="AG55" s="1">
        <v>15.0</v>
      </c>
      <c r="AH55" s="1">
        <v>10.0</v>
      </c>
      <c r="AI55" s="1">
        <v>10.0</v>
      </c>
      <c r="AJ55" s="1">
        <v>5.0</v>
      </c>
      <c r="AK55" s="1">
        <v>5.0</v>
      </c>
      <c r="AL55" s="1">
        <v>141.0</v>
      </c>
      <c r="AM55" s="1" t="s">
        <v>55</v>
      </c>
      <c r="AN55" s="1">
        <v>9.0</v>
      </c>
      <c r="AO55" s="1">
        <v>-141.0</v>
      </c>
      <c r="AP55" s="1" t="s">
        <v>384</v>
      </c>
      <c r="AQ55" s="3" t="str">
        <f>HYPERLINK("https://icf.clappia.com/app/GMB253374/submission/JEI94758272/ICF247370-GMB253374-5a5mlbk7hioi0000000/SIG-20250630_15131adgmg.jpeg", "SIG-20250630_15131adgmg.jpeg")</f>
        <v>SIG-20250630_15131adgmg.jpeg</v>
      </c>
      <c r="AR55" s="1" t="s">
        <v>385</v>
      </c>
      <c r="AS55" s="3" t="str">
        <f>HYPERLINK("https://icf.clappia.com/app/GMB253374/submission/JEI94758272/ICF247370-GMB253374-3neaade34lf400000000/SIG-20250630_1513f2e36.jpeg", "SIG-20250630_1513f2e36.jpeg")</f>
        <v>SIG-20250630_1513f2e36.jpeg</v>
      </c>
      <c r="AT55" s="1" t="s">
        <v>386</v>
      </c>
      <c r="AU55" s="3" t="str">
        <f>HYPERLINK("https://icf.clappia.com/app/GMB253374/submission/JEI94758272/ICF247370-GMB253374-4nf9ggk6gok200000000/SIG-20250630_1514ik6je.jpeg", "SIG-20250630_1514ik6je.jpeg")</f>
        <v>SIG-20250630_1514ik6je.jpeg</v>
      </c>
      <c r="AV55" s="3" t="str">
        <f>HYPERLINK("https://www.google.com/maps/place/7.7802467%2C-11.7243233", "7.7802467,-11.7243233")</f>
        <v>7.7802467,-11.7243233</v>
      </c>
    </row>
    <row r="56" ht="15.75" customHeight="1">
      <c r="A56" s="1" t="s">
        <v>387</v>
      </c>
      <c r="B56" s="1" t="s">
        <v>388</v>
      </c>
      <c r="C56" s="1" t="s">
        <v>389</v>
      </c>
      <c r="D56" s="1" t="s">
        <v>389</v>
      </c>
      <c r="E56" s="1" t="s">
        <v>390</v>
      </c>
      <c r="F56" s="1" t="s">
        <v>50</v>
      </c>
      <c r="G56" s="1">
        <v>300.0</v>
      </c>
      <c r="H56" s="1" t="s">
        <v>51</v>
      </c>
      <c r="I56" s="1">
        <v>77.0</v>
      </c>
      <c r="J56" s="1">
        <v>37.0</v>
      </c>
      <c r="K56" s="1">
        <v>34.0</v>
      </c>
      <c r="L56" s="1">
        <v>39.0</v>
      </c>
      <c r="M56" s="1">
        <v>36.0</v>
      </c>
      <c r="N56" s="1" t="s">
        <v>52</v>
      </c>
      <c r="O56" s="1">
        <v>56.0</v>
      </c>
      <c r="P56" s="1">
        <v>25.0</v>
      </c>
      <c r="Q56" s="1">
        <v>24.0</v>
      </c>
      <c r="R56" s="1">
        <v>31.0</v>
      </c>
      <c r="S56" s="1">
        <v>30.0</v>
      </c>
      <c r="T56" s="1" t="s">
        <v>53</v>
      </c>
      <c r="U56" s="1">
        <v>62.0</v>
      </c>
      <c r="V56" s="1">
        <v>30.0</v>
      </c>
      <c r="W56" s="1">
        <v>26.0</v>
      </c>
      <c r="X56" s="1">
        <v>32.0</v>
      </c>
      <c r="Y56" s="1">
        <v>30.0</v>
      </c>
      <c r="Z56" s="1" t="s">
        <v>54</v>
      </c>
      <c r="AA56" s="1">
        <v>61.0</v>
      </c>
      <c r="AB56" s="1">
        <v>30.0</v>
      </c>
      <c r="AC56" s="1">
        <v>28.0</v>
      </c>
      <c r="AD56" s="1">
        <v>30.0</v>
      </c>
      <c r="AE56" s="1">
        <v>30.0</v>
      </c>
      <c r="AF56" s="1" t="s">
        <v>56</v>
      </c>
      <c r="AG56" s="1">
        <v>54.0</v>
      </c>
      <c r="AH56" s="1">
        <v>25.0</v>
      </c>
      <c r="AI56" s="1">
        <v>24.0</v>
      </c>
      <c r="AJ56" s="1">
        <v>28.0</v>
      </c>
      <c r="AK56" s="1">
        <v>28.0</v>
      </c>
      <c r="AL56" s="1">
        <v>290.0</v>
      </c>
      <c r="AM56" s="1">
        <v>10.0</v>
      </c>
      <c r="AN56" s="1" t="s">
        <v>55</v>
      </c>
      <c r="AO56" s="1" t="s">
        <v>55</v>
      </c>
      <c r="AP56" s="1" t="s">
        <v>391</v>
      </c>
      <c r="AQ56" s="3" t="str">
        <f>HYPERLINK("https://icf.clappia.com/app/GMB253374/submission/BEX11182175/ICF247370-GMB253374-56i5c095n72i00000000/SIG-20250630_150919if00.jpeg", "SIG-20250630_150919if00.jpeg")</f>
        <v>SIG-20250630_150919if00.jpeg</v>
      </c>
      <c r="AR56" s="1" t="s">
        <v>392</v>
      </c>
      <c r="AS56" s="3" t="str">
        <f>HYPERLINK("https://icf.clappia.com/app/GMB253374/submission/BEX11182175/ICF247370-GMB253374-lp2dpen7825m000000/SIG-20250630_1511nijp3.jpeg", "SIG-20250630_1511nijp3.jpeg")</f>
        <v>SIG-20250630_1511nijp3.jpeg</v>
      </c>
      <c r="AT56" s="1" t="s">
        <v>393</v>
      </c>
      <c r="AU56" s="3" t="str">
        <f>HYPERLINK("https://icf.clappia.com/app/GMB253374/submission/BEX11182175/ICF247370-GMB253374-f2ngj376gg140000000/SIG-20250630_1512cngep.jpeg", "SIG-20250630_1512cngep.jpeg")</f>
        <v>SIG-20250630_1512cngep.jpeg</v>
      </c>
      <c r="AV56" s="3" t="str">
        <f>HYPERLINK("https://www.google.com/maps/place/8.8655048%2C-12.1263025", "8.8655048,-12.1263025")</f>
        <v>8.8655048,-12.1263025</v>
      </c>
    </row>
    <row r="57" ht="15.75" customHeight="1">
      <c r="A57" s="1" t="s">
        <v>394</v>
      </c>
      <c r="B57" s="1" t="s">
        <v>111</v>
      </c>
      <c r="C57" s="1" t="s">
        <v>395</v>
      </c>
      <c r="D57" s="1" t="s">
        <v>395</v>
      </c>
      <c r="E57" s="1" t="s">
        <v>396</v>
      </c>
      <c r="F57" s="1" t="s">
        <v>50</v>
      </c>
      <c r="G57" s="1">
        <v>250.0</v>
      </c>
      <c r="H57" s="1" t="s">
        <v>51</v>
      </c>
      <c r="I57" s="1">
        <v>55.0</v>
      </c>
      <c r="J57" s="1">
        <v>25.0</v>
      </c>
      <c r="K57" s="1">
        <v>25.0</v>
      </c>
      <c r="L57" s="1">
        <v>30.0</v>
      </c>
      <c r="M57" s="1">
        <v>20.0</v>
      </c>
      <c r="N57" s="1" t="s">
        <v>52</v>
      </c>
      <c r="O57" s="1">
        <v>52.0</v>
      </c>
      <c r="P57" s="1">
        <v>15.0</v>
      </c>
      <c r="Q57" s="1">
        <v>15.0</v>
      </c>
      <c r="R57" s="1">
        <v>37.0</v>
      </c>
      <c r="S57" s="1">
        <v>25.0</v>
      </c>
      <c r="T57" s="1" t="s">
        <v>53</v>
      </c>
      <c r="U57" s="1">
        <v>49.0</v>
      </c>
      <c r="V57" s="1">
        <v>22.0</v>
      </c>
      <c r="W57" s="1">
        <v>14.0</v>
      </c>
      <c r="X57" s="1">
        <v>27.0</v>
      </c>
      <c r="Y57" s="1">
        <v>19.0</v>
      </c>
      <c r="Z57" s="1" t="s">
        <v>54</v>
      </c>
      <c r="AA57" s="1">
        <v>48.0</v>
      </c>
      <c r="AB57" s="1">
        <v>20.0</v>
      </c>
      <c r="AC57" s="1">
        <v>13.0</v>
      </c>
      <c r="AD57" s="1">
        <v>28.0</v>
      </c>
      <c r="AE57" s="1">
        <v>10.0</v>
      </c>
      <c r="AF57" s="1" t="s">
        <v>56</v>
      </c>
      <c r="AG57" s="1">
        <v>46.0</v>
      </c>
      <c r="AH57" s="1">
        <v>20.0</v>
      </c>
      <c r="AI57" s="1">
        <v>9.0</v>
      </c>
      <c r="AJ57" s="1">
        <v>26.0</v>
      </c>
      <c r="AK57" s="1">
        <v>10.0</v>
      </c>
      <c r="AL57" s="1">
        <v>160.0</v>
      </c>
      <c r="AM57" s="1">
        <v>10.0</v>
      </c>
      <c r="AN57" s="1">
        <v>80.0</v>
      </c>
      <c r="AO57" s="1">
        <v>80.0</v>
      </c>
      <c r="AP57" s="1" t="s">
        <v>397</v>
      </c>
      <c r="AQ57" s="3" t="str">
        <f>HYPERLINK("https://icf.clappia.com/app/GMB253374/submission/NWP49758471/ICF247370-GMB253374-ehc0g5pj92b20000000/SIG-20250630_15119kif1.jpeg", "SIG-20250630_15119kif1.jpeg")</f>
        <v>SIG-20250630_15119kif1.jpeg</v>
      </c>
      <c r="AR57" s="1" t="s">
        <v>398</v>
      </c>
      <c r="AS57" s="3" t="str">
        <f>HYPERLINK("https://icf.clappia.com/app/GMB253374/submission/NWP49758471/ICF247370-GMB253374-28b2dfl4dc4160000000/SIG-20250630_15114lim0.jpeg", "SIG-20250630_15114lim0.jpeg")</f>
        <v>SIG-20250630_15114lim0.jpeg</v>
      </c>
      <c r="AT57" s="1" t="s">
        <v>399</v>
      </c>
      <c r="AU57" s="3" t="str">
        <f>HYPERLINK("https://icf.clappia.com/app/GMB253374/submission/NWP49758471/ICF247370-GMB253374-4h094573of7800000000/SIG-20250630_151217gi7b.jpeg", "SIG-20250630_151217gi7b.jpeg")</f>
        <v>SIG-20250630_151217gi7b.jpeg</v>
      </c>
      <c r="AV57" s="3" t="str">
        <f>HYPERLINK("https://www.google.com/maps/place/7.9418674%2C-11.6856597", "7.9418674,-11.6856597")</f>
        <v>7.9418674,-11.6856597</v>
      </c>
    </row>
    <row r="58" ht="15.75" customHeight="1">
      <c r="A58" s="1" t="s">
        <v>400</v>
      </c>
      <c r="B58" s="1" t="s">
        <v>401</v>
      </c>
      <c r="C58" s="1" t="s">
        <v>402</v>
      </c>
      <c r="D58" s="1" t="s">
        <v>402</v>
      </c>
      <c r="E58" s="1" t="s">
        <v>403</v>
      </c>
      <c r="F58" s="1" t="s">
        <v>50</v>
      </c>
      <c r="G58" s="1">
        <v>151.0</v>
      </c>
      <c r="H58" s="1" t="s">
        <v>51</v>
      </c>
      <c r="I58" s="1">
        <v>62.0</v>
      </c>
      <c r="J58" s="1">
        <v>30.0</v>
      </c>
      <c r="K58" s="1">
        <v>30.0</v>
      </c>
      <c r="L58" s="1">
        <v>32.0</v>
      </c>
      <c r="M58" s="1">
        <v>32.0</v>
      </c>
      <c r="N58" s="1" t="s">
        <v>52</v>
      </c>
      <c r="O58" s="1">
        <v>22.0</v>
      </c>
      <c r="P58" s="1">
        <v>11.0</v>
      </c>
      <c r="Q58" s="1">
        <v>11.0</v>
      </c>
      <c r="R58" s="1">
        <v>11.0</v>
      </c>
      <c r="S58" s="1">
        <v>11.0</v>
      </c>
      <c r="T58" s="1" t="s">
        <v>53</v>
      </c>
      <c r="U58" s="1">
        <v>23.0</v>
      </c>
      <c r="V58" s="1">
        <v>12.0</v>
      </c>
      <c r="W58" s="1">
        <v>12.0</v>
      </c>
      <c r="X58" s="1">
        <v>11.0</v>
      </c>
      <c r="Y58" s="1">
        <v>11.0</v>
      </c>
      <c r="Z58" s="1" t="s">
        <v>54</v>
      </c>
      <c r="AA58" s="1">
        <v>21.0</v>
      </c>
      <c r="AB58" s="1">
        <v>11.0</v>
      </c>
      <c r="AC58" s="1">
        <v>11.0</v>
      </c>
      <c r="AD58" s="1">
        <v>10.0</v>
      </c>
      <c r="AE58" s="1">
        <v>10.0</v>
      </c>
      <c r="AF58" s="1" t="s">
        <v>56</v>
      </c>
      <c r="AG58" s="1">
        <v>23.0</v>
      </c>
      <c r="AH58" s="1">
        <v>10.0</v>
      </c>
      <c r="AI58" s="1">
        <v>10.0</v>
      </c>
      <c r="AJ58" s="1">
        <v>13.0</v>
      </c>
      <c r="AK58" s="1">
        <v>13.0</v>
      </c>
      <c r="AL58" s="1">
        <v>151.0</v>
      </c>
      <c r="AM58" s="1" t="s">
        <v>55</v>
      </c>
      <c r="AN58" s="1" t="s">
        <v>55</v>
      </c>
      <c r="AO58" s="1" t="s">
        <v>55</v>
      </c>
      <c r="AP58" s="1" t="s">
        <v>404</v>
      </c>
      <c r="AQ58" s="3" t="str">
        <f>HYPERLINK("https://icf.clappia.com/app/GMB253374/submission/BHK22612557/ICF247370-GMB253374-3ecaf8okpi8i00000000/SIG-20250630_1506136f8i.jpeg", "SIG-20250630_1506136f8i.jpeg")</f>
        <v>SIG-20250630_1506136f8i.jpeg</v>
      </c>
      <c r="AR58" s="1" t="s">
        <v>405</v>
      </c>
      <c r="AS58" s="3" t="str">
        <f>HYPERLINK("https://icf.clappia.com/app/GMB253374/submission/BHK22612557/ICF247370-GMB253374-6224ec3hdh9m00000000/SIG-20250630_15081825ko.jpeg", "SIG-20250630_15081825ko.jpeg")</f>
        <v>SIG-20250630_15081825ko.jpeg</v>
      </c>
      <c r="AT58" s="1" t="s">
        <v>406</v>
      </c>
      <c r="AU58" s="3" t="str">
        <f>HYPERLINK("https://icf.clappia.com/app/GMB253374/submission/BHK22612557/ICF247370-GMB253374-45850e68j2pe00000000/SIG-20250630_151029f98.jpeg", "SIG-20250630_151029f98.jpeg")</f>
        <v>SIG-20250630_151029f98.jpeg</v>
      </c>
      <c r="AV58" s="3" t="str">
        <f>HYPERLINK("https://www.google.com/maps/place/8.0476499%2C-11.5793433", "8.0476499,-11.5793433")</f>
        <v>8.0476499,-11.5793433</v>
      </c>
    </row>
    <row r="59" ht="15.75" customHeight="1">
      <c r="A59" s="1" t="s">
        <v>407</v>
      </c>
      <c r="B59" s="1" t="s">
        <v>69</v>
      </c>
      <c r="C59" s="1" t="s">
        <v>408</v>
      </c>
      <c r="D59" s="1" t="s">
        <v>408</v>
      </c>
      <c r="E59" s="1" t="s">
        <v>409</v>
      </c>
      <c r="F59" s="1" t="s">
        <v>50</v>
      </c>
      <c r="G59" s="1">
        <v>100.0</v>
      </c>
      <c r="H59" s="1" t="s">
        <v>51</v>
      </c>
      <c r="I59" s="1">
        <v>66.0</v>
      </c>
      <c r="J59" s="1">
        <v>30.0</v>
      </c>
      <c r="K59" s="1">
        <v>20.0</v>
      </c>
      <c r="L59" s="1">
        <v>36.0</v>
      </c>
      <c r="M59" s="1">
        <v>15.0</v>
      </c>
      <c r="N59" s="1" t="s">
        <v>52</v>
      </c>
      <c r="O59" s="1">
        <v>31.0</v>
      </c>
      <c r="P59" s="1">
        <v>15.0</v>
      </c>
      <c r="Q59" s="1">
        <v>8.0</v>
      </c>
      <c r="R59" s="1">
        <v>16.0</v>
      </c>
      <c r="S59" s="1">
        <v>9.0</v>
      </c>
      <c r="T59" s="1" t="s">
        <v>53</v>
      </c>
      <c r="U59" s="1">
        <v>32.0</v>
      </c>
      <c r="V59" s="1">
        <v>14.0</v>
      </c>
      <c r="W59" s="1">
        <v>10.0</v>
      </c>
      <c r="X59" s="1">
        <v>18.0</v>
      </c>
      <c r="Y59" s="1">
        <v>13.0</v>
      </c>
      <c r="Z59" s="1" t="s">
        <v>54</v>
      </c>
      <c r="AA59" s="1">
        <v>18.0</v>
      </c>
      <c r="AB59" s="1">
        <v>8.0</v>
      </c>
      <c r="AC59" s="1">
        <v>5.0</v>
      </c>
      <c r="AD59" s="1">
        <v>10.0</v>
      </c>
      <c r="AE59" s="1">
        <v>7.0</v>
      </c>
      <c r="AF59" s="1" t="s">
        <v>56</v>
      </c>
      <c r="AG59" s="1">
        <v>21.0</v>
      </c>
      <c r="AH59" s="1">
        <v>7.0</v>
      </c>
      <c r="AI59" s="1">
        <v>7.0</v>
      </c>
      <c r="AJ59" s="1">
        <v>14.0</v>
      </c>
      <c r="AK59" s="1">
        <v>2.0</v>
      </c>
      <c r="AL59" s="1">
        <v>96.0</v>
      </c>
      <c r="AM59" s="1">
        <v>4.0</v>
      </c>
      <c r="AN59" s="1" t="s">
        <v>55</v>
      </c>
      <c r="AO59" s="1" t="s">
        <v>55</v>
      </c>
      <c r="AP59" s="1" t="s">
        <v>410</v>
      </c>
      <c r="AQ59" s="3" t="str">
        <f>HYPERLINK("https://icf.clappia.com/app/GMB253374/submission/DHZ53855789/ICF247370-GMB253374-1n3im0lea1gc00000000/SIG-20250630_13401mmab.jpeg", "SIG-20250630_13401mmab.jpeg")</f>
        <v>SIG-20250630_13401mmab.jpeg</v>
      </c>
      <c r="AR59" s="1" t="s">
        <v>411</v>
      </c>
      <c r="AS59" s="3" t="str">
        <f>HYPERLINK("https://icf.clappia.com/app/GMB253374/submission/DHZ53855789/ICF247370-GMB253374-5pk73lkj2fpm00000000/SIG-20250630_1341ei3b0.jpeg", "SIG-20250630_1341ei3b0.jpeg")</f>
        <v>SIG-20250630_1341ei3b0.jpeg</v>
      </c>
      <c r="AT59" s="1" t="s">
        <v>412</v>
      </c>
      <c r="AU59" s="3" t="str">
        <f>HYPERLINK("https://icf.clappia.com/app/GMB253374/submission/DHZ53855789/ICF247370-GMB253374-281aoa9ekje480000000/SIG-20250630_1342ph89d.jpeg", "SIG-20250630_1342ph89d.jpeg")</f>
        <v>SIG-20250630_1342ph89d.jpeg</v>
      </c>
      <c r="AV59" s="3" t="str">
        <f>HYPERLINK("https://www.google.com/maps/place/8.2460233%2C-11.5197267", "8.2460233,-11.5197267")</f>
        <v>8.2460233,-11.5197267</v>
      </c>
    </row>
    <row r="60" ht="15.75" customHeight="1">
      <c r="A60" s="1" t="s">
        <v>413</v>
      </c>
      <c r="B60" s="1" t="s">
        <v>414</v>
      </c>
      <c r="C60" s="1" t="s">
        <v>415</v>
      </c>
      <c r="D60" s="1" t="s">
        <v>415</v>
      </c>
      <c r="E60" s="1" t="s">
        <v>416</v>
      </c>
      <c r="F60" s="1" t="s">
        <v>50</v>
      </c>
      <c r="G60" s="1">
        <v>250.0</v>
      </c>
      <c r="H60" s="1" t="s">
        <v>51</v>
      </c>
      <c r="I60" s="1">
        <v>52.0</v>
      </c>
      <c r="J60" s="1">
        <v>29.0</v>
      </c>
      <c r="K60" s="1">
        <v>25.0</v>
      </c>
      <c r="L60" s="1">
        <v>23.0</v>
      </c>
      <c r="M60" s="1">
        <v>19.0</v>
      </c>
      <c r="N60" s="1" t="s">
        <v>52</v>
      </c>
      <c r="O60" s="1">
        <v>31.0</v>
      </c>
      <c r="P60" s="1">
        <v>16.0</v>
      </c>
      <c r="Q60" s="1">
        <v>16.0</v>
      </c>
      <c r="R60" s="1">
        <v>15.0</v>
      </c>
      <c r="S60" s="1">
        <v>15.0</v>
      </c>
      <c r="T60" s="1" t="s">
        <v>53</v>
      </c>
      <c r="U60" s="1">
        <v>46.0</v>
      </c>
      <c r="V60" s="1">
        <v>26.0</v>
      </c>
      <c r="W60" s="1">
        <v>24.0</v>
      </c>
      <c r="X60" s="1">
        <v>20.0</v>
      </c>
      <c r="Y60" s="1">
        <v>7.0</v>
      </c>
      <c r="Z60" s="1" t="s">
        <v>54</v>
      </c>
      <c r="AA60" s="1">
        <v>53.0</v>
      </c>
      <c r="AB60" s="1">
        <v>27.0</v>
      </c>
      <c r="AC60" s="1">
        <v>17.0</v>
      </c>
      <c r="AD60" s="1">
        <v>26.0</v>
      </c>
      <c r="AE60" s="1">
        <v>18.0</v>
      </c>
      <c r="AF60" s="1" t="s">
        <v>56</v>
      </c>
      <c r="AG60" s="1">
        <v>36.0</v>
      </c>
      <c r="AH60" s="1">
        <v>19.0</v>
      </c>
      <c r="AI60" s="1">
        <v>17.0</v>
      </c>
      <c r="AJ60" s="1">
        <v>17.0</v>
      </c>
      <c r="AK60" s="1">
        <v>15.0</v>
      </c>
      <c r="AL60" s="1">
        <v>173.0</v>
      </c>
      <c r="AM60" s="1" t="s">
        <v>55</v>
      </c>
      <c r="AN60" s="1">
        <v>77.0</v>
      </c>
      <c r="AO60" s="1">
        <v>77.0</v>
      </c>
      <c r="AP60" s="1" t="s">
        <v>417</v>
      </c>
      <c r="AQ60" s="3" t="str">
        <f>HYPERLINK("https://icf.clappia.com/app/GMB253374/submission/QLV53622238/ICF247370-GMB253374-2kmpg8fajdac00000000/SIG-20250630_1314ehj8p.jpeg", "SIG-20250630_1314ehj8p.jpeg")</f>
        <v>SIG-20250630_1314ehj8p.jpeg</v>
      </c>
      <c r="AR60" s="1" t="s">
        <v>418</v>
      </c>
      <c r="AS60" s="3" t="str">
        <f>HYPERLINK("https://icf.clappia.com/app/GMB253374/submission/QLV53622238/ICF247370-GMB253374-4b2pl6j0gbi400000000/SIG-20250630_131513o0ng.jpeg", "SIG-20250630_131513o0ng.jpeg")</f>
        <v>SIG-20250630_131513o0ng.jpeg</v>
      </c>
      <c r="AT60" s="1" t="s">
        <v>419</v>
      </c>
      <c r="AU60" s="3" t="str">
        <f>HYPERLINK("https://icf.clappia.com/app/GMB253374/submission/QLV53622238/ICF247370-GMB253374-5dg7kpceljda00000000/SIG-20250630_131616c66.jpeg", "SIG-20250630_131616c66.jpeg")</f>
        <v>SIG-20250630_131616c66.jpeg</v>
      </c>
      <c r="AV60" s="3" t="str">
        <f>HYPERLINK("https://www.google.com/maps/place/8.7249231%2C-11.9371248", "8.7249231,-11.9371248")</f>
        <v>8.7249231,-11.9371248</v>
      </c>
    </row>
    <row r="61" ht="15.75" customHeight="1">
      <c r="A61" s="1" t="s">
        <v>420</v>
      </c>
      <c r="B61" s="1" t="s">
        <v>169</v>
      </c>
      <c r="C61" s="1" t="s">
        <v>421</v>
      </c>
      <c r="D61" s="1" t="s">
        <v>421</v>
      </c>
      <c r="E61" s="1" t="s">
        <v>422</v>
      </c>
      <c r="F61" s="1" t="s">
        <v>50</v>
      </c>
      <c r="G61" s="1">
        <v>150.0</v>
      </c>
      <c r="H61" s="1" t="s">
        <v>51</v>
      </c>
      <c r="I61" s="1">
        <v>30.0</v>
      </c>
      <c r="J61" s="1">
        <v>13.0</v>
      </c>
      <c r="K61" s="1">
        <v>13.0</v>
      </c>
      <c r="L61" s="1">
        <v>17.0</v>
      </c>
      <c r="M61" s="1">
        <v>17.0</v>
      </c>
      <c r="N61" s="1" t="s">
        <v>52</v>
      </c>
      <c r="O61" s="1">
        <v>21.0</v>
      </c>
      <c r="P61" s="1">
        <v>11.0</v>
      </c>
      <c r="Q61" s="1">
        <v>11.0</v>
      </c>
      <c r="R61" s="1">
        <v>10.0</v>
      </c>
      <c r="S61" s="1">
        <v>10.0</v>
      </c>
      <c r="T61" s="1" t="s">
        <v>53</v>
      </c>
      <c r="U61" s="1">
        <v>25.0</v>
      </c>
      <c r="V61" s="1">
        <v>10.0</v>
      </c>
      <c r="W61" s="1">
        <v>10.0</v>
      </c>
      <c r="X61" s="1">
        <v>15.0</v>
      </c>
      <c r="Y61" s="1">
        <v>15.0</v>
      </c>
      <c r="Z61" s="1" t="s">
        <v>54</v>
      </c>
      <c r="AA61" s="1">
        <v>20.0</v>
      </c>
      <c r="AB61" s="1">
        <v>10.0</v>
      </c>
      <c r="AC61" s="1">
        <v>10.0</v>
      </c>
      <c r="AD61" s="1">
        <v>10.0</v>
      </c>
      <c r="AE61" s="1">
        <v>10.0</v>
      </c>
      <c r="AF61" s="1" t="s">
        <v>56</v>
      </c>
      <c r="AG61" s="1">
        <v>7.0</v>
      </c>
      <c r="AH61" s="1">
        <v>3.0</v>
      </c>
      <c r="AI61" s="1">
        <v>3.0</v>
      </c>
      <c r="AJ61" s="1">
        <v>4.0</v>
      </c>
      <c r="AK61" s="1">
        <v>4.0</v>
      </c>
      <c r="AL61" s="1">
        <v>103.0</v>
      </c>
      <c r="AM61" s="1" t="s">
        <v>55</v>
      </c>
      <c r="AN61" s="1">
        <v>47.0</v>
      </c>
      <c r="AO61" s="1">
        <v>47.0</v>
      </c>
      <c r="AP61" s="1" t="s">
        <v>423</v>
      </c>
      <c r="AQ61" s="3" t="str">
        <f>HYPERLINK("https://icf.clappia.com/app/GMB253374/submission/DDI12530961/ICF247370-GMB253374-12ek1h1o46c160000000/SIG-20250630_1502pjff4.jpeg", "SIG-20250630_1502pjff4.jpeg")</f>
        <v>SIG-20250630_1502pjff4.jpeg</v>
      </c>
      <c r="AR61" s="1" t="s">
        <v>424</v>
      </c>
      <c r="AS61" s="3" t="str">
        <f>HYPERLINK("https://icf.clappia.com/app/GMB253374/submission/DDI12530961/ICF247370-GMB253374-1hgf91ojeg1da0000000/SIG-20250630_1453nldm7.jpeg", "SIG-20250630_1453nldm7.jpeg")</f>
        <v>SIG-20250630_1453nldm7.jpeg</v>
      </c>
      <c r="AT61" s="1" t="s">
        <v>425</v>
      </c>
      <c r="AU61" s="3" t="str">
        <f>HYPERLINK("https://icf.clappia.com/app/GMB253374/submission/DDI12530961/ICF247370-GMB253374-3ailm1pih6he00000000/SIG-20250630_1453mcbl9.jpeg", "SIG-20250630_1453mcbl9.jpeg")</f>
        <v>SIG-20250630_1453mcbl9.jpeg</v>
      </c>
      <c r="AV61" s="3" t="str">
        <f>HYPERLINK("https://www.google.com/maps/place/8.8710247%2C-12.0285668", "8.8710247,-12.0285668")</f>
        <v>8.8710247,-12.0285668</v>
      </c>
    </row>
    <row r="62" ht="15.75" customHeight="1">
      <c r="A62" s="1" t="s">
        <v>426</v>
      </c>
      <c r="B62" s="1" t="s">
        <v>98</v>
      </c>
      <c r="C62" s="1" t="s">
        <v>427</v>
      </c>
      <c r="D62" s="1" t="s">
        <v>427</v>
      </c>
      <c r="E62" s="1" t="s">
        <v>428</v>
      </c>
      <c r="F62" s="1" t="s">
        <v>50</v>
      </c>
      <c r="G62" s="1">
        <v>216.0</v>
      </c>
      <c r="H62" s="1" t="s">
        <v>51</v>
      </c>
      <c r="I62" s="1">
        <v>37.0</v>
      </c>
      <c r="J62" s="1">
        <v>16.0</v>
      </c>
      <c r="K62" s="1">
        <v>16.0</v>
      </c>
      <c r="L62" s="1">
        <v>21.0</v>
      </c>
      <c r="M62" s="1">
        <v>21.0</v>
      </c>
      <c r="N62" s="1" t="s">
        <v>52</v>
      </c>
      <c r="O62" s="1">
        <v>37.0</v>
      </c>
      <c r="P62" s="1">
        <v>16.0</v>
      </c>
      <c r="Q62" s="1">
        <v>16.0</v>
      </c>
      <c r="R62" s="1">
        <v>21.0</v>
      </c>
      <c r="S62" s="1">
        <v>21.0</v>
      </c>
      <c r="T62" s="1" t="s">
        <v>53</v>
      </c>
      <c r="U62" s="1">
        <v>35.0</v>
      </c>
      <c r="V62" s="1">
        <v>13.0</v>
      </c>
      <c r="W62" s="1">
        <v>13.0</v>
      </c>
      <c r="X62" s="1">
        <v>22.0</v>
      </c>
      <c r="Y62" s="1">
        <v>22.0</v>
      </c>
      <c r="Z62" s="1" t="s">
        <v>54</v>
      </c>
      <c r="AA62" s="1">
        <v>36.0</v>
      </c>
      <c r="AB62" s="1">
        <v>16.0</v>
      </c>
      <c r="AC62" s="1">
        <v>16.0</v>
      </c>
      <c r="AD62" s="1">
        <v>20.0</v>
      </c>
      <c r="AE62" s="1">
        <v>20.0</v>
      </c>
      <c r="AF62" s="1" t="s">
        <v>56</v>
      </c>
      <c r="AG62" s="1">
        <v>71.0</v>
      </c>
      <c r="AH62" s="1">
        <v>32.0</v>
      </c>
      <c r="AI62" s="1">
        <v>32.0</v>
      </c>
      <c r="AJ62" s="1">
        <v>39.0</v>
      </c>
      <c r="AK62" s="1">
        <v>39.0</v>
      </c>
      <c r="AL62" s="1">
        <v>216.0</v>
      </c>
      <c r="AM62" s="1" t="s">
        <v>55</v>
      </c>
      <c r="AN62" s="1" t="s">
        <v>55</v>
      </c>
      <c r="AO62" s="1" t="s">
        <v>55</v>
      </c>
      <c r="AP62" s="1" t="s">
        <v>429</v>
      </c>
      <c r="AQ62" s="3" t="str">
        <f>HYPERLINK("https://icf.clappia.com/app/GMB253374/submission/DPU23020700/ICF247370-GMB253374-6ahf6nddodek00000000/SIG-20250630_1452ek9cm.jpeg", "SIG-20250630_1452ek9cm.jpeg")</f>
        <v>SIG-20250630_1452ek9cm.jpeg</v>
      </c>
      <c r="AR62" s="1" t="s">
        <v>430</v>
      </c>
      <c r="AS62" s="3" t="str">
        <f>HYPERLINK("https://icf.clappia.com/app/GMB253374/submission/DPU23020700/ICF247370-GMB253374-4pbp4ag5f08000000000/SIG-20250630_1453l69if.jpeg", "SIG-20250630_1453l69if.jpeg")</f>
        <v>SIG-20250630_1453l69if.jpeg</v>
      </c>
      <c r="AT62" s="1" t="s">
        <v>431</v>
      </c>
      <c r="AU62" s="3" t="str">
        <f>HYPERLINK("https://icf.clappia.com/app/GMB253374/submission/DPU23020700/ICF247370-GMB253374-11k498pd9nlkc0000000/SIG-20250630_1455fhmoe.jpeg", "SIG-20250630_1455fhmoe.jpeg")</f>
        <v>SIG-20250630_1455fhmoe.jpeg</v>
      </c>
      <c r="AV62" s="3" t="str">
        <f>HYPERLINK("https://www.google.com/maps/place/7.9645623%2C-11.7418254", "7.9645623,-11.7418254")</f>
        <v>7.9645623,-11.7418254</v>
      </c>
    </row>
    <row r="63" ht="15.75" customHeight="1">
      <c r="A63" s="1" t="s">
        <v>432</v>
      </c>
      <c r="B63" s="1" t="s">
        <v>214</v>
      </c>
      <c r="C63" s="1" t="s">
        <v>433</v>
      </c>
      <c r="D63" s="1" t="s">
        <v>433</v>
      </c>
      <c r="E63" s="1" t="s">
        <v>434</v>
      </c>
      <c r="F63" s="1" t="s">
        <v>50</v>
      </c>
      <c r="G63" s="1">
        <v>100.0</v>
      </c>
      <c r="H63" s="1" t="s">
        <v>51</v>
      </c>
      <c r="I63" s="1">
        <v>18.0</v>
      </c>
      <c r="J63" s="1">
        <v>7.0</v>
      </c>
      <c r="K63" s="1">
        <v>7.0</v>
      </c>
      <c r="L63" s="1">
        <v>11.0</v>
      </c>
      <c r="M63" s="1">
        <v>11.0</v>
      </c>
      <c r="N63" s="1" t="s">
        <v>52</v>
      </c>
      <c r="O63" s="1">
        <v>20.0</v>
      </c>
      <c r="P63" s="1">
        <v>7.0</v>
      </c>
      <c r="Q63" s="1">
        <v>7.0</v>
      </c>
      <c r="R63" s="1">
        <v>13.0</v>
      </c>
      <c r="S63" s="1">
        <v>13.0</v>
      </c>
      <c r="T63" s="1" t="s">
        <v>53</v>
      </c>
      <c r="U63" s="1">
        <v>19.0</v>
      </c>
      <c r="V63" s="1">
        <v>4.0</v>
      </c>
      <c r="W63" s="1">
        <v>4.0</v>
      </c>
      <c r="X63" s="1">
        <v>5.0</v>
      </c>
      <c r="Y63" s="1">
        <v>5.0</v>
      </c>
      <c r="Z63" s="1" t="s">
        <v>54</v>
      </c>
      <c r="AA63" s="1">
        <v>5.0</v>
      </c>
      <c r="AB63" s="1">
        <v>2.0</v>
      </c>
      <c r="AC63" s="1">
        <v>2.0</v>
      </c>
      <c r="AD63" s="1">
        <v>3.0</v>
      </c>
      <c r="AE63" s="1">
        <v>3.0</v>
      </c>
      <c r="AF63" s="1" t="s">
        <v>56</v>
      </c>
      <c r="AG63" s="1">
        <v>5.0</v>
      </c>
      <c r="AH63" s="1">
        <v>1.0</v>
      </c>
      <c r="AI63" s="1">
        <v>1.0</v>
      </c>
      <c r="AJ63" s="1">
        <v>4.0</v>
      </c>
      <c r="AK63" s="1">
        <v>4.0</v>
      </c>
      <c r="AL63" s="1">
        <v>57.0</v>
      </c>
      <c r="AM63" s="1" t="s">
        <v>55</v>
      </c>
      <c r="AN63" s="1">
        <v>43.0</v>
      </c>
      <c r="AO63" s="1">
        <v>43.0</v>
      </c>
      <c r="AP63" s="1" t="s">
        <v>435</v>
      </c>
      <c r="AQ63" s="3" t="str">
        <f>HYPERLINK("https://icf.clappia.com/app/GMB253374/submission/ZME38482053/ICF247370-GMB253374-3ib8pj1e6cko00000000/SIG-20250630_1057mc77c.jpeg", "SIG-20250630_1057mc77c.jpeg")</f>
        <v>SIG-20250630_1057mc77c.jpeg</v>
      </c>
      <c r="AR63" s="1" t="s">
        <v>323</v>
      </c>
      <c r="AS63" s="3" t="str">
        <f>HYPERLINK("https://icf.clappia.com/app/GMB253374/submission/ZME38482053/ICF247370-GMB253374-5inhio9p4gio00000000/SIG-20250630_1058500j8.jpeg", "SIG-20250630_1058500j8.jpeg")</f>
        <v>SIG-20250630_1058500j8.jpeg</v>
      </c>
      <c r="AT63" s="1" t="s">
        <v>436</v>
      </c>
      <c r="AU63" s="3" t="str">
        <f>HYPERLINK("https://icf.clappia.com/app/GMB253374/submission/ZME38482053/ICF247370-GMB253374-2f1m8cn4ghmc00000000/SIG-20250630_1458a2c3e.jpeg", "SIG-20250630_1458a2c3e.jpeg")</f>
        <v>SIG-20250630_1458a2c3e.jpeg</v>
      </c>
      <c r="AV63" s="3" t="str">
        <f>HYPERLINK("https://www.google.com/maps/place/9.1577658%2C-11.9603067", "9.1577658,-11.9603067")</f>
        <v>9.1577658,-11.9603067</v>
      </c>
    </row>
    <row r="64" ht="15.75" customHeight="1">
      <c r="A64" s="1" t="s">
        <v>437</v>
      </c>
      <c r="B64" s="1" t="s">
        <v>207</v>
      </c>
      <c r="C64" s="1" t="s">
        <v>438</v>
      </c>
      <c r="D64" s="1" t="s">
        <v>438</v>
      </c>
      <c r="E64" s="1" t="s">
        <v>439</v>
      </c>
      <c r="F64" s="1" t="s">
        <v>50</v>
      </c>
      <c r="G64" s="1">
        <v>93.0</v>
      </c>
      <c r="H64" s="1" t="s">
        <v>51</v>
      </c>
      <c r="I64" s="1">
        <v>93.0</v>
      </c>
      <c r="J64" s="1">
        <v>49.0</v>
      </c>
      <c r="K64" s="1">
        <v>49.0</v>
      </c>
      <c r="L64" s="1">
        <v>44.0</v>
      </c>
      <c r="M64" s="1">
        <v>42.0</v>
      </c>
      <c r="N64" s="1" t="s">
        <v>52</v>
      </c>
      <c r="O64" s="1" t="s">
        <v>55</v>
      </c>
      <c r="P64" s="1" t="s">
        <v>55</v>
      </c>
      <c r="Q64" s="1" t="s">
        <v>55</v>
      </c>
      <c r="R64" s="1" t="s">
        <v>55</v>
      </c>
      <c r="S64" s="1" t="s">
        <v>55</v>
      </c>
      <c r="T64" s="1" t="s">
        <v>53</v>
      </c>
      <c r="U64" s="1" t="s">
        <v>55</v>
      </c>
      <c r="V64" s="1" t="s">
        <v>55</v>
      </c>
      <c r="W64" s="1" t="s">
        <v>55</v>
      </c>
      <c r="X64" s="1" t="s">
        <v>55</v>
      </c>
      <c r="Y64" s="1" t="s">
        <v>55</v>
      </c>
      <c r="Z64" s="1" t="s">
        <v>54</v>
      </c>
      <c r="AA64" s="1" t="s">
        <v>55</v>
      </c>
      <c r="AB64" s="1" t="s">
        <v>55</v>
      </c>
      <c r="AC64" s="1" t="s">
        <v>55</v>
      </c>
      <c r="AD64" s="1" t="s">
        <v>55</v>
      </c>
      <c r="AE64" s="1" t="s">
        <v>55</v>
      </c>
      <c r="AF64" s="1" t="s">
        <v>56</v>
      </c>
      <c r="AG64" s="1" t="s">
        <v>55</v>
      </c>
      <c r="AH64" s="1" t="s">
        <v>55</v>
      </c>
      <c r="AI64" s="1" t="s">
        <v>55</v>
      </c>
      <c r="AJ64" s="1" t="s">
        <v>55</v>
      </c>
      <c r="AK64" s="1" t="s">
        <v>55</v>
      </c>
      <c r="AL64" s="1">
        <v>91.0</v>
      </c>
      <c r="AM64" s="1">
        <v>2.0</v>
      </c>
      <c r="AN64" s="1" t="s">
        <v>55</v>
      </c>
      <c r="AO64" s="1" t="s">
        <v>55</v>
      </c>
      <c r="AP64" s="1" t="s">
        <v>440</v>
      </c>
      <c r="AQ64" s="3" t="str">
        <f>HYPERLINK("https://icf.clappia.com/app/GMB253374/submission/SPK20662674/ICF247370-GMB253374-5idoj00f97m800000000/SIG-20250630_1456bkiol.jpeg", "SIG-20250630_1456bkiol.jpeg")</f>
        <v>SIG-20250630_1456bkiol.jpeg</v>
      </c>
      <c r="AR64" s="1" t="s">
        <v>441</v>
      </c>
      <c r="AS64" s="3" t="str">
        <f>HYPERLINK("https://icf.clappia.com/app/GMB253374/submission/SPK20662674/ICF247370-GMB253374-656609a89o4g00000000/SIG-20250630_145719ddfb.jpeg", "SIG-20250630_145719ddfb.jpeg")</f>
        <v>SIG-20250630_145719ddfb.jpeg</v>
      </c>
      <c r="AT64" s="1" t="s">
        <v>442</v>
      </c>
      <c r="AU64" s="3" t="str">
        <f>HYPERLINK("https://icf.clappia.com/app/GMB253374/submission/SPK20662674/ICF247370-GMB253374-4b930b6j6jgg00000000/SIG-20250630_145716gpil.jpeg", "SIG-20250630_145716gpil.jpeg")</f>
        <v>SIG-20250630_145716gpil.jpeg</v>
      </c>
      <c r="AV64" s="3" t="str">
        <f>HYPERLINK("https://www.google.com/maps/place/7.8771433%2C-11.5354567", "7.8771433,-11.5354567")</f>
        <v>7.8771433,-11.5354567</v>
      </c>
    </row>
    <row r="65" ht="15.75" customHeight="1">
      <c r="A65" s="1" t="s">
        <v>443</v>
      </c>
      <c r="B65" s="1" t="s">
        <v>296</v>
      </c>
      <c r="C65" s="1" t="s">
        <v>444</v>
      </c>
      <c r="D65" s="1" t="s">
        <v>444</v>
      </c>
      <c r="E65" s="1" t="s">
        <v>445</v>
      </c>
      <c r="F65" s="1" t="s">
        <v>50</v>
      </c>
      <c r="G65" s="1">
        <v>371.0</v>
      </c>
      <c r="H65" s="1" t="s">
        <v>51</v>
      </c>
      <c r="I65" s="1">
        <v>70.0</v>
      </c>
      <c r="J65" s="1">
        <v>42.0</v>
      </c>
      <c r="K65" s="1">
        <v>40.0</v>
      </c>
      <c r="L65" s="1">
        <v>28.0</v>
      </c>
      <c r="M65" s="1">
        <v>28.0</v>
      </c>
      <c r="N65" s="1" t="s">
        <v>52</v>
      </c>
      <c r="O65" s="1">
        <v>75.0</v>
      </c>
      <c r="P65" s="1">
        <v>40.0</v>
      </c>
      <c r="Q65" s="1">
        <v>34.0</v>
      </c>
      <c r="R65" s="1">
        <v>35.0</v>
      </c>
      <c r="S65" s="1">
        <v>30.0</v>
      </c>
      <c r="T65" s="1" t="s">
        <v>53</v>
      </c>
      <c r="U65" s="1">
        <v>68.0</v>
      </c>
      <c r="V65" s="1">
        <v>32.0</v>
      </c>
      <c r="W65" s="1">
        <v>32.0</v>
      </c>
      <c r="X65" s="1">
        <v>36.0</v>
      </c>
      <c r="Y65" s="1">
        <v>36.0</v>
      </c>
      <c r="Z65" s="1" t="s">
        <v>54</v>
      </c>
      <c r="AA65" s="1">
        <v>68.0</v>
      </c>
      <c r="AB65" s="1">
        <v>29.0</v>
      </c>
      <c r="AC65" s="1">
        <v>27.0</v>
      </c>
      <c r="AD65" s="1">
        <v>39.0</v>
      </c>
      <c r="AE65" s="1">
        <v>36.0</v>
      </c>
      <c r="AF65" s="1" t="s">
        <v>56</v>
      </c>
      <c r="AG65" s="1">
        <v>80.0</v>
      </c>
      <c r="AH65" s="1">
        <v>38.0</v>
      </c>
      <c r="AI65" s="1">
        <v>36.0</v>
      </c>
      <c r="AJ65" s="1">
        <v>42.0</v>
      </c>
      <c r="AK65" s="1">
        <v>32.0</v>
      </c>
      <c r="AL65" s="1">
        <v>331.0</v>
      </c>
      <c r="AM65" s="1" t="s">
        <v>55</v>
      </c>
      <c r="AN65" s="1">
        <v>40.0</v>
      </c>
      <c r="AO65" s="1">
        <v>40.0</v>
      </c>
      <c r="AP65" s="1" t="s">
        <v>446</v>
      </c>
      <c r="AQ65" s="3" t="str">
        <f>HYPERLINK("https://icf.clappia.com/app/GMB253374/submission/GRQ42621774/ICF247370-GMB253374-1l5lbme3754ec0000000/SIG-20250630_1452fm759.jpeg", "SIG-20250630_1452fm759.jpeg")</f>
        <v>SIG-20250630_1452fm759.jpeg</v>
      </c>
      <c r="AR65" s="1" t="s">
        <v>447</v>
      </c>
      <c r="AS65" s="3" t="str">
        <f>HYPERLINK("https://icf.clappia.com/app/GMB253374/submission/GRQ42621774/ICF247370-GMB253374-30fjbfb83nek00000000/SIG-20250630_14039chec.jpeg", "SIG-20250630_14039chec.jpeg")</f>
        <v>SIG-20250630_14039chec.jpeg</v>
      </c>
      <c r="AT65" s="1" t="s">
        <v>448</v>
      </c>
      <c r="AU65" s="3" t="str">
        <f>HYPERLINK("https://icf.clappia.com/app/GMB253374/submission/GRQ42621774/ICF247370-GMB253374-5kobmh3h974000000000/SIG-20250630_14533oih2.jpeg", "SIG-20250630_14533oih2.jpeg")</f>
        <v>SIG-20250630_14533oih2.jpeg</v>
      </c>
      <c r="AV65" s="3" t="str">
        <f>HYPERLINK("https://www.google.com/maps/place/8.8597667%2C-12.0534517", "8.8597667,-12.0534517")</f>
        <v>8.8597667,-12.0534517</v>
      </c>
    </row>
    <row r="66" ht="15.75" customHeight="1">
      <c r="A66" s="1" t="s">
        <v>449</v>
      </c>
      <c r="B66" s="1" t="s">
        <v>450</v>
      </c>
      <c r="C66" s="1" t="s">
        <v>451</v>
      </c>
      <c r="D66" s="1" t="s">
        <v>451</v>
      </c>
      <c r="E66" s="1" t="s">
        <v>452</v>
      </c>
      <c r="F66" s="1" t="s">
        <v>50</v>
      </c>
      <c r="G66" s="1">
        <v>300.0</v>
      </c>
      <c r="H66" s="1" t="s">
        <v>51</v>
      </c>
      <c r="I66" s="1">
        <v>52.0</v>
      </c>
      <c r="J66" s="1">
        <v>26.0</v>
      </c>
      <c r="K66" s="1">
        <v>26.0</v>
      </c>
      <c r="L66" s="1">
        <v>26.0</v>
      </c>
      <c r="M66" s="1">
        <v>26.0</v>
      </c>
      <c r="N66" s="1" t="s">
        <v>52</v>
      </c>
      <c r="O66" s="1">
        <v>59.0</v>
      </c>
      <c r="P66" s="1">
        <v>25.0</v>
      </c>
      <c r="Q66" s="1">
        <v>23.0</v>
      </c>
      <c r="R66" s="1">
        <v>34.0</v>
      </c>
      <c r="S66" s="1">
        <v>33.0</v>
      </c>
      <c r="T66" s="1" t="s">
        <v>53</v>
      </c>
      <c r="U66" s="1">
        <v>60.0</v>
      </c>
      <c r="V66" s="1">
        <v>27.0</v>
      </c>
      <c r="W66" s="1">
        <v>27.0</v>
      </c>
      <c r="X66" s="1">
        <v>33.0</v>
      </c>
      <c r="Y66" s="1">
        <v>32.0</v>
      </c>
      <c r="Z66" s="1" t="s">
        <v>54</v>
      </c>
      <c r="AA66" s="1">
        <v>64.0</v>
      </c>
      <c r="AB66" s="1">
        <v>34.0</v>
      </c>
      <c r="AC66" s="1">
        <v>34.0</v>
      </c>
      <c r="AD66" s="1">
        <v>30.0</v>
      </c>
      <c r="AE66" s="1">
        <v>29.0</v>
      </c>
      <c r="AF66" s="1" t="s">
        <v>56</v>
      </c>
      <c r="AG66" s="1">
        <v>65.0</v>
      </c>
      <c r="AH66" s="1">
        <v>31.0</v>
      </c>
      <c r="AI66" s="1">
        <v>28.0</v>
      </c>
      <c r="AJ66" s="1">
        <v>34.0</v>
      </c>
      <c r="AK66" s="1">
        <v>32.0</v>
      </c>
      <c r="AL66" s="1">
        <v>290.0</v>
      </c>
      <c r="AM66" s="1" t="s">
        <v>55</v>
      </c>
      <c r="AN66" s="1">
        <v>10.0</v>
      </c>
      <c r="AO66" s="1">
        <v>10.0</v>
      </c>
      <c r="AP66" s="1" t="s">
        <v>453</v>
      </c>
      <c r="AQ66" s="3" t="str">
        <f>HYPERLINK("https://icf.clappia.com/app/GMB253374/submission/JTB53080273/ICF247370-GMB253374-1hdc75g6h74mi0000000/SIG-20250630_104117bpe2.jpeg", "SIG-20250630_104117bpe2.jpeg")</f>
        <v>SIG-20250630_104117bpe2.jpeg</v>
      </c>
      <c r="AR66" s="1" t="s">
        <v>454</v>
      </c>
      <c r="AS66" s="3" t="str">
        <f>HYPERLINK("https://icf.clappia.com/app/GMB253374/submission/JTB53080273/ICF247370-GMB253374-2acmfdf93kmak0000000/SIG-20250630_10451a6min.jpeg", "SIG-20250630_10451a6min.jpeg")</f>
        <v>SIG-20250630_10451a6min.jpeg</v>
      </c>
      <c r="AT66" s="1" t="s">
        <v>455</v>
      </c>
      <c r="AU66" s="3" t="str">
        <f>HYPERLINK("https://icf.clappia.com/app/GMB253374/submission/JTB53080273/ICF247370-GMB253374-396fj6aecham00000000/SIG-20250630_104517j847.jpeg", "SIG-20250630_104517j847.jpeg")</f>
        <v>SIG-20250630_104517j847.jpeg</v>
      </c>
      <c r="AV66" s="3" t="str">
        <f>HYPERLINK("https://www.google.com/maps/place/9.0939422%2C-12.0494298", "9.0939422,-12.0494298")</f>
        <v>9.0939422,-12.0494298</v>
      </c>
    </row>
    <row r="67" ht="15.75" customHeight="1">
      <c r="A67" s="1" t="s">
        <v>456</v>
      </c>
      <c r="B67" s="1" t="s">
        <v>414</v>
      </c>
      <c r="C67" s="1" t="s">
        <v>451</v>
      </c>
      <c r="D67" s="1" t="s">
        <v>451</v>
      </c>
      <c r="E67" s="1" t="s">
        <v>457</v>
      </c>
      <c r="F67" s="1" t="s">
        <v>50</v>
      </c>
      <c r="G67" s="1">
        <v>250.0</v>
      </c>
      <c r="H67" s="1" t="s">
        <v>51</v>
      </c>
      <c r="I67" s="1">
        <v>61.0</v>
      </c>
      <c r="J67" s="1">
        <v>30.0</v>
      </c>
      <c r="K67" s="1">
        <v>25.0</v>
      </c>
      <c r="L67" s="1">
        <v>31.0</v>
      </c>
      <c r="M67" s="1">
        <v>30.0</v>
      </c>
      <c r="N67" s="1" t="s">
        <v>52</v>
      </c>
      <c r="O67" s="1">
        <v>44.0</v>
      </c>
      <c r="P67" s="1">
        <v>19.0</v>
      </c>
      <c r="Q67" s="1">
        <v>17.0</v>
      </c>
      <c r="R67" s="1">
        <v>25.0</v>
      </c>
      <c r="S67" s="1">
        <v>23.0</v>
      </c>
      <c r="T67" s="1" t="s">
        <v>53</v>
      </c>
      <c r="U67" s="1">
        <v>39.0</v>
      </c>
      <c r="V67" s="1">
        <v>17.0</v>
      </c>
      <c r="W67" s="1">
        <v>17.0</v>
      </c>
      <c r="X67" s="1">
        <v>22.0</v>
      </c>
      <c r="Y67" s="1">
        <v>20.0</v>
      </c>
      <c r="Z67" s="1" t="s">
        <v>54</v>
      </c>
      <c r="AA67" s="1">
        <v>48.0</v>
      </c>
      <c r="AB67" s="1">
        <v>22.0</v>
      </c>
      <c r="AC67" s="1">
        <v>21.0</v>
      </c>
      <c r="AD67" s="1">
        <v>26.0</v>
      </c>
      <c r="AE67" s="1">
        <v>26.0</v>
      </c>
      <c r="AF67" s="1" t="s">
        <v>56</v>
      </c>
      <c r="AG67" s="1">
        <v>31.0</v>
      </c>
      <c r="AH67" s="1">
        <v>16.0</v>
      </c>
      <c r="AI67" s="1">
        <v>16.0</v>
      </c>
      <c r="AJ67" s="1">
        <v>15.0</v>
      </c>
      <c r="AK67" s="1">
        <v>15.0</v>
      </c>
      <c r="AL67" s="1">
        <v>210.0</v>
      </c>
      <c r="AM67" s="1" t="s">
        <v>55</v>
      </c>
      <c r="AN67" s="1">
        <v>40.0</v>
      </c>
      <c r="AO67" s="1">
        <v>4.0</v>
      </c>
      <c r="AP67" s="1" t="s">
        <v>458</v>
      </c>
      <c r="AQ67" s="3" t="str">
        <f>HYPERLINK("https://icf.clappia.com/app/GMB253374/submission/MYL69535289/ICF247370-GMB253374-10m5onjblk2560000000/SIG-20250630_1420pfonn.jpeg", "SIG-20250630_1420pfonn.jpeg")</f>
        <v>SIG-20250630_1420pfonn.jpeg</v>
      </c>
      <c r="AR67" s="1" t="s">
        <v>459</v>
      </c>
      <c r="AS67" s="3" t="str">
        <f>HYPERLINK("https://icf.clappia.com/app/GMB253374/submission/MYL69535289/ICF247370-GMB253374-1j6clnk015n0i0000000/SIG-20250630_1451ogckg.jpeg", "SIG-20250630_1451ogckg.jpeg")</f>
        <v>SIG-20250630_1451ogckg.jpeg</v>
      </c>
      <c r="AT67" s="1" t="s">
        <v>460</v>
      </c>
      <c r="AU67" s="3" t="str">
        <f>HYPERLINK("https://icf.clappia.com/app/GMB253374/submission/MYL69535289/ICF247370-GMB253374-537mmpge7oic00000000/SIG-20250630_1451dldfn.jpeg", "SIG-20250630_1451dldfn.jpeg")</f>
        <v>SIG-20250630_1451dldfn.jpeg</v>
      </c>
      <c r="AV67" s="3" t="str">
        <f>HYPERLINK("https://www.google.com/maps/place/8.7311492%2C-11.9431873", "8.7311492,-11.9431873")</f>
        <v>8.7311492,-11.9431873</v>
      </c>
    </row>
    <row r="68" ht="15.75" customHeight="1">
      <c r="A68" s="1" t="s">
        <v>461</v>
      </c>
      <c r="B68" s="1" t="s">
        <v>98</v>
      </c>
      <c r="C68" s="1" t="s">
        <v>462</v>
      </c>
      <c r="D68" s="1" t="s">
        <v>462</v>
      </c>
      <c r="E68" s="1" t="s">
        <v>463</v>
      </c>
      <c r="F68" s="1" t="s">
        <v>50</v>
      </c>
      <c r="G68" s="1">
        <v>256.0</v>
      </c>
      <c r="H68" s="1" t="s">
        <v>51</v>
      </c>
      <c r="I68" s="1">
        <v>49.0</v>
      </c>
      <c r="J68" s="1">
        <v>25.0</v>
      </c>
      <c r="K68" s="1">
        <v>19.0</v>
      </c>
      <c r="L68" s="1">
        <v>24.0</v>
      </c>
      <c r="M68" s="1">
        <v>20.0</v>
      </c>
      <c r="N68" s="1" t="s">
        <v>52</v>
      </c>
      <c r="O68" s="1">
        <v>56.0</v>
      </c>
      <c r="P68" s="1">
        <v>27.0</v>
      </c>
      <c r="Q68" s="1">
        <v>27.0</v>
      </c>
      <c r="R68" s="1">
        <v>29.0</v>
      </c>
      <c r="S68" s="1">
        <v>29.0</v>
      </c>
      <c r="T68" s="1" t="s">
        <v>53</v>
      </c>
      <c r="U68" s="1">
        <v>41.0</v>
      </c>
      <c r="V68" s="1">
        <v>19.0</v>
      </c>
      <c r="W68" s="1">
        <v>19.0</v>
      </c>
      <c r="X68" s="1">
        <v>22.0</v>
      </c>
      <c r="Y68" s="1">
        <v>22.0</v>
      </c>
      <c r="Z68" s="1" t="s">
        <v>54</v>
      </c>
      <c r="AA68" s="1">
        <v>58.0</v>
      </c>
      <c r="AB68" s="1">
        <v>27.0</v>
      </c>
      <c r="AC68" s="1">
        <v>27.0</v>
      </c>
      <c r="AD68" s="1">
        <v>31.0</v>
      </c>
      <c r="AE68" s="1">
        <v>31.0</v>
      </c>
      <c r="AF68" s="1" t="s">
        <v>56</v>
      </c>
      <c r="AG68" s="1">
        <v>52.0</v>
      </c>
      <c r="AH68" s="1">
        <v>25.0</v>
      </c>
      <c r="AI68" s="1">
        <v>25.0</v>
      </c>
      <c r="AJ68" s="1">
        <v>27.0</v>
      </c>
      <c r="AK68" s="1">
        <v>27.0</v>
      </c>
      <c r="AL68" s="1">
        <v>246.0</v>
      </c>
      <c r="AM68" s="1">
        <v>10.0</v>
      </c>
      <c r="AN68" s="1" t="s">
        <v>55</v>
      </c>
      <c r="AO68" s="1" t="s">
        <v>55</v>
      </c>
      <c r="AP68" s="1" t="s">
        <v>464</v>
      </c>
      <c r="AQ68" s="3" t="str">
        <f>HYPERLINK("https://icf.clappia.com/app/GMB253374/submission/EFB25399457/ICF247370-GMB253374-2gd1pg2cf92a00000000/SIG-20250630_13506e6mb.jpeg", "SIG-20250630_13506e6mb.jpeg")</f>
        <v>SIG-20250630_13506e6mb.jpeg</v>
      </c>
      <c r="AR68" s="1" t="s">
        <v>465</v>
      </c>
      <c r="AS68" s="3" t="str">
        <f>HYPERLINK("https://icf.clappia.com/app/GMB253374/submission/EFB25399457/ICF247370-GMB253374-4jggobnko96o00000000/SIG-20250630_13523opm0.jpeg", "SIG-20250630_13523opm0.jpeg")</f>
        <v>SIG-20250630_13523opm0.jpeg</v>
      </c>
      <c r="AT68" s="1" t="s">
        <v>466</v>
      </c>
      <c r="AU68" s="3" t="str">
        <f>HYPERLINK("https://icf.clappia.com/app/GMB253374/submission/EFB25399457/ICF247370-GMB253374-2i2ogmb52c6a00000000/SIG-20250630_1446koigl.jpeg", "SIG-20250630_1446koigl.jpeg")</f>
        <v>SIG-20250630_1446koigl.jpeg</v>
      </c>
      <c r="AV68" s="3" t="str">
        <f>HYPERLINK("https://www.google.com/maps/place/7.9646512%2C-11.7418597", "7.9646512,-11.7418597")</f>
        <v>7.9646512,-11.7418597</v>
      </c>
    </row>
    <row r="69" ht="15.75" customHeight="1">
      <c r="A69" s="1" t="s">
        <v>467</v>
      </c>
      <c r="B69" s="1" t="s">
        <v>207</v>
      </c>
      <c r="C69" s="1" t="s">
        <v>468</v>
      </c>
      <c r="D69" s="1" t="s">
        <v>468</v>
      </c>
      <c r="E69" s="1" t="s">
        <v>469</v>
      </c>
      <c r="F69" s="1" t="s">
        <v>50</v>
      </c>
      <c r="G69" s="1">
        <v>150.0</v>
      </c>
      <c r="H69" s="1" t="s">
        <v>51</v>
      </c>
      <c r="I69" s="1">
        <v>65.0</v>
      </c>
      <c r="J69" s="1">
        <v>30.0</v>
      </c>
      <c r="K69" s="1">
        <v>30.0</v>
      </c>
      <c r="L69" s="1">
        <v>35.0</v>
      </c>
      <c r="M69" s="1">
        <v>35.0</v>
      </c>
      <c r="N69" s="1" t="s">
        <v>52</v>
      </c>
      <c r="O69" s="1">
        <v>35.0</v>
      </c>
      <c r="P69" s="1">
        <v>15.0</v>
      </c>
      <c r="Q69" s="1">
        <v>15.0</v>
      </c>
      <c r="R69" s="1">
        <v>20.0</v>
      </c>
      <c r="S69" s="1">
        <v>20.0</v>
      </c>
      <c r="T69" s="1" t="s">
        <v>53</v>
      </c>
      <c r="U69" s="1">
        <v>18.0</v>
      </c>
      <c r="V69" s="1">
        <v>10.0</v>
      </c>
      <c r="W69" s="1">
        <v>10.0</v>
      </c>
      <c r="X69" s="1">
        <v>8.0</v>
      </c>
      <c r="Y69" s="1">
        <v>8.0</v>
      </c>
      <c r="Z69" s="1" t="s">
        <v>54</v>
      </c>
      <c r="AA69" s="1">
        <v>12.0</v>
      </c>
      <c r="AB69" s="1">
        <v>5.0</v>
      </c>
      <c r="AC69" s="1">
        <v>5.0</v>
      </c>
      <c r="AD69" s="1">
        <v>7.0</v>
      </c>
      <c r="AE69" s="1">
        <v>7.0</v>
      </c>
      <c r="AF69" s="1" t="s">
        <v>56</v>
      </c>
      <c r="AG69" s="1">
        <v>16.0</v>
      </c>
      <c r="AH69" s="1">
        <v>10.0</v>
      </c>
      <c r="AI69" s="1">
        <v>10.0</v>
      </c>
      <c r="AJ69" s="1">
        <v>6.0</v>
      </c>
      <c r="AK69" s="1">
        <v>6.0</v>
      </c>
      <c r="AL69" s="1">
        <v>146.0</v>
      </c>
      <c r="AM69" s="1" t="s">
        <v>55</v>
      </c>
      <c r="AN69" s="1">
        <v>4.0</v>
      </c>
      <c r="AO69" s="1">
        <v>4.0</v>
      </c>
      <c r="AP69" s="1" t="s">
        <v>167</v>
      </c>
      <c r="AQ69" s="3" t="str">
        <f>HYPERLINK("https://icf.clappia.com/app/GMB253374/submission/KBQ96916490/ICF247370-GMB253374-2of4622fa97600000000/SIG-20250630_113113ab0g.jpeg", "SIG-20250630_113113ab0g.jpeg")</f>
        <v>SIG-20250630_113113ab0g.jpeg</v>
      </c>
      <c r="AR69" s="1" t="s">
        <v>470</v>
      </c>
      <c r="AS69" s="3" t="str">
        <f>HYPERLINK("https://icf.clappia.com/app/GMB253374/submission/KBQ96916490/ICF247370-GMB253374-4ob2nggdc9ha00000000/SIG-20250630_1345jpi74.jpeg", "SIG-20250630_1345jpi74.jpeg")</f>
        <v>SIG-20250630_1345jpi74.jpeg</v>
      </c>
      <c r="AT69" s="1" t="s">
        <v>471</v>
      </c>
      <c r="AU69" s="3" t="str">
        <f>HYPERLINK("https://icf.clappia.com/app/GMB253374/submission/KBQ96916490/ICF247370-GMB253374-8f0akfd3lk6o000000/SIG-20250630_12091a58nd.jpeg", "SIG-20250630_12091a58nd.jpeg")</f>
        <v>SIG-20250630_12091a58nd.jpeg</v>
      </c>
      <c r="AV69" s="3" t="str">
        <f>HYPERLINK("https://www.google.com/maps/place/8.017421%2C-11.5821865", "8.017421,-11.5821865")</f>
        <v>8.017421,-11.5821865</v>
      </c>
    </row>
    <row r="70" ht="15.75" customHeight="1">
      <c r="A70" s="1" t="s">
        <v>472</v>
      </c>
      <c r="B70" s="1" t="s">
        <v>98</v>
      </c>
      <c r="C70" s="1" t="s">
        <v>473</v>
      </c>
      <c r="D70" s="1" t="s">
        <v>473</v>
      </c>
      <c r="E70" s="1" t="s">
        <v>474</v>
      </c>
      <c r="F70" s="1" t="s">
        <v>50</v>
      </c>
      <c r="G70" s="1">
        <v>300.0</v>
      </c>
      <c r="H70" s="1" t="s">
        <v>51</v>
      </c>
      <c r="I70" s="1">
        <v>37.0</v>
      </c>
      <c r="J70" s="1">
        <v>18.0</v>
      </c>
      <c r="K70" s="1">
        <v>18.0</v>
      </c>
      <c r="L70" s="1">
        <v>19.0</v>
      </c>
      <c r="M70" s="1">
        <v>19.0</v>
      </c>
      <c r="N70" s="1" t="s">
        <v>52</v>
      </c>
      <c r="O70" s="1">
        <v>36.0</v>
      </c>
      <c r="P70" s="1">
        <v>16.0</v>
      </c>
      <c r="Q70" s="1">
        <v>16.0</v>
      </c>
      <c r="R70" s="1">
        <v>20.0</v>
      </c>
      <c r="S70" s="1">
        <v>20.0</v>
      </c>
      <c r="T70" s="1" t="s">
        <v>53</v>
      </c>
      <c r="U70" s="1">
        <v>30.0</v>
      </c>
      <c r="V70" s="1">
        <v>11.0</v>
      </c>
      <c r="W70" s="1">
        <v>11.0</v>
      </c>
      <c r="X70" s="1">
        <v>19.0</v>
      </c>
      <c r="Y70" s="1">
        <v>19.0</v>
      </c>
      <c r="Z70" s="1" t="s">
        <v>54</v>
      </c>
      <c r="AA70" s="1">
        <v>80.0</v>
      </c>
      <c r="AB70" s="1">
        <v>35.0</v>
      </c>
      <c r="AC70" s="1">
        <v>35.0</v>
      </c>
      <c r="AD70" s="1">
        <v>45.0</v>
      </c>
      <c r="AE70" s="1">
        <v>45.0</v>
      </c>
      <c r="AF70" s="1" t="s">
        <v>56</v>
      </c>
      <c r="AG70" s="1">
        <v>61.0</v>
      </c>
      <c r="AH70" s="1">
        <v>26.0</v>
      </c>
      <c r="AI70" s="1">
        <v>26.0</v>
      </c>
      <c r="AJ70" s="1">
        <v>35.0</v>
      </c>
      <c r="AK70" s="1">
        <v>35.0</v>
      </c>
      <c r="AL70" s="1">
        <v>244.0</v>
      </c>
      <c r="AM70" s="1" t="s">
        <v>55</v>
      </c>
      <c r="AN70" s="1">
        <v>56.0</v>
      </c>
      <c r="AO70" s="1">
        <v>56.0</v>
      </c>
      <c r="AP70" s="1" t="s">
        <v>475</v>
      </c>
      <c r="AQ70" s="3" t="str">
        <f>HYPERLINK("https://icf.clappia.com/app/GMB253374/submission/IHH57407073/ICF247370-GMB253374-4lih3458269600000000/SIG-20250630_14426aph1.jpeg", "SIG-20250630_14426aph1.jpeg")</f>
        <v>SIG-20250630_14426aph1.jpeg</v>
      </c>
      <c r="AR70" s="1" t="s">
        <v>476</v>
      </c>
      <c r="AS70" s="3" t="str">
        <f>HYPERLINK("https://icf.clappia.com/app/GMB253374/submission/IHH57407073/ICF247370-GMB253374-k88875d88ef20000000/SIG-20250630_141347f6c.jpeg", "SIG-20250630_141347f6c.jpeg")</f>
        <v>SIG-20250630_141347f6c.jpeg</v>
      </c>
      <c r="AT70" s="1" t="s">
        <v>477</v>
      </c>
      <c r="AU70" s="3" t="str">
        <f>HYPERLINK("https://icf.clappia.com/app/GMB253374/submission/IHH57407073/ICF247370-GMB253374-4blddfcp5h0200000000/SIG-20250630_14146bk8a.jpeg", "SIG-20250630_14146bk8a.jpeg")</f>
        <v>SIG-20250630_14146bk8a.jpeg</v>
      </c>
      <c r="AV70" s="3" t="str">
        <f>HYPERLINK("https://www.google.com/maps/place/7.9540167%2C-11.7398583", "7.9540167,-11.7398583")</f>
        <v>7.9540167,-11.7398583</v>
      </c>
    </row>
    <row r="71" ht="15.75" customHeight="1">
      <c r="A71" s="1" t="s">
        <v>478</v>
      </c>
      <c r="B71" s="1" t="s">
        <v>388</v>
      </c>
      <c r="C71" s="1" t="s">
        <v>479</v>
      </c>
      <c r="D71" s="1" t="s">
        <v>479</v>
      </c>
      <c r="E71" s="1" t="s">
        <v>480</v>
      </c>
      <c r="F71" s="1" t="s">
        <v>50</v>
      </c>
      <c r="G71" s="1">
        <v>250.0</v>
      </c>
      <c r="H71" s="1" t="s">
        <v>51</v>
      </c>
      <c r="I71" s="1">
        <v>84.0</v>
      </c>
      <c r="J71" s="1">
        <v>45.0</v>
      </c>
      <c r="K71" s="1">
        <v>38.0</v>
      </c>
      <c r="L71" s="1">
        <v>39.0</v>
      </c>
      <c r="M71" s="1">
        <v>33.0</v>
      </c>
      <c r="N71" s="1" t="s">
        <v>52</v>
      </c>
      <c r="O71" s="1">
        <v>48.0</v>
      </c>
      <c r="P71" s="1">
        <v>26.0</v>
      </c>
      <c r="Q71" s="1">
        <v>22.0</v>
      </c>
      <c r="R71" s="1">
        <v>22.0</v>
      </c>
      <c r="S71" s="1">
        <v>21.0</v>
      </c>
      <c r="T71" s="1" t="s">
        <v>53</v>
      </c>
      <c r="U71" s="1">
        <v>53.0</v>
      </c>
      <c r="V71" s="1">
        <v>31.0</v>
      </c>
      <c r="W71" s="1">
        <v>31.0</v>
      </c>
      <c r="X71" s="1">
        <v>22.0</v>
      </c>
      <c r="Y71" s="1">
        <v>22.0</v>
      </c>
      <c r="Z71" s="1" t="s">
        <v>54</v>
      </c>
      <c r="AA71" s="1">
        <v>39.0</v>
      </c>
      <c r="AB71" s="1">
        <v>18.0</v>
      </c>
      <c r="AC71" s="1">
        <v>18.0</v>
      </c>
      <c r="AD71" s="1">
        <v>20.0</v>
      </c>
      <c r="AE71" s="1">
        <v>20.0</v>
      </c>
      <c r="AF71" s="1" t="s">
        <v>56</v>
      </c>
      <c r="AG71" s="1">
        <v>53.0</v>
      </c>
      <c r="AH71" s="1">
        <v>30.0</v>
      </c>
      <c r="AI71" s="1">
        <v>26.0</v>
      </c>
      <c r="AJ71" s="1">
        <v>23.0</v>
      </c>
      <c r="AK71" s="1">
        <v>19.0</v>
      </c>
      <c r="AL71" s="1">
        <v>250.0</v>
      </c>
      <c r="AM71" s="1" t="s">
        <v>55</v>
      </c>
      <c r="AN71" s="1" t="s">
        <v>55</v>
      </c>
      <c r="AO71" s="1" t="s">
        <v>481</v>
      </c>
      <c r="AP71" s="1" t="s">
        <v>482</v>
      </c>
      <c r="AQ71" s="3" t="str">
        <f>HYPERLINK("https://icf.clappia.com/app/GMB253374/submission/QYI90426811/ICF247370-GMB253374-2hg44e808nek00000000/SIG-20250630_143918hdie.jpeg", "SIG-20250630_143918hdie.jpeg")</f>
        <v>SIG-20250630_143918hdie.jpeg</v>
      </c>
      <c r="AR71" s="1" t="s">
        <v>483</v>
      </c>
      <c r="AS71" s="3" t="str">
        <f>HYPERLINK("https://icf.clappia.com/app/GMB253374/submission/QYI90426811/ICF247370-GMB253374-lj569afm2lio0000000/SIG-20250630_143914f31j.jpeg", "SIG-20250630_143914f31j.jpeg")</f>
        <v>SIG-20250630_143914f31j.jpeg</v>
      </c>
      <c r="AT71" s="1" t="s">
        <v>484</v>
      </c>
      <c r="AU71" s="3" t="str">
        <f>HYPERLINK("https://icf.clappia.com/app/GMB253374/submission/QYI90426811/ICF247370-GMB253374-2hm0g415l5g600000000/SIG-20250630_1440midpk.jpeg", "SIG-20250630_1440midpk.jpeg")</f>
        <v>SIG-20250630_1440midpk.jpeg</v>
      </c>
      <c r="AV71" s="3" t="str">
        <f>HYPERLINK("https://www.google.com/maps/place/8.8692591%2C-12.1278344", "8.8692591,-12.1278344")</f>
        <v>8.8692591,-12.1278344</v>
      </c>
    </row>
    <row r="72" ht="15.75" customHeight="1">
      <c r="A72" s="1" t="s">
        <v>485</v>
      </c>
      <c r="B72" s="1" t="s">
        <v>236</v>
      </c>
      <c r="C72" s="1" t="s">
        <v>486</v>
      </c>
      <c r="D72" s="1" t="s">
        <v>487</v>
      </c>
      <c r="E72" s="1" t="s">
        <v>488</v>
      </c>
      <c r="F72" s="1" t="s">
        <v>50</v>
      </c>
      <c r="G72" s="1">
        <v>400.0</v>
      </c>
      <c r="H72" s="1" t="s">
        <v>51</v>
      </c>
      <c r="I72" s="1">
        <v>36.0</v>
      </c>
      <c r="J72" s="1">
        <v>17.0</v>
      </c>
      <c r="K72" s="1">
        <v>17.0</v>
      </c>
      <c r="L72" s="1">
        <v>19.0</v>
      </c>
      <c r="M72" s="1">
        <v>19.0</v>
      </c>
      <c r="N72" s="1" t="s">
        <v>52</v>
      </c>
      <c r="O72" s="1">
        <v>37.0</v>
      </c>
      <c r="P72" s="1">
        <v>16.0</v>
      </c>
      <c r="Q72" s="1">
        <v>16.0</v>
      </c>
      <c r="R72" s="1">
        <v>21.0</v>
      </c>
      <c r="S72" s="1">
        <v>21.0</v>
      </c>
      <c r="T72" s="1" t="s">
        <v>53</v>
      </c>
      <c r="U72" s="1">
        <v>61.0</v>
      </c>
      <c r="V72" s="1">
        <v>30.0</v>
      </c>
      <c r="W72" s="1">
        <v>30.0</v>
      </c>
      <c r="X72" s="1">
        <v>31.0</v>
      </c>
      <c r="Y72" s="1">
        <v>31.0</v>
      </c>
      <c r="Z72" s="1" t="s">
        <v>54</v>
      </c>
      <c r="AA72" s="1">
        <v>75.0</v>
      </c>
      <c r="AB72" s="1">
        <v>36.0</v>
      </c>
      <c r="AC72" s="1">
        <v>36.0</v>
      </c>
      <c r="AD72" s="1">
        <v>39.0</v>
      </c>
      <c r="AE72" s="1">
        <v>39.0</v>
      </c>
      <c r="AF72" s="1" t="s">
        <v>56</v>
      </c>
      <c r="AG72" s="1">
        <v>86.0</v>
      </c>
      <c r="AH72" s="1">
        <v>47.0</v>
      </c>
      <c r="AI72" s="1">
        <v>47.0</v>
      </c>
      <c r="AJ72" s="1">
        <v>39.0</v>
      </c>
      <c r="AK72" s="1">
        <v>39.0</v>
      </c>
      <c r="AL72" s="1">
        <v>295.0</v>
      </c>
      <c r="AM72" s="1">
        <v>10.0</v>
      </c>
      <c r="AN72" s="1">
        <v>95.0</v>
      </c>
      <c r="AO72" s="1">
        <v>95.0</v>
      </c>
      <c r="AP72" s="1" t="s">
        <v>489</v>
      </c>
      <c r="AQ72" s="3" t="str">
        <f>HYPERLINK("https://icf.clappia.com/app/GMB253374/submission/ASX82955079/ICF247370-GMB253374-5p32ialeha0600000000/SIG-20250630_135511ke3i.jpeg", "SIG-20250630_135511ke3i.jpeg")</f>
        <v>SIG-20250630_135511ke3i.jpeg</v>
      </c>
      <c r="AR72" s="1" t="s">
        <v>490</v>
      </c>
      <c r="AS72" s="3" t="str">
        <f>HYPERLINK("https://icf.clappia.com/app/GMB253374/submission/ASX82955079/ICF247370-GMB253374-467dimhoobi000000000/SIG-20250630_1356egb94.jpeg", "SIG-20250630_1356egb94.jpeg")</f>
        <v>SIG-20250630_1356egb94.jpeg</v>
      </c>
      <c r="AT72" s="1" t="s">
        <v>491</v>
      </c>
      <c r="AU72" s="3" t="str">
        <f>HYPERLINK("https://icf.clappia.com/app/GMB253374/submission/ASX82955079/ICF247370-GMB253374-12bio7a7b63040000000/SIG-20250630_1356lnp4i.jpeg", "SIG-20250630_1356lnp4i.jpeg")</f>
        <v>SIG-20250630_1356lnp4i.jpeg</v>
      </c>
      <c r="AV72" s="3" t="str">
        <f>HYPERLINK("https://www.google.com/maps/place/7.9460988%2C-11.7369012", "7.9460988,-11.7369012")</f>
        <v>7.9460988,-11.7369012</v>
      </c>
    </row>
    <row r="73" ht="15.75" customHeight="1">
      <c r="A73" s="1" t="s">
        <v>492</v>
      </c>
      <c r="B73" s="1" t="s">
        <v>388</v>
      </c>
      <c r="C73" s="1" t="s">
        <v>493</v>
      </c>
      <c r="D73" s="1" t="s">
        <v>493</v>
      </c>
      <c r="E73" s="1" t="s">
        <v>494</v>
      </c>
      <c r="F73" s="1" t="s">
        <v>50</v>
      </c>
      <c r="G73" s="1">
        <v>150.0</v>
      </c>
      <c r="H73" s="1" t="s">
        <v>51</v>
      </c>
      <c r="I73" s="1">
        <v>30.0</v>
      </c>
      <c r="J73" s="1">
        <v>18.0</v>
      </c>
      <c r="K73" s="1">
        <v>18.0</v>
      </c>
      <c r="L73" s="1">
        <v>12.0</v>
      </c>
      <c r="M73" s="1">
        <v>12.0</v>
      </c>
      <c r="N73" s="1" t="s">
        <v>52</v>
      </c>
      <c r="O73" s="1">
        <v>27.0</v>
      </c>
      <c r="P73" s="1">
        <v>16.0</v>
      </c>
      <c r="Q73" s="1">
        <v>14.0</v>
      </c>
      <c r="R73" s="1">
        <v>11.0</v>
      </c>
      <c r="S73" s="1">
        <v>11.0</v>
      </c>
      <c r="T73" s="1" t="s">
        <v>53</v>
      </c>
      <c r="U73" s="1">
        <v>25.0</v>
      </c>
      <c r="V73" s="1">
        <v>15.0</v>
      </c>
      <c r="W73" s="1">
        <v>15.0</v>
      </c>
      <c r="X73" s="1">
        <v>10.0</v>
      </c>
      <c r="Y73" s="1">
        <v>9.0</v>
      </c>
      <c r="Z73" s="1" t="s">
        <v>54</v>
      </c>
      <c r="AA73" s="1">
        <v>26.0</v>
      </c>
      <c r="AB73" s="1">
        <v>17.0</v>
      </c>
      <c r="AC73" s="1">
        <v>16.0</v>
      </c>
      <c r="AD73" s="1">
        <v>9.0</v>
      </c>
      <c r="AE73" s="1">
        <v>5.0</v>
      </c>
      <c r="AF73" s="1" t="s">
        <v>56</v>
      </c>
      <c r="AG73" s="1">
        <v>21.0</v>
      </c>
      <c r="AH73" s="1">
        <v>13.0</v>
      </c>
      <c r="AI73" s="1">
        <v>11.0</v>
      </c>
      <c r="AJ73" s="1">
        <v>8.0</v>
      </c>
      <c r="AK73" s="1">
        <v>7.0</v>
      </c>
      <c r="AL73" s="1">
        <v>118.0</v>
      </c>
      <c r="AM73" s="1">
        <v>10.0</v>
      </c>
      <c r="AN73" s="1">
        <v>22.0</v>
      </c>
      <c r="AO73" s="1">
        <v>22.0</v>
      </c>
      <c r="AP73" s="1" t="s">
        <v>495</v>
      </c>
      <c r="AQ73" s="3" t="str">
        <f>HYPERLINK("https://icf.clappia.com/app/GMB253374/submission/BPZ63847136/ICF247370-GMB253374-3dd3ibg46hn000000000/SIG-20250630_1432151if4.jpeg", "SIG-20250630_1432151if4.jpeg")</f>
        <v>SIG-20250630_1432151if4.jpeg</v>
      </c>
      <c r="AR73" s="1" t="s">
        <v>496</v>
      </c>
      <c r="AS73" s="3" t="str">
        <f>HYPERLINK("https://icf.clappia.com/app/GMB253374/submission/BPZ63847136/ICF247370-GMB253374-m8pih0km6li80000000/SIG-20250630_1438ffind.jpeg", "SIG-20250630_1438ffind.jpeg")</f>
        <v>SIG-20250630_1438ffind.jpeg</v>
      </c>
      <c r="AT73" s="1" t="s">
        <v>497</v>
      </c>
      <c r="AU73" s="3" t="str">
        <f>HYPERLINK("https://icf.clappia.com/app/GMB253374/submission/BPZ63847136/ICF247370-GMB253374-a817hn1o7o720000000/SIG-20250630_143419oceo.jpeg", "SIG-20250630_143419oceo.jpeg")</f>
        <v>SIG-20250630_143419oceo.jpeg</v>
      </c>
      <c r="AV73" s="3" t="str">
        <f>HYPERLINK("https://www.google.com/maps/place/8.8616883%2C-12.09505", "8.8616883,-12.09505")</f>
        <v>8.8616883,-12.09505</v>
      </c>
    </row>
    <row r="74" ht="15.75" customHeight="1">
      <c r="A74" s="1" t="s">
        <v>498</v>
      </c>
      <c r="B74" s="1" t="s">
        <v>91</v>
      </c>
      <c r="C74" s="1" t="s">
        <v>499</v>
      </c>
      <c r="D74" s="1" t="s">
        <v>499</v>
      </c>
      <c r="E74" s="1" t="s">
        <v>500</v>
      </c>
      <c r="F74" s="1" t="s">
        <v>50</v>
      </c>
      <c r="G74" s="1">
        <v>240.0</v>
      </c>
      <c r="H74" s="1" t="s">
        <v>51</v>
      </c>
      <c r="I74" s="1">
        <v>95.0</v>
      </c>
      <c r="J74" s="1">
        <v>40.0</v>
      </c>
      <c r="K74" s="1">
        <v>21.0</v>
      </c>
      <c r="L74" s="1">
        <v>55.0</v>
      </c>
      <c r="M74" s="1">
        <v>43.0</v>
      </c>
      <c r="N74" s="1" t="s">
        <v>52</v>
      </c>
      <c r="O74" s="1">
        <v>75.0</v>
      </c>
      <c r="P74" s="1">
        <v>33.0</v>
      </c>
      <c r="Q74" s="1">
        <v>19.0</v>
      </c>
      <c r="R74" s="1">
        <v>42.0</v>
      </c>
      <c r="S74" s="1">
        <v>23.0</v>
      </c>
      <c r="T74" s="1" t="s">
        <v>53</v>
      </c>
      <c r="U74" s="1">
        <v>57.0</v>
      </c>
      <c r="V74" s="1">
        <v>25.0</v>
      </c>
      <c r="W74" s="1">
        <v>16.0</v>
      </c>
      <c r="X74" s="1">
        <v>32.0</v>
      </c>
      <c r="Y74" s="1">
        <v>15.0</v>
      </c>
      <c r="Z74" s="1" t="s">
        <v>54</v>
      </c>
      <c r="AA74" s="1">
        <v>38.0</v>
      </c>
      <c r="AB74" s="1">
        <v>14.0</v>
      </c>
      <c r="AC74" s="1">
        <v>7.0</v>
      </c>
      <c r="AD74" s="1">
        <v>24.0</v>
      </c>
      <c r="AE74" s="1">
        <v>18.0</v>
      </c>
      <c r="AF74" s="1" t="s">
        <v>56</v>
      </c>
      <c r="AG74" s="1">
        <v>25.0</v>
      </c>
      <c r="AH74" s="1">
        <v>4.0</v>
      </c>
      <c r="AI74" s="1" t="s">
        <v>55</v>
      </c>
      <c r="AJ74" s="1">
        <v>21.0</v>
      </c>
      <c r="AK74" s="1">
        <v>10.0</v>
      </c>
      <c r="AL74" s="1">
        <v>172.0</v>
      </c>
      <c r="AM74" s="1" t="s">
        <v>55</v>
      </c>
      <c r="AN74" s="1">
        <v>68.0</v>
      </c>
      <c r="AO74" s="1">
        <v>68.0</v>
      </c>
      <c r="AP74" s="1" t="s">
        <v>501</v>
      </c>
      <c r="AQ74" s="3" t="str">
        <f>HYPERLINK("https://icf.clappia.com/app/GMB253374/submission/QRD40619323/ICF247370-GMB253374-452jk0gggjbe00000000/SIG-20250630_135713acdd.jpeg", "SIG-20250630_135713acdd.jpeg")</f>
        <v>SIG-20250630_135713acdd.jpeg</v>
      </c>
      <c r="AR74" s="1" t="s">
        <v>502</v>
      </c>
      <c r="AS74" s="3" t="str">
        <f>HYPERLINK("https://icf.clappia.com/app/GMB253374/submission/QRD40619323/ICF247370-GMB253374-edfb93j32h1i0000000/SIG-20250630_14083jbon.jpeg", "SIG-20250630_14083jbon.jpeg")</f>
        <v>SIG-20250630_14083jbon.jpeg</v>
      </c>
      <c r="AT74" s="1" t="s">
        <v>503</v>
      </c>
      <c r="AU74" s="3" t="str">
        <f>HYPERLINK("https://icf.clappia.com/app/GMB253374/submission/QRD40619323/ICF247370-GMB253374-1nl4l7b1dpjm00000000/SIG-20250630_1436j8i64.jpeg", "SIG-20250630_1436j8i64.jpeg")</f>
        <v>SIG-20250630_1436j8i64.jpeg</v>
      </c>
      <c r="AV74" s="3" t="str">
        <f>HYPERLINK("https://www.google.com/maps/place/8.4152546%2C-11.6669115", "8.4152546,-11.6669115")</f>
        <v>8.4152546,-11.6669115</v>
      </c>
    </row>
    <row r="75" ht="15.75" customHeight="1">
      <c r="A75" s="1" t="s">
        <v>504</v>
      </c>
      <c r="B75" s="1" t="s">
        <v>236</v>
      </c>
      <c r="C75" s="1" t="s">
        <v>499</v>
      </c>
      <c r="D75" s="1" t="s">
        <v>499</v>
      </c>
      <c r="E75" s="1" t="s">
        <v>505</v>
      </c>
      <c r="F75" s="1" t="s">
        <v>50</v>
      </c>
      <c r="G75" s="1">
        <v>2847.0</v>
      </c>
      <c r="H75" s="1" t="s">
        <v>51</v>
      </c>
      <c r="I75" s="1">
        <v>30.0</v>
      </c>
      <c r="J75" s="1">
        <v>14.0</v>
      </c>
      <c r="K75" s="1">
        <v>14.0</v>
      </c>
      <c r="L75" s="1">
        <v>16.0</v>
      </c>
      <c r="M75" s="1">
        <v>16.0</v>
      </c>
      <c r="N75" s="1" t="s">
        <v>52</v>
      </c>
      <c r="O75" s="1">
        <v>10.0</v>
      </c>
      <c r="P75" s="1">
        <v>7.0</v>
      </c>
      <c r="Q75" s="1">
        <v>7.0</v>
      </c>
      <c r="R75" s="1">
        <v>3.0</v>
      </c>
      <c r="S75" s="1">
        <v>3.0</v>
      </c>
      <c r="T75" s="1" t="s">
        <v>53</v>
      </c>
      <c r="U75" s="1">
        <v>13.0</v>
      </c>
      <c r="V75" s="1">
        <v>7.0</v>
      </c>
      <c r="W75" s="1">
        <v>7.0</v>
      </c>
      <c r="X75" s="1">
        <v>6.0</v>
      </c>
      <c r="Y75" s="1">
        <v>6.0</v>
      </c>
      <c r="Z75" s="1" t="s">
        <v>54</v>
      </c>
      <c r="AA75" s="1">
        <v>10.0</v>
      </c>
      <c r="AB75" s="1">
        <v>7.0</v>
      </c>
      <c r="AC75" s="1">
        <v>7.0</v>
      </c>
      <c r="AD75" s="1">
        <v>3.0</v>
      </c>
      <c r="AE75" s="1">
        <v>3.0</v>
      </c>
      <c r="AF75" s="1" t="s">
        <v>56</v>
      </c>
      <c r="AG75" s="1">
        <v>10.0</v>
      </c>
      <c r="AH75" s="1">
        <v>6.0</v>
      </c>
      <c r="AI75" s="1">
        <v>6.0</v>
      </c>
      <c r="AJ75" s="1">
        <v>4.0</v>
      </c>
      <c r="AK75" s="1">
        <v>4.0</v>
      </c>
      <c r="AL75" s="1">
        <v>73.0</v>
      </c>
      <c r="AM75" s="1">
        <v>10.0</v>
      </c>
      <c r="AN75" s="1">
        <v>2764.0</v>
      </c>
      <c r="AO75" s="1">
        <v>17.0</v>
      </c>
      <c r="AP75" s="1" t="s">
        <v>506</v>
      </c>
      <c r="AQ75" s="3" t="str">
        <f>HYPERLINK("https://icf.clappia.com/app/GMB253374/submission/GQP18205518/ICF247370-GMB253374-3fek81j50lmm00000000/SIG-20250630_1432egkig.jpeg", "SIG-20250630_1432egkig.jpeg")</f>
        <v>SIG-20250630_1432egkig.jpeg</v>
      </c>
      <c r="AR75" s="1" t="s">
        <v>507</v>
      </c>
      <c r="AS75" s="3" t="str">
        <f>HYPERLINK("https://icf.clappia.com/app/GMB253374/submission/GQP18205518/ICF247370-GMB253374-29e6dk0da4gpm0000000/SIG-20250630_1433i5054.jpeg", "SIG-20250630_1433i5054.jpeg")</f>
        <v>SIG-20250630_1433i5054.jpeg</v>
      </c>
      <c r="AT75" s="1" t="s">
        <v>508</v>
      </c>
      <c r="AU75" s="3" t="str">
        <f>HYPERLINK("https://icf.clappia.com/app/GMB253374/submission/GQP18205518/ICF247370-GMB253374-4hec07b5o1kg00000000/SIG-20250630_1434g905.jpeg", "SIG-20250630_1434g905.jpeg")</f>
        <v>SIG-20250630_1434g905.jpeg</v>
      </c>
      <c r="AV75" s="3" t="str">
        <f>HYPERLINK("https://www.google.com/maps/place/7.7263194%2C-11.9071741", "7.7263194,-11.9071741")</f>
        <v>7.7263194,-11.9071741</v>
      </c>
    </row>
    <row r="76" ht="15.75" customHeight="1">
      <c r="A76" s="1" t="s">
        <v>509</v>
      </c>
      <c r="B76" s="1" t="s">
        <v>162</v>
      </c>
      <c r="C76" s="1" t="s">
        <v>510</v>
      </c>
      <c r="D76" s="1" t="s">
        <v>510</v>
      </c>
      <c r="E76" s="1" t="s">
        <v>511</v>
      </c>
      <c r="F76" s="1" t="s">
        <v>50</v>
      </c>
      <c r="G76" s="1">
        <v>150.0</v>
      </c>
      <c r="H76" s="1" t="s">
        <v>51</v>
      </c>
      <c r="I76" s="1">
        <v>40.0</v>
      </c>
      <c r="J76" s="1">
        <v>19.0</v>
      </c>
      <c r="K76" s="1">
        <v>8.0</v>
      </c>
      <c r="L76" s="1">
        <v>21.0</v>
      </c>
      <c r="M76" s="1">
        <v>10.0</v>
      </c>
      <c r="N76" s="1" t="s">
        <v>52</v>
      </c>
      <c r="O76" s="1">
        <v>58.0</v>
      </c>
      <c r="P76" s="1">
        <v>22.0</v>
      </c>
      <c r="Q76" s="1">
        <v>9.0</v>
      </c>
      <c r="R76" s="1">
        <v>36.0</v>
      </c>
      <c r="S76" s="1">
        <v>19.0</v>
      </c>
      <c r="T76" s="1" t="s">
        <v>53</v>
      </c>
      <c r="U76" s="1">
        <v>43.0</v>
      </c>
      <c r="V76" s="1">
        <v>21.0</v>
      </c>
      <c r="W76" s="1">
        <v>15.0</v>
      </c>
      <c r="X76" s="1">
        <v>22.0</v>
      </c>
      <c r="Y76" s="1">
        <v>14.0</v>
      </c>
      <c r="Z76" s="1" t="s">
        <v>54</v>
      </c>
      <c r="AA76" s="1">
        <v>34.0</v>
      </c>
      <c r="AB76" s="1">
        <v>16.0</v>
      </c>
      <c r="AC76" s="1">
        <v>13.0</v>
      </c>
      <c r="AD76" s="1">
        <v>18.0</v>
      </c>
      <c r="AE76" s="1">
        <v>13.0</v>
      </c>
      <c r="AF76" s="1" t="s">
        <v>56</v>
      </c>
      <c r="AG76" s="1">
        <v>41.0</v>
      </c>
      <c r="AH76" s="1">
        <v>23.0</v>
      </c>
      <c r="AI76" s="1">
        <v>23.0</v>
      </c>
      <c r="AJ76" s="1">
        <v>18.0</v>
      </c>
      <c r="AK76" s="1">
        <v>18.0</v>
      </c>
      <c r="AL76" s="1">
        <v>142.0</v>
      </c>
      <c r="AM76" s="1" t="s">
        <v>55</v>
      </c>
      <c r="AN76" s="1">
        <v>8.0</v>
      </c>
      <c r="AO76" s="1">
        <v>8.0</v>
      </c>
      <c r="AP76" s="1" t="s">
        <v>512</v>
      </c>
      <c r="AQ76" s="3" t="str">
        <f>HYPERLINK("https://icf.clappia.com/app/GMB253374/submission/IUS27442434/ICF247370-GMB253374-1fpbgl7foj9a00000000/SIG-20250630_1433jjilj.jpeg", "SIG-20250630_1433jjilj.jpeg")</f>
        <v>SIG-20250630_1433jjilj.jpeg</v>
      </c>
      <c r="AR76" s="1" t="s">
        <v>513</v>
      </c>
      <c r="AS76" s="3" t="str">
        <f>HYPERLINK("https://icf.clappia.com/app/GMB253374/submission/IUS27442434/ICF247370-GMB253374-635078ggn5he00000000/SIG-20250630_143330618.jpeg", "SIG-20250630_143330618.jpeg")</f>
        <v>SIG-20250630_143330618.jpeg</v>
      </c>
      <c r="AT76" s="1" t="s">
        <v>514</v>
      </c>
      <c r="AU76" s="3" t="str">
        <f>HYPERLINK("https://icf.clappia.com/app/GMB253374/submission/IUS27442434/ICF247370-GMB253374-6o8h3n9no1h20000000/SIG-20250630_1435115jjd.jpeg", "SIG-20250630_1435115jjd.jpeg")</f>
        <v>SIG-20250630_1435115jjd.jpeg</v>
      </c>
      <c r="AV76" s="3" t="str">
        <f>HYPERLINK("https://www.google.com/maps/place/8.8895358%2C-12.0310743", "8.8895358,-12.0310743")</f>
        <v>8.8895358,-12.0310743</v>
      </c>
    </row>
    <row r="77" ht="15.75" customHeight="1">
      <c r="A77" s="1" t="s">
        <v>515</v>
      </c>
      <c r="B77" s="1" t="s">
        <v>207</v>
      </c>
      <c r="C77" s="1" t="s">
        <v>510</v>
      </c>
      <c r="D77" s="1" t="s">
        <v>510</v>
      </c>
      <c r="E77" s="1" t="s">
        <v>516</v>
      </c>
      <c r="F77" s="1" t="s">
        <v>50</v>
      </c>
      <c r="G77" s="1">
        <v>179.0</v>
      </c>
      <c r="H77" s="1" t="s">
        <v>51</v>
      </c>
      <c r="I77" s="1">
        <v>68.0</v>
      </c>
      <c r="J77" s="1">
        <v>32.0</v>
      </c>
      <c r="K77" s="1">
        <v>32.0</v>
      </c>
      <c r="L77" s="1">
        <v>36.0</v>
      </c>
      <c r="M77" s="1">
        <v>34.0</v>
      </c>
      <c r="N77" s="1" t="s">
        <v>52</v>
      </c>
      <c r="O77" s="1">
        <v>35.0</v>
      </c>
      <c r="P77" s="1">
        <v>15.0</v>
      </c>
      <c r="Q77" s="1">
        <v>13.0</v>
      </c>
      <c r="R77" s="1">
        <v>20.0</v>
      </c>
      <c r="S77" s="1">
        <v>20.0</v>
      </c>
      <c r="T77" s="1" t="s">
        <v>53</v>
      </c>
      <c r="U77" s="1">
        <v>28.0</v>
      </c>
      <c r="V77" s="1">
        <v>11.0</v>
      </c>
      <c r="W77" s="1">
        <v>11.0</v>
      </c>
      <c r="X77" s="1">
        <v>17.0</v>
      </c>
      <c r="Y77" s="1">
        <v>17.0</v>
      </c>
      <c r="Z77" s="1" t="s">
        <v>54</v>
      </c>
      <c r="AA77" s="1">
        <v>22.0</v>
      </c>
      <c r="AB77" s="1">
        <v>10.0</v>
      </c>
      <c r="AC77" s="1">
        <v>10.0</v>
      </c>
      <c r="AD77" s="1">
        <v>12.0</v>
      </c>
      <c r="AE77" s="1">
        <v>11.0</v>
      </c>
      <c r="AF77" s="1" t="s">
        <v>56</v>
      </c>
      <c r="AG77" s="1">
        <v>23.0</v>
      </c>
      <c r="AH77" s="1">
        <v>10.0</v>
      </c>
      <c r="AI77" s="1">
        <v>9.0</v>
      </c>
      <c r="AJ77" s="1">
        <v>13.0</v>
      </c>
      <c r="AK77" s="1">
        <v>12.0</v>
      </c>
      <c r="AL77" s="1">
        <v>169.0</v>
      </c>
      <c r="AM77" s="1">
        <v>10.0</v>
      </c>
      <c r="AN77" s="1" t="s">
        <v>55</v>
      </c>
      <c r="AO77" s="1" t="s">
        <v>55</v>
      </c>
      <c r="AP77" s="1" t="s">
        <v>517</v>
      </c>
      <c r="AQ77" s="3" t="str">
        <f>HYPERLINK("https://icf.clappia.com/app/GMB253374/submission/DIS60264184/ICF247370-GMB253374-3cfhi4oaod9g00000000/SIG-20250630_111884hi6.jpeg", "SIG-20250630_111884hi6.jpeg")</f>
        <v>SIG-20250630_111884hi6.jpeg</v>
      </c>
      <c r="AR77" s="1" t="s">
        <v>518</v>
      </c>
      <c r="AS77" s="3" t="str">
        <f>HYPERLINK("https://icf.clappia.com/app/GMB253374/submission/DIS60264184/ICF247370-GMB253374-50ipmahbpjie00000000/SIG-20250630_1123ajb9b.jpeg", "SIG-20250630_1123ajb9b.jpeg")</f>
        <v>SIG-20250630_1123ajb9b.jpeg</v>
      </c>
      <c r="AT77" s="1" t="s">
        <v>519</v>
      </c>
      <c r="AU77" s="3" t="str">
        <f>HYPERLINK("https://icf.clappia.com/app/GMB253374/submission/DIS60264184/ICF247370-GMB253374-35g146f75fo000000000/SIG-20250630_11221016n6.jpeg", "SIG-20250630_11221016n6.jpeg")</f>
        <v>SIG-20250630_11221016n6.jpeg</v>
      </c>
      <c r="AV77" s="3" t="str">
        <f>HYPERLINK("https://www.google.com/maps/place/8.041465%2C-11.341485", "8.041465,-11.341485")</f>
        <v>8.041465,-11.341485</v>
      </c>
    </row>
    <row r="78" ht="15.75" customHeight="1">
      <c r="A78" s="1" t="s">
        <v>520</v>
      </c>
      <c r="B78" s="1" t="s">
        <v>169</v>
      </c>
      <c r="C78" s="1" t="s">
        <v>521</v>
      </c>
      <c r="D78" s="1" t="s">
        <v>521</v>
      </c>
      <c r="E78" s="1" t="s">
        <v>522</v>
      </c>
      <c r="F78" s="1" t="s">
        <v>50</v>
      </c>
      <c r="G78" s="1">
        <v>550.0</v>
      </c>
      <c r="H78" s="1" t="s">
        <v>51</v>
      </c>
      <c r="I78" s="1">
        <v>114.0</v>
      </c>
      <c r="J78" s="1">
        <v>60.0</v>
      </c>
      <c r="K78" s="1">
        <v>44.0</v>
      </c>
      <c r="L78" s="1">
        <v>54.0</v>
      </c>
      <c r="M78" s="1">
        <v>39.0</v>
      </c>
      <c r="N78" s="1" t="s">
        <v>52</v>
      </c>
      <c r="O78" s="1">
        <v>89.0</v>
      </c>
      <c r="P78" s="1">
        <v>45.0</v>
      </c>
      <c r="Q78" s="1">
        <v>36.0</v>
      </c>
      <c r="R78" s="1">
        <v>44.0</v>
      </c>
      <c r="S78" s="1">
        <v>35.0</v>
      </c>
      <c r="T78" s="1" t="s">
        <v>53</v>
      </c>
      <c r="U78" s="1">
        <v>121.0</v>
      </c>
      <c r="V78" s="1">
        <v>69.0</v>
      </c>
      <c r="W78" s="1">
        <v>48.0</v>
      </c>
      <c r="X78" s="1">
        <v>52.0</v>
      </c>
      <c r="Y78" s="1">
        <v>36.0</v>
      </c>
      <c r="Z78" s="1" t="s">
        <v>54</v>
      </c>
      <c r="AA78" s="1">
        <v>99.0</v>
      </c>
      <c r="AB78" s="1">
        <v>49.0</v>
      </c>
      <c r="AC78" s="1">
        <v>34.0</v>
      </c>
      <c r="AD78" s="1">
        <v>50.0</v>
      </c>
      <c r="AE78" s="1">
        <v>44.0</v>
      </c>
      <c r="AF78" s="1" t="s">
        <v>56</v>
      </c>
      <c r="AG78" s="1">
        <v>114.0</v>
      </c>
      <c r="AH78" s="1">
        <v>48.0</v>
      </c>
      <c r="AI78" s="1">
        <v>31.0</v>
      </c>
      <c r="AJ78" s="1">
        <v>66.0</v>
      </c>
      <c r="AK78" s="1">
        <v>52.0</v>
      </c>
      <c r="AL78" s="1">
        <v>399.0</v>
      </c>
      <c r="AM78" s="1" t="s">
        <v>55</v>
      </c>
      <c r="AN78" s="1">
        <v>151.0</v>
      </c>
      <c r="AO78" s="1">
        <v>151.0</v>
      </c>
      <c r="AP78" s="1" t="s">
        <v>523</v>
      </c>
      <c r="AQ78" s="3" t="str">
        <f>HYPERLINK("https://icf.clappia.com/app/GMB253374/submission/YCY69220877/ICF247370-GMB253374-m16l2h7efok00000000/SIG-20250630_143013a71k.jpeg", "SIG-20250630_143013a71k.jpeg")</f>
        <v>SIG-20250630_143013a71k.jpeg</v>
      </c>
      <c r="AR78" s="1" t="s">
        <v>524</v>
      </c>
      <c r="AS78" s="3" t="str">
        <f>HYPERLINK("https://icf.clappia.com/app/GMB253374/submission/YCY69220877/ICF247370-GMB253374-1d35dh043jje00000000/SIG-20250630_143012ihfj.jpeg", "SIG-20250630_143012ihfj.jpeg")</f>
        <v>SIG-20250630_143012ihfj.jpeg</v>
      </c>
      <c r="AT78" s="1" t="s">
        <v>525</v>
      </c>
      <c r="AU78" s="3" t="str">
        <f>HYPERLINK("https://icf.clappia.com/app/GMB253374/submission/YCY69220877/ICF247370-GMB253374-60k3knldhnmo00000000/SIG-20250630_1431onp26.jpeg", "SIG-20250630_1431onp26.jpeg")</f>
        <v>SIG-20250630_1431onp26.jpeg</v>
      </c>
      <c r="AV78" s="3" t="str">
        <f>HYPERLINK("https://www.google.com/maps/place/8.9041808%2C-12.0402062", "8.9041808,-12.0402062")</f>
        <v>8.9041808,-12.0402062</v>
      </c>
    </row>
    <row r="79" ht="15.75" customHeight="1">
      <c r="A79" s="1" t="s">
        <v>526</v>
      </c>
      <c r="B79" s="1" t="s">
        <v>162</v>
      </c>
      <c r="C79" s="1" t="s">
        <v>527</v>
      </c>
      <c r="D79" s="1" t="s">
        <v>527</v>
      </c>
      <c r="E79" s="1" t="s">
        <v>528</v>
      </c>
      <c r="F79" s="1" t="s">
        <v>50</v>
      </c>
      <c r="G79" s="1">
        <v>117.0</v>
      </c>
      <c r="H79" s="1" t="s">
        <v>51</v>
      </c>
      <c r="I79" s="1">
        <v>43.0</v>
      </c>
      <c r="J79" s="1">
        <v>26.0</v>
      </c>
      <c r="K79" s="1">
        <v>26.0</v>
      </c>
      <c r="L79" s="1">
        <v>17.0</v>
      </c>
      <c r="M79" s="1">
        <v>17.0</v>
      </c>
      <c r="N79" s="1" t="s">
        <v>52</v>
      </c>
      <c r="O79" s="1">
        <v>18.0</v>
      </c>
      <c r="P79" s="1">
        <v>11.0</v>
      </c>
      <c r="Q79" s="1">
        <v>11.0</v>
      </c>
      <c r="R79" s="1">
        <v>7.0</v>
      </c>
      <c r="S79" s="1">
        <v>7.0</v>
      </c>
      <c r="T79" s="1" t="s">
        <v>53</v>
      </c>
      <c r="U79" s="1">
        <v>19.0</v>
      </c>
      <c r="V79" s="1">
        <v>5.0</v>
      </c>
      <c r="W79" s="1">
        <v>4.0</v>
      </c>
      <c r="X79" s="1">
        <v>14.0</v>
      </c>
      <c r="Y79" s="1">
        <v>14.0</v>
      </c>
      <c r="Z79" s="1" t="s">
        <v>54</v>
      </c>
      <c r="AA79" s="1">
        <v>11.0</v>
      </c>
      <c r="AB79" s="1">
        <v>8.0</v>
      </c>
      <c r="AC79" s="1">
        <v>8.0</v>
      </c>
      <c r="AD79" s="1">
        <v>3.0</v>
      </c>
      <c r="AE79" s="1">
        <v>3.0</v>
      </c>
      <c r="AF79" s="1" t="s">
        <v>56</v>
      </c>
      <c r="AG79" s="1">
        <v>10.0</v>
      </c>
      <c r="AH79" s="1">
        <v>6.0</v>
      </c>
      <c r="AI79" s="1">
        <v>5.0</v>
      </c>
      <c r="AJ79" s="1">
        <v>4.0</v>
      </c>
      <c r="AK79" s="1">
        <v>4.0</v>
      </c>
      <c r="AL79" s="1">
        <v>99.0</v>
      </c>
      <c r="AM79" s="1">
        <v>1.0</v>
      </c>
      <c r="AN79" s="1">
        <v>17.0</v>
      </c>
      <c r="AO79" s="1">
        <v>17.0</v>
      </c>
      <c r="AP79" s="1" t="s">
        <v>529</v>
      </c>
      <c r="AQ79" s="3" t="str">
        <f>HYPERLINK("https://icf.clappia.com/app/GMB253374/submission/JIL18588290/ICF247370-GMB253374-2c8459aihkmo00000000/SIG-20250630_14236bnel.jpeg", "SIG-20250630_14236bnel.jpeg")</f>
        <v>SIG-20250630_14236bnel.jpeg</v>
      </c>
      <c r="AR79" s="1" t="s">
        <v>530</v>
      </c>
      <c r="AS79" s="3" t="str">
        <f>HYPERLINK("https://icf.clappia.com/app/GMB253374/submission/JIL18588290/ICF247370-GMB253374-12m1l2a578ndi0000000/SIG-20250630_1424iinb6.jpeg", "SIG-20250630_1424iinb6.jpeg")</f>
        <v>SIG-20250630_1424iinb6.jpeg</v>
      </c>
      <c r="AT79" s="1" t="s">
        <v>531</v>
      </c>
      <c r="AU79" s="3" t="str">
        <f>HYPERLINK("https://icf.clappia.com/app/GMB253374/submission/JIL18588290/ICF247370-GMB253374-5mb7d2df1a3m00000000/SIG-20250630_14252ehfl.jpeg", "SIG-20250630_14252ehfl.jpeg")</f>
        <v>SIG-20250630_14252ehfl.jpeg</v>
      </c>
      <c r="AV79" s="3" t="str">
        <f>HYPERLINK("https://www.google.com/maps/place/9.284422%2C-11.9545999", "9.284422,-11.9545999")</f>
        <v>9.284422,-11.9545999</v>
      </c>
    </row>
    <row r="80" ht="15.75" customHeight="1">
      <c r="A80" s="1" t="s">
        <v>532</v>
      </c>
      <c r="B80" s="1" t="s">
        <v>276</v>
      </c>
      <c r="C80" s="1" t="s">
        <v>533</v>
      </c>
      <c r="D80" s="1" t="s">
        <v>533</v>
      </c>
      <c r="E80" s="1" t="s">
        <v>534</v>
      </c>
      <c r="F80" s="1" t="s">
        <v>50</v>
      </c>
      <c r="G80" s="1">
        <v>100.0</v>
      </c>
      <c r="H80" s="1" t="s">
        <v>51</v>
      </c>
      <c r="I80" s="1">
        <v>31.0</v>
      </c>
      <c r="J80" s="1">
        <v>15.0</v>
      </c>
      <c r="K80" s="1">
        <v>15.0</v>
      </c>
      <c r="L80" s="1">
        <v>16.0</v>
      </c>
      <c r="M80" s="1">
        <v>16.0</v>
      </c>
      <c r="N80" s="1" t="s">
        <v>52</v>
      </c>
      <c r="O80" s="1">
        <v>51.0</v>
      </c>
      <c r="P80" s="1">
        <v>25.0</v>
      </c>
      <c r="Q80" s="1">
        <v>25.0</v>
      </c>
      <c r="R80" s="1">
        <v>26.0</v>
      </c>
      <c r="S80" s="1">
        <v>26.0</v>
      </c>
      <c r="T80" s="1" t="s">
        <v>53</v>
      </c>
      <c r="U80" s="1" t="s">
        <v>55</v>
      </c>
      <c r="V80" s="1" t="s">
        <v>55</v>
      </c>
      <c r="W80" s="1" t="s">
        <v>55</v>
      </c>
      <c r="X80" s="1" t="s">
        <v>55</v>
      </c>
      <c r="Y80" s="1" t="s">
        <v>55</v>
      </c>
      <c r="Z80" s="1" t="s">
        <v>54</v>
      </c>
      <c r="AA80" s="1" t="s">
        <v>55</v>
      </c>
      <c r="AB80" s="1" t="s">
        <v>55</v>
      </c>
      <c r="AC80" s="1" t="s">
        <v>55</v>
      </c>
      <c r="AD80" s="1" t="s">
        <v>55</v>
      </c>
      <c r="AE80" s="1" t="s">
        <v>55</v>
      </c>
      <c r="AF80" s="1" t="s">
        <v>56</v>
      </c>
      <c r="AG80" s="1" t="s">
        <v>55</v>
      </c>
      <c r="AH80" s="1" t="s">
        <v>55</v>
      </c>
      <c r="AI80" s="1" t="s">
        <v>55</v>
      </c>
      <c r="AJ80" s="1" t="s">
        <v>55</v>
      </c>
      <c r="AK80" s="1" t="s">
        <v>55</v>
      </c>
      <c r="AL80" s="1">
        <v>82.0</v>
      </c>
      <c r="AM80" s="1" t="s">
        <v>55</v>
      </c>
      <c r="AN80" s="1">
        <v>18.0</v>
      </c>
      <c r="AO80" s="1">
        <v>18.0</v>
      </c>
      <c r="AP80" s="1" t="s">
        <v>535</v>
      </c>
      <c r="AQ80" s="3" t="str">
        <f>HYPERLINK("https://icf.clappia.com/app/GMB253374/submission/WRK64213694/ICF247370-GMB253374-dklf88ghk9i80000000/SIG-20250630_1203d4o15.jpeg", "SIG-20250630_1203d4o15.jpeg")</f>
        <v>SIG-20250630_1203d4o15.jpeg</v>
      </c>
      <c r="AR80" s="1" t="s">
        <v>536</v>
      </c>
      <c r="AS80" s="3" t="str">
        <f>HYPERLINK("https://icf.clappia.com/app/GMB253374/submission/WRK64213694/ICF247370-GMB253374-m4m3cg9gf6de000000/SIG-20250630_1201e722o.jpeg", "SIG-20250630_1201e722o.jpeg")</f>
        <v>SIG-20250630_1201e722o.jpeg</v>
      </c>
      <c r="AT80" s="1" t="s">
        <v>537</v>
      </c>
      <c r="AU80" s="3" t="str">
        <f>HYPERLINK("https://icf.clappia.com/app/GMB253374/submission/WRK64213694/ICF247370-GMB253374-321bmg7haml400000000/SIG-20250630_120216dfp4.jpeg", "SIG-20250630_120216dfp4.jpeg")</f>
        <v>SIG-20250630_120216dfp4.jpeg</v>
      </c>
      <c r="AV80" s="3" t="str">
        <f>HYPERLINK("https://www.google.com/maps/place/7.7848297%2C-11.6504459", "7.7848297,-11.6504459")</f>
        <v>7.7848297,-11.6504459</v>
      </c>
    </row>
    <row r="81" ht="15.75" customHeight="1">
      <c r="A81" s="1" t="s">
        <v>538</v>
      </c>
      <c r="B81" s="1" t="s">
        <v>162</v>
      </c>
      <c r="C81" s="1" t="s">
        <v>539</v>
      </c>
      <c r="D81" s="1" t="s">
        <v>539</v>
      </c>
      <c r="E81" s="1" t="s">
        <v>540</v>
      </c>
      <c r="F81" s="1" t="s">
        <v>50</v>
      </c>
      <c r="G81" s="1">
        <v>229.0</v>
      </c>
      <c r="H81" s="1" t="s">
        <v>51</v>
      </c>
      <c r="I81" s="1">
        <v>68.0</v>
      </c>
      <c r="J81" s="1">
        <v>30.0</v>
      </c>
      <c r="K81" s="1">
        <v>30.0</v>
      </c>
      <c r="L81" s="1">
        <v>38.0</v>
      </c>
      <c r="M81" s="1">
        <v>36.0</v>
      </c>
      <c r="N81" s="1" t="s">
        <v>52</v>
      </c>
      <c r="O81" s="1">
        <v>50.0</v>
      </c>
      <c r="P81" s="1">
        <v>26.0</v>
      </c>
      <c r="Q81" s="1">
        <v>25.0</v>
      </c>
      <c r="R81" s="1">
        <v>24.0</v>
      </c>
      <c r="S81" s="1">
        <v>24.0</v>
      </c>
      <c r="T81" s="1" t="s">
        <v>53</v>
      </c>
      <c r="U81" s="1">
        <v>33.0</v>
      </c>
      <c r="V81" s="1">
        <v>18.0</v>
      </c>
      <c r="W81" s="1">
        <v>17.0</v>
      </c>
      <c r="X81" s="1">
        <v>15.0</v>
      </c>
      <c r="Y81" s="1">
        <v>15.0</v>
      </c>
      <c r="Z81" s="1" t="s">
        <v>54</v>
      </c>
      <c r="AA81" s="1">
        <v>40.0</v>
      </c>
      <c r="AB81" s="1">
        <v>16.0</v>
      </c>
      <c r="AC81" s="1">
        <v>16.0</v>
      </c>
      <c r="AD81" s="1">
        <v>24.0</v>
      </c>
      <c r="AE81" s="1">
        <v>24.0</v>
      </c>
      <c r="AF81" s="1" t="s">
        <v>56</v>
      </c>
      <c r="AG81" s="1">
        <v>38.0</v>
      </c>
      <c r="AH81" s="1">
        <v>15.0</v>
      </c>
      <c r="AI81" s="1">
        <v>15.0</v>
      </c>
      <c r="AJ81" s="1">
        <v>18.0</v>
      </c>
      <c r="AK81" s="1">
        <v>18.0</v>
      </c>
      <c r="AL81" s="1">
        <v>220.0</v>
      </c>
      <c r="AM81" s="1">
        <v>9.0</v>
      </c>
      <c r="AN81" s="1" t="s">
        <v>55</v>
      </c>
      <c r="AO81" s="1" t="s">
        <v>55</v>
      </c>
      <c r="AP81" s="1" t="s">
        <v>541</v>
      </c>
      <c r="AQ81" s="3" t="str">
        <f>HYPERLINK("https://icf.clappia.com/app/GMB253374/submission/WND07164550/ICF247370-GMB253374-4pf16e59hd6g00000000/SIG-20250630_141447g6p.jpeg", "SIG-20250630_141447g6p.jpeg")</f>
        <v>SIG-20250630_141447g6p.jpeg</v>
      </c>
      <c r="AR81" s="1" t="s">
        <v>542</v>
      </c>
      <c r="AS81" s="3" t="str">
        <f>HYPERLINK("https://icf.clappia.com/app/GMB253374/submission/WND07164550/ICF247370-GMB253374-269oaad3npcei0000000/SIG-20250630_1417119762.jpeg", "SIG-20250630_1417119762.jpeg")</f>
        <v>SIG-20250630_1417119762.jpeg</v>
      </c>
      <c r="AT81" s="1" t="s">
        <v>543</v>
      </c>
      <c r="AU81" s="3" t="str">
        <f>HYPERLINK("https://icf.clappia.com/app/GMB253374/submission/WND07164550/ICF247370-GMB253374-1829kk5dm13e00000000/SIG-20250630_141710pnmm.jpeg", "SIG-20250630_141710pnmm.jpeg")</f>
        <v>SIG-20250630_141710pnmm.jpeg</v>
      </c>
      <c r="AV81" s="3" t="str">
        <f>HYPERLINK("https://www.google.com/maps/place/9.1474574%2C-11.9638736", "9.1474574,-11.9638736")</f>
        <v>9.1474574,-11.9638736</v>
      </c>
    </row>
    <row r="82" ht="15.75" customHeight="1">
      <c r="A82" s="1" t="s">
        <v>544</v>
      </c>
      <c r="B82" s="1" t="s">
        <v>276</v>
      </c>
      <c r="C82" s="1" t="s">
        <v>545</v>
      </c>
      <c r="D82" s="1" t="s">
        <v>545</v>
      </c>
      <c r="E82" s="1" t="s">
        <v>546</v>
      </c>
      <c r="F82" s="1" t="s">
        <v>50</v>
      </c>
      <c r="G82" s="1">
        <v>200.0</v>
      </c>
      <c r="H82" s="1" t="s">
        <v>51</v>
      </c>
      <c r="I82" s="1">
        <v>83.0</v>
      </c>
      <c r="J82" s="1">
        <v>38.0</v>
      </c>
      <c r="K82" s="1">
        <v>38.0</v>
      </c>
      <c r="L82" s="1">
        <v>45.0</v>
      </c>
      <c r="M82" s="1">
        <v>45.0</v>
      </c>
      <c r="N82" s="1" t="s">
        <v>52</v>
      </c>
      <c r="O82" s="1">
        <v>42.0</v>
      </c>
      <c r="P82" s="1">
        <v>20.0</v>
      </c>
      <c r="Q82" s="1">
        <v>20.0</v>
      </c>
      <c r="R82" s="1">
        <v>22.0</v>
      </c>
      <c r="S82" s="1">
        <v>22.0</v>
      </c>
      <c r="T82" s="1" t="s">
        <v>53</v>
      </c>
      <c r="U82" s="1">
        <v>58.0</v>
      </c>
      <c r="V82" s="1">
        <v>25.0</v>
      </c>
      <c r="W82" s="1">
        <v>25.0</v>
      </c>
      <c r="X82" s="1">
        <v>33.0</v>
      </c>
      <c r="Y82" s="1">
        <v>33.0</v>
      </c>
      <c r="Z82" s="1" t="s">
        <v>54</v>
      </c>
      <c r="AA82" s="1" t="s">
        <v>55</v>
      </c>
      <c r="AB82" s="1" t="s">
        <v>55</v>
      </c>
      <c r="AC82" s="1" t="s">
        <v>55</v>
      </c>
      <c r="AD82" s="1" t="s">
        <v>55</v>
      </c>
      <c r="AE82" s="1" t="s">
        <v>55</v>
      </c>
      <c r="AF82" s="1" t="s">
        <v>56</v>
      </c>
      <c r="AG82" s="1" t="s">
        <v>55</v>
      </c>
      <c r="AH82" s="1" t="s">
        <v>55</v>
      </c>
      <c r="AI82" s="1" t="s">
        <v>55</v>
      </c>
      <c r="AJ82" s="1" t="s">
        <v>55</v>
      </c>
      <c r="AK82" s="1" t="s">
        <v>55</v>
      </c>
      <c r="AL82" s="1">
        <v>183.0</v>
      </c>
      <c r="AM82" s="1" t="s">
        <v>55</v>
      </c>
      <c r="AN82" s="1">
        <v>17.0</v>
      </c>
      <c r="AO82" s="1">
        <v>17.0</v>
      </c>
      <c r="AP82" s="1" t="s">
        <v>547</v>
      </c>
      <c r="AQ82" s="3" t="str">
        <f>HYPERLINK("https://icf.clappia.com/app/GMB253374/submission/HEY22891265/ICF247370-GMB253374-6623lk2nfdae00000000/SIG-20250630_131614ek2m.jpeg", "SIG-20250630_131614ek2m.jpeg")</f>
        <v>SIG-20250630_131614ek2m.jpeg</v>
      </c>
      <c r="AR82" s="1" t="s">
        <v>548</v>
      </c>
      <c r="AS82" s="3" t="str">
        <f>HYPERLINK("https://icf.clappia.com/app/GMB253374/submission/HEY22891265/ICF247370-GMB253374-1ka9inm57n51g0000000/SIG-20250630_1317707oh.jpeg", "SIG-20250630_1317707oh.jpeg")</f>
        <v>SIG-20250630_1317707oh.jpeg</v>
      </c>
      <c r="AT82" s="1" t="s">
        <v>549</v>
      </c>
      <c r="AU82" s="3" t="str">
        <f>HYPERLINK("https://icf.clappia.com/app/GMB253374/submission/HEY22891265/ICF247370-GMB253374-2ol12l0a2if000000000/SIG-20250630_13558epel.jpeg", "SIG-20250630_13558epel.jpeg")</f>
        <v>SIG-20250630_13558epel.jpeg</v>
      </c>
      <c r="AV82" s="3" t="str">
        <f>HYPERLINK("https://www.google.com/maps/place/7.8072417%2C-11.6388", "7.8072417,-11.6388")</f>
        <v>7.8072417,-11.6388</v>
      </c>
    </row>
    <row r="83" ht="15.75" customHeight="1">
      <c r="A83" s="1" t="s">
        <v>550</v>
      </c>
      <c r="B83" s="1" t="s">
        <v>46</v>
      </c>
      <c r="C83" s="1" t="s">
        <v>551</v>
      </c>
      <c r="D83" s="1" t="s">
        <v>552</v>
      </c>
      <c r="E83" s="1" t="s">
        <v>553</v>
      </c>
      <c r="F83" s="1" t="s">
        <v>50</v>
      </c>
      <c r="G83" s="1">
        <v>200.0</v>
      </c>
      <c r="H83" s="1" t="s">
        <v>51</v>
      </c>
      <c r="I83" s="1">
        <v>46.0</v>
      </c>
      <c r="J83" s="1">
        <v>27.0</v>
      </c>
      <c r="K83" s="1">
        <v>27.0</v>
      </c>
      <c r="L83" s="1">
        <v>19.0</v>
      </c>
      <c r="M83" s="1">
        <v>19.0</v>
      </c>
      <c r="N83" s="1" t="s">
        <v>52</v>
      </c>
      <c r="O83" s="1">
        <v>50.0</v>
      </c>
      <c r="P83" s="1">
        <v>20.0</v>
      </c>
      <c r="Q83" s="1">
        <v>20.0</v>
      </c>
      <c r="R83" s="1">
        <v>30.0</v>
      </c>
      <c r="S83" s="1">
        <v>30.0</v>
      </c>
      <c r="T83" s="1" t="s">
        <v>53</v>
      </c>
      <c r="U83" s="1">
        <v>62.0</v>
      </c>
      <c r="V83" s="1">
        <v>27.0</v>
      </c>
      <c r="W83" s="1">
        <v>27.0</v>
      </c>
      <c r="X83" s="1">
        <v>35.0</v>
      </c>
      <c r="Y83" s="1">
        <v>35.0</v>
      </c>
      <c r="Z83" s="1" t="s">
        <v>54</v>
      </c>
      <c r="AA83" s="1" t="s">
        <v>55</v>
      </c>
      <c r="AB83" s="1" t="s">
        <v>55</v>
      </c>
      <c r="AC83" s="1" t="s">
        <v>55</v>
      </c>
      <c r="AD83" s="1" t="s">
        <v>55</v>
      </c>
      <c r="AE83" s="1" t="s">
        <v>55</v>
      </c>
      <c r="AF83" s="1" t="s">
        <v>56</v>
      </c>
      <c r="AG83" s="1" t="s">
        <v>55</v>
      </c>
      <c r="AH83" s="1" t="s">
        <v>55</v>
      </c>
      <c r="AI83" s="1" t="s">
        <v>55</v>
      </c>
      <c r="AJ83" s="1" t="s">
        <v>55</v>
      </c>
      <c r="AK83" s="1" t="s">
        <v>55</v>
      </c>
      <c r="AL83" s="1">
        <v>158.0</v>
      </c>
      <c r="AM83" s="1" t="s">
        <v>55</v>
      </c>
      <c r="AN83" s="1">
        <v>42.0</v>
      </c>
      <c r="AO83" s="1">
        <v>42.0</v>
      </c>
      <c r="AP83" s="1" t="s">
        <v>554</v>
      </c>
      <c r="AQ83" s="3" t="str">
        <f>HYPERLINK("https://icf.clappia.com/app/GMB253374/submission/VYN33065954/ICF247370-GMB253374-2949bfd8o12fg000000/SIG-20250630_1232plden.jpeg", "SIG-20250630_1232plden.jpeg")</f>
        <v>SIG-20250630_1232plden.jpeg</v>
      </c>
      <c r="AR83" s="1" t="s">
        <v>555</v>
      </c>
      <c r="AS83" s="3" t="str">
        <f>HYPERLINK("https://icf.clappia.com/app/GMB253374/submission/VYN33065954/ICF247370-GMB253374-81d2f8mj5nbi0000000/SIG-20250630_1232117m3m.jpeg", "SIG-20250630_1232117m3m.jpeg")</f>
        <v>SIG-20250630_1232117m3m.jpeg</v>
      </c>
      <c r="AT83" s="1" t="s">
        <v>556</v>
      </c>
      <c r="AU83" s="3" t="str">
        <f>HYPERLINK("https://icf.clappia.com/app/GMB253374/submission/VYN33065954/ICF247370-GMB253374-129hf00bbnmle0000000/SIG-20250630_1235aa7dp.jpeg", "SIG-20250630_1235aa7dp.jpeg")</f>
        <v>SIG-20250630_1235aa7dp.jpeg</v>
      </c>
      <c r="AV83" s="3" t="str">
        <f>HYPERLINK("https://www.google.com/maps/place/7.5783647%2C-11.937838", "7.5783647,-11.937838")</f>
        <v>7.5783647,-11.937838</v>
      </c>
    </row>
    <row r="84" ht="15.75" customHeight="1">
      <c r="A84" s="1" t="s">
        <v>557</v>
      </c>
      <c r="B84" s="1" t="s">
        <v>296</v>
      </c>
      <c r="C84" s="1" t="s">
        <v>552</v>
      </c>
      <c r="D84" s="1" t="s">
        <v>552</v>
      </c>
      <c r="E84" s="1" t="s">
        <v>558</v>
      </c>
      <c r="F84" s="1" t="s">
        <v>50</v>
      </c>
      <c r="G84" s="1">
        <v>273.0</v>
      </c>
      <c r="H84" s="1" t="s">
        <v>51</v>
      </c>
      <c r="I84" s="1">
        <v>88.0</v>
      </c>
      <c r="J84" s="1">
        <v>38.0</v>
      </c>
      <c r="K84" s="1">
        <v>17.0</v>
      </c>
      <c r="L84" s="1">
        <v>50.0</v>
      </c>
      <c r="M84" s="1">
        <v>19.0</v>
      </c>
      <c r="N84" s="1" t="s">
        <v>52</v>
      </c>
      <c r="O84" s="1">
        <v>36.0</v>
      </c>
      <c r="P84" s="1">
        <v>17.0</v>
      </c>
      <c r="Q84" s="1">
        <v>11.0</v>
      </c>
      <c r="R84" s="1">
        <v>19.0</v>
      </c>
      <c r="S84" s="1">
        <v>11.0</v>
      </c>
      <c r="T84" s="1" t="s">
        <v>53</v>
      </c>
      <c r="U84" s="1">
        <v>35.0</v>
      </c>
      <c r="V84" s="1">
        <v>18.0</v>
      </c>
      <c r="W84" s="1">
        <v>16.0</v>
      </c>
      <c r="X84" s="1">
        <v>17.0</v>
      </c>
      <c r="Y84" s="1">
        <v>15.0</v>
      </c>
      <c r="Z84" s="1" t="s">
        <v>54</v>
      </c>
      <c r="AA84" s="1">
        <v>32.0</v>
      </c>
      <c r="AB84" s="1">
        <v>16.0</v>
      </c>
      <c r="AC84" s="1">
        <v>14.0</v>
      </c>
      <c r="AD84" s="1">
        <v>16.0</v>
      </c>
      <c r="AE84" s="1">
        <v>13.0</v>
      </c>
      <c r="AF84" s="1" t="s">
        <v>56</v>
      </c>
      <c r="AG84" s="1">
        <v>32.0</v>
      </c>
      <c r="AH84" s="1">
        <v>15.0</v>
      </c>
      <c r="AI84" s="1">
        <v>14.0</v>
      </c>
      <c r="AJ84" s="1">
        <v>17.0</v>
      </c>
      <c r="AK84" s="1">
        <v>15.0</v>
      </c>
      <c r="AL84" s="1">
        <v>145.0</v>
      </c>
      <c r="AM84" s="1" t="s">
        <v>55</v>
      </c>
      <c r="AN84" s="1">
        <v>128.0</v>
      </c>
      <c r="AO84" s="1">
        <v>128.0</v>
      </c>
      <c r="AP84" s="1" t="s">
        <v>559</v>
      </c>
      <c r="AQ84" s="3" t="str">
        <f>HYPERLINK("https://icf.clappia.com/app/GMB253374/submission/TJD87370047/ICF247370-GMB253374-6103k432lboo00000000/SIG-20250630_1414i16m2.jpeg", "SIG-20250630_1414i16m2.jpeg")</f>
        <v>SIG-20250630_1414i16m2.jpeg</v>
      </c>
      <c r="AR84" s="1" t="s">
        <v>560</v>
      </c>
      <c r="AS84" s="3" t="str">
        <f>HYPERLINK("https://icf.clappia.com/app/GMB253374/submission/TJD87370047/ICF247370-GMB253374-3h514cgncifk00000000/SIG-20250630_1414h5fn1.jpeg", "SIG-20250630_1414h5fn1.jpeg")</f>
        <v>SIG-20250630_1414h5fn1.jpeg</v>
      </c>
      <c r="AT84" s="1" t="s">
        <v>561</v>
      </c>
      <c r="AU84" s="3" t="str">
        <f>HYPERLINK("https://icf.clappia.com/app/GMB253374/submission/TJD87370047/ICF247370-GMB253374-16e0a721nf57e0000000/SIG-20250630_141415h3gh.jpeg", "SIG-20250630_141415h3gh.jpeg")</f>
        <v>SIG-20250630_141415h3gh.jpeg</v>
      </c>
      <c r="AV84" s="3" t="str">
        <f>HYPERLINK("https://www.google.com/maps/place/8.8733777%2C-12.0576143", "8.8733777,-12.0576143")</f>
        <v>8.8733777,-12.0576143</v>
      </c>
    </row>
    <row r="85" ht="15.75" customHeight="1">
      <c r="A85" s="1" t="s">
        <v>562</v>
      </c>
      <c r="B85" s="1" t="s">
        <v>46</v>
      </c>
      <c r="C85" s="1" t="s">
        <v>563</v>
      </c>
      <c r="D85" s="1" t="s">
        <v>563</v>
      </c>
      <c r="E85" s="1" t="s">
        <v>564</v>
      </c>
      <c r="F85" s="1" t="s">
        <v>50</v>
      </c>
      <c r="G85" s="1">
        <v>250.0</v>
      </c>
      <c r="H85" s="1" t="s">
        <v>51</v>
      </c>
      <c r="I85" s="1">
        <v>74.0</v>
      </c>
      <c r="J85" s="1">
        <v>36.0</v>
      </c>
      <c r="K85" s="1">
        <v>36.0</v>
      </c>
      <c r="L85" s="1">
        <v>38.0</v>
      </c>
      <c r="M85" s="1">
        <v>38.0</v>
      </c>
      <c r="N85" s="1" t="s">
        <v>52</v>
      </c>
      <c r="O85" s="1">
        <v>80.0</v>
      </c>
      <c r="P85" s="1">
        <v>37.0</v>
      </c>
      <c r="Q85" s="1">
        <v>37.0</v>
      </c>
      <c r="R85" s="1">
        <v>43.0</v>
      </c>
      <c r="S85" s="1">
        <v>40.0</v>
      </c>
      <c r="T85" s="1" t="s">
        <v>53</v>
      </c>
      <c r="U85" s="1">
        <v>51.0</v>
      </c>
      <c r="V85" s="1">
        <v>24.0</v>
      </c>
      <c r="W85" s="1">
        <v>21.0</v>
      </c>
      <c r="X85" s="1">
        <v>27.0</v>
      </c>
      <c r="Y85" s="1">
        <v>25.0</v>
      </c>
      <c r="Z85" s="1" t="s">
        <v>54</v>
      </c>
      <c r="AA85" s="1" t="s">
        <v>55</v>
      </c>
      <c r="AB85" s="1" t="s">
        <v>55</v>
      </c>
      <c r="AC85" s="1" t="s">
        <v>55</v>
      </c>
      <c r="AD85" s="1" t="s">
        <v>55</v>
      </c>
      <c r="AE85" s="1" t="s">
        <v>55</v>
      </c>
      <c r="AF85" s="1" t="s">
        <v>56</v>
      </c>
      <c r="AG85" s="1" t="s">
        <v>55</v>
      </c>
      <c r="AH85" s="1" t="s">
        <v>55</v>
      </c>
      <c r="AI85" s="1" t="s">
        <v>55</v>
      </c>
      <c r="AJ85" s="1" t="s">
        <v>55</v>
      </c>
      <c r="AK85" s="1" t="s">
        <v>55</v>
      </c>
      <c r="AL85" s="1">
        <v>197.0</v>
      </c>
      <c r="AM85" s="1">
        <v>8.0</v>
      </c>
      <c r="AN85" s="1">
        <v>45.0</v>
      </c>
      <c r="AO85" s="1">
        <v>45.0</v>
      </c>
      <c r="AP85" s="1" t="s">
        <v>565</v>
      </c>
      <c r="AQ85" s="3" t="str">
        <f>HYPERLINK("https://icf.clappia.com/app/GMB253374/submission/KNO64988929/ICF247370-GMB253374-2a25dpb9dneee0000000/SIG-20250630_140410oo9j.jpeg", "SIG-20250630_140410oo9j.jpeg")</f>
        <v>SIG-20250630_140410oo9j.jpeg</v>
      </c>
      <c r="AR85" s="1" t="s">
        <v>566</v>
      </c>
      <c r="AS85" s="3" t="str">
        <f>HYPERLINK("https://icf.clappia.com/app/GMB253374/submission/KNO64988929/ICF247370-GMB253374-99joan4b05ig0000000/SIG-20250630_140518pf2j.jpeg", "SIG-20250630_140518pf2j.jpeg")</f>
        <v>SIG-20250630_140518pf2j.jpeg</v>
      </c>
      <c r="AT85" s="1" t="s">
        <v>567</v>
      </c>
      <c r="AU85" s="3" t="str">
        <f>HYPERLINK("https://icf.clappia.com/app/GMB253374/submission/KNO64988929/ICF247370-GMB253374-5443n6co0m6800000000/SIG-20250630_1410593fd.jpeg", "SIG-20250630_1410593fd.jpeg")</f>
        <v>SIG-20250630_1410593fd.jpeg</v>
      </c>
      <c r="AV85" s="3" t="str">
        <f>HYPERLINK("https://www.google.com/maps/place/7.5783647%2C-11.937838", "7.5783647,-11.937838")</f>
        <v>7.5783647,-11.937838</v>
      </c>
    </row>
    <row r="86" ht="15.75" customHeight="1">
      <c r="A86" s="1" t="s">
        <v>568</v>
      </c>
      <c r="B86" s="1" t="s">
        <v>98</v>
      </c>
      <c r="C86" s="1" t="s">
        <v>569</v>
      </c>
      <c r="D86" s="1" t="s">
        <v>569</v>
      </c>
      <c r="E86" s="1" t="s">
        <v>570</v>
      </c>
      <c r="F86" s="1" t="s">
        <v>121</v>
      </c>
      <c r="G86" s="1">
        <v>100.0</v>
      </c>
      <c r="H86" s="1" t="s">
        <v>51</v>
      </c>
      <c r="I86" s="1">
        <v>38.0</v>
      </c>
      <c r="J86" s="1">
        <v>20.0</v>
      </c>
      <c r="K86" s="1">
        <v>20.0</v>
      </c>
      <c r="L86" s="1">
        <v>18.0</v>
      </c>
      <c r="M86" s="1">
        <v>18.0</v>
      </c>
      <c r="N86" s="1" t="s">
        <v>52</v>
      </c>
      <c r="O86" s="1">
        <v>33.0</v>
      </c>
      <c r="P86" s="1">
        <v>17.0</v>
      </c>
      <c r="Q86" s="1">
        <v>17.0</v>
      </c>
      <c r="R86" s="1">
        <v>16.0</v>
      </c>
      <c r="S86" s="1">
        <v>16.0</v>
      </c>
      <c r="T86" s="1" t="s">
        <v>53</v>
      </c>
      <c r="U86" s="1">
        <v>29.0</v>
      </c>
      <c r="V86" s="1">
        <v>14.0</v>
      </c>
      <c r="W86" s="1">
        <v>14.0</v>
      </c>
      <c r="X86" s="1">
        <v>15.0</v>
      </c>
      <c r="Y86" s="1">
        <v>15.0</v>
      </c>
      <c r="Z86" s="1" t="s">
        <v>54</v>
      </c>
      <c r="AA86" s="1" t="s">
        <v>55</v>
      </c>
      <c r="AB86" s="1" t="s">
        <v>55</v>
      </c>
      <c r="AC86" s="1" t="s">
        <v>55</v>
      </c>
      <c r="AD86" s="1" t="s">
        <v>55</v>
      </c>
      <c r="AE86" s="1" t="s">
        <v>55</v>
      </c>
      <c r="AF86" s="1" t="s">
        <v>56</v>
      </c>
      <c r="AG86" s="1" t="s">
        <v>55</v>
      </c>
      <c r="AH86" s="1" t="s">
        <v>55</v>
      </c>
      <c r="AI86" s="1" t="s">
        <v>55</v>
      </c>
      <c r="AJ86" s="1" t="s">
        <v>55</v>
      </c>
      <c r="AK86" s="1" t="s">
        <v>55</v>
      </c>
      <c r="AL86" s="1">
        <v>100.0</v>
      </c>
      <c r="AM86" s="1" t="s">
        <v>481</v>
      </c>
      <c r="AN86" s="1" t="s">
        <v>55</v>
      </c>
      <c r="AO86" s="1" t="s">
        <v>55</v>
      </c>
      <c r="AP86" s="1" t="s">
        <v>571</v>
      </c>
      <c r="AQ86" s="3" t="str">
        <f>HYPERLINK("https://icf.clappia.com/app/GMB253374/submission/CEM36444057/ICF247370-GMB253374-69g8cbj8b3m200000000/SIG-20250630_1346h9d43.jpeg", "SIG-20250630_1346h9d43.jpeg")</f>
        <v>SIG-20250630_1346h9d43.jpeg</v>
      </c>
      <c r="AR86" s="1" t="s">
        <v>572</v>
      </c>
      <c r="AS86" s="3" t="str">
        <f>HYPERLINK("https://icf.clappia.com/app/GMB253374/submission/CEM36444057/ICF247370-GMB253374-35ge08467die00000000/SIG-20250630_13471313k3.jpeg", "SIG-20250630_13471313k3.jpeg")</f>
        <v>SIG-20250630_13471313k3.jpeg</v>
      </c>
      <c r="AT86" s="1" t="s">
        <v>573</v>
      </c>
      <c r="AU86" s="3" t="str">
        <f>HYPERLINK("https://icf.clappia.com/app/GMB253374/submission/CEM36444057/ICF247370-GMB253374-1gjb47277ikac0000000/SIG-20250630_13579a1de.jpeg", "SIG-20250630_13579a1de.jpeg")</f>
        <v>SIG-20250630_13579a1de.jpeg</v>
      </c>
      <c r="AV86" s="3" t="str">
        <f>HYPERLINK("https://www.google.com/maps/place/7.9518499%2C-11.7371818", "7.9518499,-11.7371818")</f>
        <v>7.9518499,-11.7371818</v>
      </c>
    </row>
    <row r="87" ht="15.75" customHeight="1">
      <c r="A87" s="1" t="s">
        <v>574</v>
      </c>
      <c r="B87" s="1" t="s">
        <v>169</v>
      </c>
      <c r="C87" s="1" t="s">
        <v>575</v>
      </c>
      <c r="D87" s="1" t="s">
        <v>575</v>
      </c>
      <c r="E87" s="1" t="s">
        <v>576</v>
      </c>
      <c r="F87" s="1" t="s">
        <v>50</v>
      </c>
      <c r="G87" s="1">
        <v>350.0</v>
      </c>
      <c r="H87" s="1" t="s">
        <v>51</v>
      </c>
      <c r="I87" s="1">
        <v>98.0</v>
      </c>
      <c r="J87" s="1">
        <v>49.0</v>
      </c>
      <c r="K87" s="1">
        <v>33.0</v>
      </c>
      <c r="L87" s="1">
        <v>49.0</v>
      </c>
      <c r="M87" s="1">
        <v>22.0</v>
      </c>
      <c r="N87" s="1" t="s">
        <v>52</v>
      </c>
      <c r="O87" s="1">
        <v>94.0</v>
      </c>
      <c r="P87" s="1">
        <v>46.0</v>
      </c>
      <c r="Q87" s="1">
        <v>26.0</v>
      </c>
      <c r="R87" s="1">
        <v>48.0</v>
      </c>
      <c r="S87" s="1">
        <v>33.0</v>
      </c>
      <c r="T87" s="1" t="s">
        <v>53</v>
      </c>
      <c r="U87" s="1">
        <v>90.0</v>
      </c>
      <c r="V87" s="1">
        <v>47.0</v>
      </c>
      <c r="W87" s="1">
        <v>30.0</v>
      </c>
      <c r="X87" s="1">
        <v>43.0</v>
      </c>
      <c r="Y87" s="1">
        <v>24.0</v>
      </c>
      <c r="Z87" s="1" t="s">
        <v>54</v>
      </c>
      <c r="AA87" s="1">
        <v>100.0</v>
      </c>
      <c r="AB87" s="1">
        <v>39.0</v>
      </c>
      <c r="AC87" s="1">
        <v>19.0</v>
      </c>
      <c r="AD87" s="1">
        <v>61.0</v>
      </c>
      <c r="AE87" s="1">
        <v>25.0</v>
      </c>
      <c r="AF87" s="1" t="s">
        <v>56</v>
      </c>
      <c r="AG87" s="1">
        <v>124.0</v>
      </c>
      <c r="AH87" s="1">
        <v>45.0</v>
      </c>
      <c r="AI87" s="1">
        <v>34.0</v>
      </c>
      <c r="AJ87" s="1">
        <v>79.0</v>
      </c>
      <c r="AK87" s="1">
        <v>30.0</v>
      </c>
      <c r="AL87" s="1">
        <v>276.0</v>
      </c>
      <c r="AM87" s="1" t="s">
        <v>481</v>
      </c>
      <c r="AN87" s="1">
        <v>74.0</v>
      </c>
      <c r="AO87" s="1">
        <v>74.0</v>
      </c>
      <c r="AP87" s="1" t="s">
        <v>577</v>
      </c>
      <c r="AQ87" s="3" t="str">
        <f>HYPERLINK("https://icf.clappia.com/app/GMB253374/submission/EZI96901648/ICF247370-GMB253374-4jbja73epnhc00000000/SIG-20250630_140913i7d.jpeg", "SIG-20250630_140913i7d.jpeg")</f>
        <v>SIG-20250630_140913i7d.jpeg</v>
      </c>
      <c r="AR87" s="1" t="s">
        <v>578</v>
      </c>
      <c r="AS87" s="3" t="str">
        <f>HYPERLINK("https://icf.clappia.com/app/GMB253374/submission/EZI96901648/ICF247370-GMB253374-6acdb1014o2g00000000/SIG-20250630_1410ll9b3.jpeg", "SIG-20250630_1410ll9b3.jpeg")</f>
        <v>SIG-20250630_1410ll9b3.jpeg</v>
      </c>
      <c r="AT87" s="1" t="s">
        <v>579</v>
      </c>
      <c r="AU87" s="3" t="str">
        <f>HYPERLINK("https://icf.clappia.com/app/GMB253374/submission/EZI96901648/ICF247370-GMB253374-51l9b7b4e0na00000000/SIG-20250630_1411ol014.jpeg", "SIG-20250630_1411ol014.jpeg")</f>
        <v>SIG-20250630_1411ol014.jpeg</v>
      </c>
      <c r="AV87" s="3" t="str">
        <f>HYPERLINK("https://www.google.com/maps/place/8.8771967%2C-12.0452167", "8.8771967,-12.0452167")</f>
        <v>8.8771967,-12.0452167</v>
      </c>
    </row>
    <row r="88" ht="15.75" customHeight="1">
      <c r="A88" s="1" t="s">
        <v>580</v>
      </c>
      <c r="B88" s="1" t="s">
        <v>98</v>
      </c>
      <c r="C88" s="1" t="s">
        <v>581</v>
      </c>
      <c r="D88" s="1" t="s">
        <v>581</v>
      </c>
      <c r="E88" s="1" t="s">
        <v>582</v>
      </c>
      <c r="F88" s="1" t="s">
        <v>50</v>
      </c>
      <c r="G88" s="1">
        <v>140.0</v>
      </c>
      <c r="H88" s="1" t="s">
        <v>51</v>
      </c>
      <c r="I88" s="1">
        <v>10.0</v>
      </c>
      <c r="J88" s="1">
        <v>5.0</v>
      </c>
      <c r="K88" s="1">
        <v>3.0</v>
      </c>
      <c r="L88" s="1">
        <v>5.0</v>
      </c>
      <c r="M88" s="1">
        <v>5.0</v>
      </c>
      <c r="N88" s="1" t="s">
        <v>52</v>
      </c>
      <c r="O88" s="1">
        <v>5.0</v>
      </c>
      <c r="P88" s="1">
        <v>2.0</v>
      </c>
      <c r="Q88" s="1">
        <v>2.0</v>
      </c>
      <c r="R88" s="1">
        <v>3.0</v>
      </c>
      <c r="S88" s="1">
        <v>3.0</v>
      </c>
      <c r="T88" s="1" t="s">
        <v>53</v>
      </c>
      <c r="U88" s="1">
        <v>2.0</v>
      </c>
      <c r="V88" s="1" t="s">
        <v>55</v>
      </c>
      <c r="W88" s="1" t="s">
        <v>55</v>
      </c>
      <c r="X88" s="1">
        <v>2.0</v>
      </c>
      <c r="Y88" s="1">
        <v>2.0</v>
      </c>
      <c r="Z88" s="1" t="s">
        <v>54</v>
      </c>
      <c r="AA88" s="1">
        <v>1.0</v>
      </c>
      <c r="AB88" s="1">
        <v>1.0</v>
      </c>
      <c r="AC88" s="1">
        <v>1.0</v>
      </c>
      <c r="AD88" s="1" t="s">
        <v>55</v>
      </c>
      <c r="AE88" s="1" t="s">
        <v>55</v>
      </c>
      <c r="AF88" s="1" t="s">
        <v>56</v>
      </c>
      <c r="AG88" s="1">
        <v>4.0</v>
      </c>
      <c r="AH88" s="1">
        <v>3.0</v>
      </c>
      <c r="AI88" s="1">
        <v>3.0</v>
      </c>
      <c r="AJ88" s="1">
        <v>1.0</v>
      </c>
      <c r="AK88" s="1">
        <v>1.0</v>
      </c>
      <c r="AL88" s="1">
        <v>20.0</v>
      </c>
      <c r="AM88" s="1">
        <v>2.0</v>
      </c>
      <c r="AN88" s="1">
        <v>118.0</v>
      </c>
      <c r="AO88" s="1">
        <v>118.0</v>
      </c>
      <c r="AP88" s="1" t="s">
        <v>583</v>
      </c>
      <c r="AQ88" s="3" t="str">
        <f>HYPERLINK("https://icf.clappia.com/app/GMB253374/submission/BVT49753515/ICF247370-GMB253374-18diha8amfp200000000/SIG-20250630_1409144je1.jpeg", "SIG-20250630_1409144je1.jpeg")</f>
        <v>SIG-20250630_1409144je1.jpeg</v>
      </c>
      <c r="AR88" s="1" t="s">
        <v>584</v>
      </c>
      <c r="AS88" s="3" t="str">
        <f>HYPERLINK("https://icf.clappia.com/app/GMB253374/submission/BVT49753515/ICF247370-GMB253374-1oi0i5fc879eo0000000/SIG-20250630_1410nbfml.jpeg", "SIG-20250630_1410nbfml.jpeg")</f>
        <v>SIG-20250630_1410nbfml.jpeg</v>
      </c>
      <c r="AT88" s="1" t="s">
        <v>585</v>
      </c>
      <c r="AU88" s="3" t="str">
        <f>HYPERLINK("https://icf.clappia.com/app/GMB253374/submission/BVT49753515/ICF247370-GMB253374-onc7acgme2240000000/SIG-20250630_1410l8337.jpeg", "SIG-20250630_1410l8337.jpeg")</f>
        <v>SIG-20250630_1410l8337.jpeg</v>
      </c>
      <c r="AV88" s="3" t="str">
        <f>HYPERLINK("https://www.google.com/maps/place/7.9654561%2C-11.7500715", "7.9654561,-11.7500715")</f>
        <v>7.9654561,-11.7500715</v>
      </c>
    </row>
    <row r="89" ht="15.75" customHeight="1">
      <c r="A89" s="1" t="s">
        <v>586</v>
      </c>
      <c r="B89" s="1" t="s">
        <v>214</v>
      </c>
      <c r="C89" s="1" t="s">
        <v>587</v>
      </c>
      <c r="D89" s="1" t="s">
        <v>587</v>
      </c>
      <c r="E89" s="1" t="s">
        <v>588</v>
      </c>
      <c r="F89" s="1" t="s">
        <v>50</v>
      </c>
      <c r="G89" s="1">
        <v>166.0</v>
      </c>
      <c r="H89" s="1" t="s">
        <v>51</v>
      </c>
      <c r="I89" s="1">
        <v>51.0</v>
      </c>
      <c r="J89" s="1">
        <v>21.0</v>
      </c>
      <c r="K89" s="1">
        <v>21.0</v>
      </c>
      <c r="L89" s="1">
        <v>30.0</v>
      </c>
      <c r="M89" s="1">
        <v>30.0</v>
      </c>
      <c r="N89" s="1" t="s">
        <v>52</v>
      </c>
      <c r="O89" s="1">
        <v>25.0</v>
      </c>
      <c r="P89" s="1">
        <v>15.0</v>
      </c>
      <c r="Q89" s="1">
        <v>15.0</v>
      </c>
      <c r="R89" s="1">
        <v>10.0</v>
      </c>
      <c r="S89" s="1">
        <v>10.0</v>
      </c>
      <c r="T89" s="1" t="s">
        <v>53</v>
      </c>
      <c r="U89" s="1">
        <v>30.0</v>
      </c>
      <c r="V89" s="1">
        <v>12.0</v>
      </c>
      <c r="W89" s="1">
        <v>12.0</v>
      </c>
      <c r="X89" s="1">
        <v>18.0</v>
      </c>
      <c r="Y89" s="1">
        <v>18.0</v>
      </c>
      <c r="Z89" s="1" t="s">
        <v>54</v>
      </c>
      <c r="AA89" s="1">
        <v>33.0</v>
      </c>
      <c r="AB89" s="1">
        <v>15.0</v>
      </c>
      <c r="AC89" s="1">
        <v>15.0</v>
      </c>
      <c r="AD89" s="1">
        <v>18.0</v>
      </c>
      <c r="AE89" s="1">
        <v>18.0</v>
      </c>
      <c r="AF89" s="1" t="s">
        <v>56</v>
      </c>
      <c r="AG89" s="1">
        <v>27.0</v>
      </c>
      <c r="AH89" s="1">
        <v>11.0</v>
      </c>
      <c r="AI89" s="1">
        <v>11.0</v>
      </c>
      <c r="AJ89" s="1">
        <v>16.0</v>
      </c>
      <c r="AK89" s="1">
        <v>16.0</v>
      </c>
      <c r="AL89" s="1">
        <v>166.0</v>
      </c>
      <c r="AM89" s="1" t="s">
        <v>55</v>
      </c>
      <c r="AN89" s="1" t="s">
        <v>55</v>
      </c>
      <c r="AO89" s="1" t="s">
        <v>55</v>
      </c>
      <c r="AP89" s="1" t="s">
        <v>589</v>
      </c>
      <c r="AQ89" s="3" t="str">
        <f>HYPERLINK("https://icf.clappia.com/app/GMB253374/submission/AJR72097410/ICF247370-GMB253374-5b093ilfb48600000000/SIG-20250630_1408fm0e6.jpeg", "SIG-20250630_1408fm0e6.jpeg")</f>
        <v>SIG-20250630_1408fm0e6.jpeg</v>
      </c>
      <c r="AR89" s="1" t="s">
        <v>590</v>
      </c>
      <c r="AS89" s="3" t="str">
        <f>HYPERLINK("https://icf.clappia.com/app/GMB253374/submission/AJR72097410/ICF247370-GMB253374-1g0eo4jkeojbm0000000/SIG-20250630_1408o6m67.jpeg", "SIG-20250630_1408o6m67.jpeg")</f>
        <v>SIG-20250630_1408o6m67.jpeg</v>
      </c>
      <c r="AT89" s="1" t="s">
        <v>591</v>
      </c>
      <c r="AU89" s="3" t="str">
        <f>HYPERLINK("https://icf.clappia.com/app/GMB253374/submission/AJR72097410/ICF247370-GMB253374-2mhljpma49ia00000000/SIG-20250630_140916d512.jpeg", "SIG-20250630_140916d512.jpeg")</f>
        <v>SIG-20250630_140916d512.jpeg</v>
      </c>
      <c r="AV89" s="3" t="str">
        <f>HYPERLINK("https://www.google.com/maps/place/9.1318483%2C-12.0099617", "9.1318483,-12.0099617")</f>
        <v>9.1318483,-12.0099617</v>
      </c>
    </row>
    <row r="90" ht="15.75" customHeight="1">
      <c r="A90" s="1" t="s">
        <v>592</v>
      </c>
      <c r="B90" s="1" t="s">
        <v>236</v>
      </c>
      <c r="C90" s="1" t="s">
        <v>593</v>
      </c>
      <c r="D90" s="1" t="s">
        <v>587</v>
      </c>
      <c r="E90" s="1" t="s">
        <v>594</v>
      </c>
      <c r="F90" s="1" t="s">
        <v>50</v>
      </c>
      <c r="G90" s="1">
        <v>320.0</v>
      </c>
      <c r="H90" s="1" t="s">
        <v>51</v>
      </c>
      <c r="I90" s="1">
        <v>57.0</v>
      </c>
      <c r="J90" s="1">
        <v>24.0</v>
      </c>
      <c r="K90" s="1">
        <v>24.0</v>
      </c>
      <c r="L90" s="1">
        <v>33.0</v>
      </c>
      <c r="M90" s="1">
        <v>33.0</v>
      </c>
      <c r="N90" s="1" t="s">
        <v>52</v>
      </c>
      <c r="O90" s="1">
        <v>36.0</v>
      </c>
      <c r="P90" s="1">
        <v>21.0</v>
      </c>
      <c r="Q90" s="1">
        <v>21.0</v>
      </c>
      <c r="R90" s="1">
        <v>15.0</v>
      </c>
      <c r="S90" s="1">
        <v>15.0</v>
      </c>
      <c r="T90" s="1" t="s">
        <v>53</v>
      </c>
      <c r="U90" s="1">
        <v>53.0</v>
      </c>
      <c r="V90" s="1">
        <v>27.0</v>
      </c>
      <c r="W90" s="1">
        <v>26.0</v>
      </c>
      <c r="X90" s="1">
        <v>26.0</v>
      </c>
      <c r="Y90" s="1">
        <v>23.0</v>
      </c>
      <c r="Z90" s="1" t="s">
        <v>54</v>
      </c>
      <c r="AA90" s="1">
        <v>35.0</v>
      </c>
      <c r="AB90" s="1">
        <v>18.0</v>
      </c>
      <c r="AC90" s="1">
        <v>17.0</v>
      </c>
      <c r="AD90" s="1">
        <v>17.0</v>
      </c>
      <c r="AE90" s="1">
        <v>17.0</v>
      </c>
      <c r="AF90" s="1" t="s">
        <v>56</v>
      </c>
      <c r="AG90" s="1">
        <v>36.0</v>
      </c>
      <c r="AH90" s="1">
        <v>14.0</v>
      </c>
      <c r="AI90" s="1">
        <v>13.0</v>
      </c>
      <c r="AJ90" s="1">
        <v>22.0</v>
      </c>
      <c r="AK90" s="1">
        <v>20.0</v>
      </c>
      <c r="AL90" s="1">
        <v>209.0</v>
      </c>
      <c r="AM90" s="1">
        <v>8.0</v>
      </c>
      <c r="AN90" s="1">
        <v>103.0</v>
      </c>
      <c r="AO90" s="1">
        <v>103.0</v>
      </c>
      <c r="AP90" s="1" t="s">
        <v>595</v>
      </c>
      <c r="AQ90" s="3" t="str">
        <f>HYPERLINK("https://icf.clappia.com/app/GMB253374/submission/LVH09280333/ICF247370-GMB253374-p55ahnefk35i0000000/SIG-20250630_14071f5og.jpeg", "SIG-20250630_14071f5og.jpeg")</f>
        <v>SIG-20250630_14071f5og.jpeg</v>
      </c>
      <c r="AR90" s="1" t="s">
        <v>596</v>
      </c>
      <c r="AS90" s="3" t="str">
        <f>HYPERLINK("https://icf.clappia.com/app/GMB253374/submission/LVH09280333/ICF247370-GMB253374-5o5bhm40c3de00000000/SIG-20250630_14085ak0o.jpeg", "SIG-20250630_14085ak0o.jpeg")</f>
        <v>SIG-20250630_14085ak0o.jpeg</v>
      </c>
      <c r="AT90" s="1" t="s">
        <v>597</v>
      </c>
      <c r="AU90" s="3" t="str">
        <f>HYPERLINK("https://icf.clappia.com/app/GMB253374/submission/LVH09280333/ICF247370-GMB253374-62ae73imf08800000000/SIG-20250630_1409maink.jpeg", "SIG-20250630_1409maink.jpeg")</f>
        <v>SIG-20250630_1409maink.jpeg</v>
      </c>
      <c r="AV90" s="3" t="str">
        <f>HYPERLINK("https://www.google.com/maps/place/7.9175796%2C-11.7522074", "7.9175796,-11.7522074")</f>
        <v>7.9175796,-11.7522074</v>
      </c>
    </row>
    <row r="91" ht="15.75" customHeight="1">
      <c r="A91" s="1" t="s">
        <v>598</v>
      </c>
      <c r="B91" s="1" t="s">
        <v>296</v>
      </c>
      <c r="C91" s="1" t="s">
        <v>587</v>
      </c>
      <c r="D91" s="1" t="s">
        <v>587</v>
      </c>
      <c r="E91" s="1" t="s">
        <v>599</v>
      </c>
      <c r="F91" s="1" t="s">
        <v>50</v>
      </c>
      <c r="G91" s="1">
        <v>303.0</v>
      </c>
      <c r="H91" s="1" t="s">
        <v>51</v>
      </c>
      <c r="I91" s="1">
        <v>59.0</v>
      </c>
      <c r="J91" s="1">
        <v>33.0</v>
      </c>
      <c r="K91" s="1">
        <v>24.0</v>
      </c>
      <c r="L91" s="1">
        <v>26.0</v>
      </c>
      <c r="M91" s="1">
        <v>24.0</v>
      </c>
      <c r="N91" s="1" t="s">
        <v>52</v>
      </c>
      <c r="O91" s="1">
        <v>67.0</v>
      </c>
      <c r="P91" s="1">
        <v>35.0</v>
      </c>
      <c r="Q91" s="1">
        <v>32.0</v>
      </c>
      <c r="R91" s="1">
        <v>32.0</v>
      </c>
      <c r="S91" s="1">
        <v>25.0</v>
      </c>
      <c r="T91" s="1" t="s">
        <v>53</v>
      </c>
      <c r="U91" s="1">
        <v>36.0</v>
      </c>
      <c r="V91" s="1">
        <v>19.0</v>
      </c>
      <c r="W91" s="1">
        <v>18.0</v>
      </c>
      <c r="X91" s="1">
        <v>17.0</v>
      </c>
      <c r="Y91" s="1">
        <v>14.0</v>
      </c>
      <c r="Z91" s="1" t="s">
        <v>54</v>
      </c>
      <c r="AA91" s="1">
        <v>35.0</v>
      </c>
      <c r="AB91" s="1">
        <v>15.0</v>
      </c>
      <c r="AC91" s="1">
        <v>11.0</v>
      </c>
      <c r="AD91" s="1">
        <v>20.0</v>
      </c>
      <c r="AE91" s="1">
        <v>18.0</v>
      </c>
      <c r="AF91" s="1" t="s">
        <v>56</v>
      </c>
      <c r="AG91" s="1">
        <v>26.0</v>
      </c>
      <c r="AH91" s="1">
        <v>9.0</v>
      </c>
      <c r="AI91" s="1">
        <v>4.0</v>
      </c>
      <c r="AJ91" s="1">
        <v>17.0</v>
      </c>
      <c r="AK91" s="1">
        <v>17.0</v>
      </c>
      <c r="AL91" s="1">
        <v>187.0</v>
      </c>
      <c r="AM91" s="1">
        <v>10.0</v>
      </c>
      <c r="AN91" s="1">
        <v>106.0</v>
      </c>
      <c r="AO91" s="1">
        <v>106.0</v>
      </c>
      <c r="AP91" s="1" t="s">
        <v>600</v>
      </c>
      <c r="AQ91" s="3" t="str">
        <f>HYPERLINK("https://icf.clappia.com/app/GMB253374/submission/ZJF29646082/ICF247370-GMB253374-56kad24jkd5m00000000/SIG-20250630_1155ihond.jpeg", "SIG-20250630_1155ihond.jpeg")</f>
        <v>SIG-20250630_1155ihond.jpeg</v>
      </c>
      <c r="AR91" s="1" t="s">
        <v>601</v>
      </c>
      <c r="AS91" s="3" t="str">
        <f>HYPERLINK("https://icf.clappia.com/app/GMB253374/submission/ZJF29646082/ICF247370-GMB253374-loh4c47c93a80000000/SIG-20250630_1305pdk02.jpeg", "SIG-20250630_1305pdk02.jpeg")</f>
        <v>SIG-20250630_1305pdk02.jpeg</v>
      </c>
      <c r="AT91" s="1" t="s">
        <v>602</v>
      </c>
      <c r="AU91" s="3" t="str">
        <f>HYPERLINK("https://icf.clappia.com/app/GMB253374/submission/ZJF29646082/ICF247370-GMB253374-4i9opl72d5m400000000/SIG-20250630_135613411n.jpeg", "SIG-20250630_135613411n.jpeg")</f>
        <v>SIG-20250630_135613411n.jpeg</v>
      </c>
      <c r="AV91" s="3" t="str">
        <f>HYPERLINK("https://www.google.com/maps/place/8.8376254%2C-12.0484436", "8.8376254,-12.0484436")</f>
        <v>8.8376254,-12.0484436</v>
      </c>
    </row>
    <row r="92" ht="15.75" customHeight="1">
      <c r="A92" s="1" t="s">
        <v>603</v>
      </c>
      <c r="B92" s="1" t="s">
        <v>111</v>
      </c>
      <c r="C92" s="1" t="s">
        <v>587</v>
      </c>
      <c r="D92" s="1" t="s">
        <v>587</v>
      </c>
      <c r="E92" s="1" t="s">
        <v>604</v>
      </c>
      <c r="F92" s="1" t="s">
        <v>50</v>
      </c>
      <c r="G92" s="1">
        <v>150.0</v>
      </c>
      <c r="H92" s="1" t="s">
        <v>51</v>
      </c>
      <c r="I92" s="1">
        <v>50.0</v>
      </c>
      <c r="J92" s="1">
        <v>27.0</v>
      </c>
      <c r="K92" s="1">
        <v>16.0</v>
      </c>
      <c r="L92" s="1">
        <v>23.0</v>
      </c>
      <c r="M92" s="1">
        <v>9.0</v>
      </c>
      <c r="N92" s="1" t="s">
        <v>52</v>
      </c>
      <c r="O92" s="1">
        <v>24.0</v>
      </c>
      <c r="P92" s="1">
        <v>5.0</v>
      </c>
      <c r="Q92" s="1">
        <v>4.0</v>
      </c>
      <c r="R92" s="1">
        <v>19.0</v>
      </c>
      <c r="S92" s="1">
        <v>10.0</v>
      </c>
      <c r="T92" s="1" t="s">
        <v>53</v>
      </c>
      <c r="U92" s="1">
        <v>25.0</v>
      </c>
      <c r="V92" s="1">
        <v>10.0</v>
      </c>
      <c r="W92" s="1">
        <v>7.0</v>
      </c>
      <c r="X92" s="1">
        <v>15.0</v>
      </c>
      <c r="Y92" s="1">
        <v>6.0</v>
      </c>
      <c r="Z92" s="1" t="s">
        <v>54</v>
      </c>
      <c r="AA92" s="1">
        <v>16.0</v>
      </c>
      <c r="AB92" s="1">
        <v>5.0</v>
      </c>
      <c r="AC92" s="1">
        <v>5.0</v>
      </c>
      <c r="AD92" s="1">
        <v>11.0</v>
      </c>
      <c r="AE92" s="1">
        <v>10.0</v>
      </c>
      <c r="AF92" s="1" t="s">
        <v>56</v>
      </c>
      <c r="AG92" s="1">
        <v>31.0</v>
      </c>
      <c r="AH92" s="1">
        <v>15.0</v>
      </c>
      <c r="AI92" s="1">
        <v>10.0</v>
      </c>
      <c r="AJ92" s="1">
        <v>16.0</v>
      </c>
      <c r="AK92" s="1">
        <v>15.0</v>
      </c>
      <c r="AL92" s="1">
        <v>92.0</v>
      </c>
      <c r="AM92" s="1" t="s">
        <v>55</v>
      </c>
      <c r="AN92" s="1">
        <v>58.0</v>
      </c>
      <c r="AO92" s="1">
        <v>58.0</v>
      </c>
      <c r="AP92" s="1" t="s">
        <v>605</v>
      </c>
      <c r="AQ92" s="3" t="str">
        <f>HYPERLINK("https://icf.clappia.com/app/GMB253374/submission/YJN97236634/ICF247370-GMB253374-hld7k0lfkp2g0000000/SIG-20250630_135417ojea.jpeg", "SIG-20250630_135417ojea.jpeg")</f>
        <v>SIG-20250630_135417ojea.jpeg</v>
      </c>
      <c r="AR92" s="1" t="s">
        <v>606</v>
      </c>
      <c r="AS92" s="3" t="str">
        <f>HYPERLINK("https://icf.clappia.com/app/GMB253374/submission/YJN97236634/ICF247370-GMB253374-40nc6jkelmn000000000/SIG-20250630_1355dkijm.jpeg", "SIG-20250630_1355dkijm.jpeg")</f>
        <v>SIG-20250630_1355dkijm.jpeg</v>
      </c>
      <c r="AT92" s="1" t="s">
        <v>607</v>
      </c>
      <c r="AU92" s="3" t="str">
        <f>HYPERLINK("https://icf.clappia.com/app/GMB253374/submission/YJN97236634/ICF247370-GMB253374-11f29jbgk1lj60000000/SIG-20250630_13546cklh.jpeg", "SIG-20250630_13546cklh.jpeg")</f>
        <v>SIG-20250630_13546cklh.jpeg</v>
      </c>
      <c r="AV92" s="3" t="str">
        <f>HYPERLINK("https://www.google.com/maps/place/7.9342014%2C-11.7201738", "7.9342014,-11.7201738")</f>
        <v>7.9342014,-11.7201738</v>
      </c>
    </row>
    <row r="93" ht="15.75" customHeight="1">
      <c r="A93" s="1" t="s">
        <v>608</v>
      </c>
      <c r="B93" s="1" t="s">
        <v>98</v>
      </c>
      <c r="C93" s="1" t="s">
        <v>609</v>
      </c>
      <c r="D93" s="1" t="s">
        <v>609</v>
      </c>
      <c r="E93" s="1" t="s">
        <v>610</v>
      </c>
      <c r="F93" s="1" t="s">
        <v>50</v>
      </c>
      <c r="G93" s="1">
        <v>150.0</v>
      </c>
      <c r="H93" s="1" t="s">
        <v>51</v>
      </c>
      <c r="I93" s="1">
        <v>26.0</v>
      </c>
      <c r="J93" s="1">
        <v>10.0</v>
      </c>
      <c r="K93" s="1">
        <v>10.0</v>
      </c>
      <c r="L93" s="1">
        <v>16.0</v>
      </c>
      <c r="M93" s="1">
        <v>7.0</v>
      </c>
      <c r="N93" s="1" t="s">
        <v>52</v>
      </c>
      <c r="O93" s="1">
        <v>26.0</v>
      </c>
      <c r="P93" s="1">
        <v>10.0</v>
      </c>
      <c r="Q93" s="1">
        <v>7.0</v>
      </c>
      <c r="R93" s="1">
        <v>16.0</v>
      </c>
      <c r="S93" s="1">
        <v>9.0</v>
      </c>
      <c r="T93" s="1" t="s">
        <v>53</v>
      </c>
      <c r="U93" s="1">
        <v>29.0</v>
      </c>
      <c r="V93" s="1">
        <v>14.0</v>
      </c>
      <c r="W93" s="1">
        <v>9.0</v>
      </c>
      <c r="X93" s="1">
        <v>15.0</v>
      </c>
      <c r="Y93" s="1">
        <v>5.0</v>
      </c>
      <c r="Z93" s="1" t="s">
        <v>54</v>
      </c>
      <c r="AA93" s="1">
        <v>45.0</v>
      </c>
      <c r="AB93" s="1">
        <v>20.0</v>
      </c>
      <c r="AC93" s="1">
        <v>13.0</v>
      </c>
      <c r="AD93" s="1">
        <v>25.0</v>
      </c>
      <c r="AE93" s="1">
        <v>10.0</v>
      </c>
      <c r="AF93" s="1" t="s">
        <v>56</v>
      </c>
      <c r="AG93" s="1">
        <v>45.0</v>
      </c>
      <c r="AH93" s="1">
        <v>19.0</v>
      </c>
      <c r="AI93" s="1">
        <v>9.0</v>
      </c>
      <c r="AJ93" s="1">
        <v>26.0</v>
      </c>
      <c r="AK93" s="1">
        <v>15.0</v>
      </c>
      <c r="AL93" s="1">
        <v>94.0</v>
      </c>
      <c r="AM93" s="1" t="s">
        <v>55</v>
      </c>
      <c r="AN93" s="1">
        <v>56.0</v>
      </c>
      <c r="AO93" s="1">
        <v>56.0</v>
      </c>
      <c r="AP93" s="1" t="s">
        <v>611</v>
      </c>
      <c r="AQ93" s="3" t="str">
        <f>HYPERLINK("https://icf.clappia.com/app/GMB253374/submission/HHZ51324074/ICF247370-GMB253374-59nen0d49gki00000000/SIG-20250630_11038cme1.jpeg", "SIG-20250630_11038cme1.jpeg")</f>
        <v>SIG-20250630_11038cme1.jpeg</v>
      </c>
      <c r="AR93" s="1" t="s">
        <v>612</v>
      </c>
      <c r="AS93" s="3" t="str">
        <f>HYPERLINK("https://icf.clappia.com/app/GMB253374/submission/HHZ51324074/ICF247370-GMB253374-4ejmp3ihp89600000000/SIG-20250630_11041649cd.jpeg", "SIG-20250630_11041649cd.jpeg")</f>
        <v>SIG-20250630_11041649cd.jpeg</v>
      </c>
      <c r="AT93" s="1" t="s">
        <v>613</v>
      </c>
      <c r="AU93" s="3" t="str">
        <f>HYPERLINK("https://icf.clappia.com/app/GMB253374/submission/HHZ51324074/ICF247370-GMB253374-5m0ebhc7fb5i00000000/SIG-20250630_110519a3g1.jpeg", "SIG-20250630_110519a3g1.jpeg")</f>
        <v>SIG-20250630_110519a3g1.jpeg</v>
      </c>
      <c r="AV93" s="3" t="str">
        <f>HYPERLINK("https://www.google.com/maps/place/7.9576741%2C-11.7417918", "7.9576741,-11.7417918")</f>
        <v>7.9576741,-11.7417918</v>
      </c>
    </row>
    <row r="94" ht="15.75" customHeight="1">
      <c r="A94" s="1" t="s">
        <v>614</v>
      </c>
      <c r="B94" s="1" t="s">
        <v>207</v>
      </c>
      <c r="C94" s="1" t="s">
        <v>615</v>
      </c>
      <c r="D94" s="1" t="s">
        <v>615</v>
      </c>
      <c r="E94" s="1" t="s">
        <v>616</v>
      </c>
      <c r="F94" s="1" t="s">
        <v>50</v>
      </c>
      <c r="G94" s="1">
        <v>100.0</v>
      </c>
      <c r="H94" s="1" t="s">
        <v>51</v>
      </c>
      <c r="I94" s="1">
        <v>57.0</v>
      </c>
      <c r="J94" s="1">
        <v>26.0</v>
      </c>
      <c r="K94" s="1">
        <v>26.0</v>
      </c>
      <c r="L94" s="1">
        <v>31.0</v>
      </c>
      <c r="M94" s="1">
        <v>31.0</v>
      </c>
      <c r="N94" s="1" t="s">
        <v>52</v>
      </c>
      <c r="O94" s="1" t="s">
        <v>55</v>
      </c>
      <c r="P94" s="1" t="s">
        <v>55</v>
      </c>
      <c r="Q94" s="1" t="s">
        <v>55</v>
      </c>
      <c r="R94" s="1" t="s">
        <v>55</v>
      </c>
      <c r="S94" s="1" t="s">
        <v>55</v>
      </c>
      <c r="T94" s="1" t="s">
        <v>53</v>
      </c>
      <c r="U94" s="1" t="s">
        <v>55</v>
      </c>
      <c r="V94" s="1" t="s">
        <v>55</v>
      </c>
      <c r="W94" s="1" t="s">
        <v>55</v>
      </c>
      <c r="X94" s="1" t="s">
        <v>55</v>
      </c>
      <c r="Y94" s="1" t="s">
        <v>55</v>
      </c>
      <c r="Z94" s="1" t="s">
        <v>54</v>
      </c>
      <c r="AA94" s="1" t="s">
        <v>55</v>
      </c>
      <c r="AB94" s="1" t="s">
        <v>55</v>
      </c>
      <c r="AC94" s="1" t="s">
        <v>55</v>
      </c>
      <c r="AD94" s="1" t="s">
        <v>55</v>
      </c>
      <c r="AE94" s="1" t="s">
        <v>55</v>
      </c>
      <c r="AF94" s="1" t="s">
        <v>56</v>
      </c>
      <c r="AG94" s="1" t="s">
        <v>55</v>
      </c>
      <c r="AH94" s="1" t="s">
        <v>55</v>
      </c>
      <c r="AI94" s="1" t="s">
        <v>55</v>
      </c>
      <c r="AJ94" s="1" t="s">
        <v>55</v>
      </c>
      <c r="AK94" s="1" t="s">
        <v>55</v>
      </c>
      <c r="AL94" s="1">
        <v>57.0</v>
      </c>
      <c r="AM94" s="1" t="s">
        <v>55</v>
      </c>
      <c r="AN94" s="1">
        <v>43.0</v>
      </c>
      <c r="AO94" s="1">
        <v>43.0</v>
      </c>
      <c r="AP94" s="1" t="s">
        <v>617</v>
      </c>
      <c r="AQ94" s="3" t="str">
        <f>HYPERLINK("https://icf.clappia.com/app/GMB253374/submission/YFY32443794/ICF247370-GMB253374-278gg2all1a7g0000000/SIG-20250630_1328kb5mf.jpeg", "SIG-20250630_1328kb5mf.jpeg")</f>
        <v>SIG-20250630_1328kb5mf.jpeg</v>
      </c>
      <c r="AR94" s="1" t="s">
        <v>618</v>
      </c>
      <c r="AS94" s="3" t="str">
        <f>HYPERLINK("https://icf.clappia.com/app/GMB253374/submission/YFY32443794/ICF247370-GMB253374-1dp603c2hp1ha0000000/SIG-20250630_14001263c0.jpeg", "SIG-20250630_14001263c0.jpeg")</f>
        <v>SIG-20250630_14001263c0.jpeg</v>
      </c>
      <c r="AT94" s="1" t="s">
        <v>619</v>
      </c>
      <c r="AU94" s="3" t="str">
        <f>HYPERLINK("https://icf.clappia.com/app/GMB253374/submission/YFY32443794/ICF247370-GMB253374-58jjcd12lmfa00000000/SIG-20250630_13298limb.jpeg", "SIG-20250630_13298limb.jpeg")</f>
        <v>SIG-20250630_13298limb.jpeg</v>
      </c>
      <c r="AV94" s="3" t="str">
        <f>HYPERLINK("https://www.google.com/maps/place/7.9182844%2C-11.5608647", "7.9182844,-11.5608647")</f>
        <v>7.9182844,-11.5608647</v>
      </c>
    </row>
    <row r="95" ht="15.75" customHeight="1">
      <c r="A95" s="1" t="s">
        <v>620</v>
      </c>
      <c r="B95" s="1" t="s">
        <v>621</v>
      </c>
      <c r="C95" s="1" t="s">
        <v>622</v>
      </c>
      <c r="D95" s="1" t="s">
        <v>615</v>
      </c>
      <c r="E95" s="1" t="s">
        <v>623</v>
      </c>
      <c r="F95" s="1" t="s">
        <v>50</v>
      </c>
      <c r="G95" s="1">
        <v>188.0</v>
      </c>
      <c r="H95" s="1" t="s">
        <v>51</v>
      </c>
      <c r="I95" s="1">
        <v>34.0</v>
      </c>
      <c r="J95" s="1">
        <v>16.0</v>
      </c>
      <c r="K95" s="1">
        <v>16.0</v>
      </c>
      <c r="L95" s="1">
        <v>18.0</v>
      </c>
      <c r="M95" s="1">
        <v>18.0</v>
      </c>
      <c r="N95" s="1" t="s">
        <v>52</v>
      </c>
      <c r="O95" s="1">
        <v>30.0</v>
      </c>
      <c r="P95" s="1">
        <v>19.0</v>
      </c>
      <c r="Q95" s="1">
        <v>19.0</v>
      </c>
      <c r="R95" s="1">
        <v>11.0</v>
      </c>
      <c r="S95" s="1">
        <v>11.0</v>
      </c>
      <c r="T95" s="1" t="s">
        <v>53</v>
      </c>
      <c r="U95" s="1">
        <v>41.0</v>
      </c>
      <c r="V95" s="1">
        <v>16.0</v>
      </c>
      <c r="W95" s="1">
        <v>16.0</v>
      </c>
      <c r="X95" s="1">
        <v>25.0</v>
      </c>
      <c r="Y95" s="1">
        <v>25.0</v>
      </c>
      <c r="Z95" s="1" t="s">
        <v>54</v>
      </c>
      <c r="AA95" s="1">
        <v>45.0</v>
      </c>
      <c r="AB95" s="1">
        <v>22.0</v>
      </c>
      <c r="AC95" s="1">
        <v>22.0</v>
      </c>
      <c r="AD95" s="1">
        <v>23.0</v>
      </c>
      <c r="AE95" s="1">
        <v>23.0</v>
      </c>
      <c r="AF95" s="1" t="s">
        <v>56</v>
      </c>
      <c r="AG95" s="1">
        <v>38.0</v>
      </c>
      <c r="AH95" s="1">
        <v>15.0</v>
      </c>
      <c r="AI95" s="1">
        <v>15.0</v>
      </c>
      <c r="AJ95" s="1">
        <v>23.0</v>
      </c>
      <c r="AK95" s="1">
        <v>23.0</v>
      </c>
      <c r="AL95" s="1">
        <v>188.0</v>
      </c>
      <c r="AM95" s="1" t="s">
        <v>55</v>
      </c>
      <c r="AN95" s="1" t="s">
        <v>55</v>
      </c>
      <c r="AO95" s="1" t="s">
        <v>55</v>
      </c>
      <c r="AP95" s="1" t="s">
        <v>624</v>
      </c>
      <c r="AQ95" s="3" t="str">
        <f>HYPERLINK("https://icf.clappia.com/app/GMB253374/submission/LJH93201931/ICF247370-GMB253374-5h03mchnbm8200000000/SIG-20250630_13001ea6m.jpeg", "SIG-20250630_13001ea6m.jpeg")</f>
        <v>SIG-20250630_13001ea6m.jpeg</v>
      </c>
      <c r="AR95" s="1" t="s">
        <v>625</v>
      </c>
      <c r="AS95" s="3" t="str">
        <f>HYPERLINK("https://icf.clappia.com/app/GMB253374/submission/LJH93201931/ICF247370-GMB253374-5c73bd3fga4m00000000/SIG-20250630_1313ic99h.jpeg", "SIG-20250630_1313ic99h.jpeg")</f>
        <v>SIG-20250630_1313ic99h.jpeg</v>
      </c>
      <c r="AT95" s="1" t="s">
        <v>626</v>
      </c>
      <c r="AU95" s="3" t="str">
        <f>HYPERLINK("https://icf.clappia.com/app/GMB253374/submission/LJH93201931/ICF247370-GMB253374-4jna56hdl1ic00000000/SIG-20250630_13012l4c3.jpeg", "SIG-20250630_13012l4c3.jpeg")</f>
        <v>SIG-20250630_13012l4c3.jpeg</v>
      </c>
      <c r="AV95" s="3" t="str">
        <f>HYPERLINK("https://www.google.com/maps/place/7.6346683%2C-11.6714517", "7.6346683,-11.6714517")</f>
        <v>7.6346683,-11.6714517</v>
      </c>
    </row>
    <row r="96" ht="15.75" customHeight="1">
      <c r="A96" s="1" t="s">
        <v>627</v>
      </c>
      <c r="B96" s="1" t="s">
        <v>111</v>
      </c>
      <c r="C96" s="1" t="s">
        <v>628</v>
      </c>
      <c r="D96" s="1" t="s">
        <v>628</v>
      </c>
      <c r="E96" s="1" t="s">
        <v>629</v>
      </c>
      <c r="F96" s="1" t="s">
        <v>50</v>
      </c>
      <c r="G96" s="1">
        <v>100.0</v>
      </c>
      <c r="H96" s="1" t="s">
        <v>51</v>
      </c>
      <c r="I96" s="1">
        <v>56.0</v>
      </c>
      <c r="J96" s="1">
        <v>21.0</v>
      </c>
      <c r="K96" s="1">
        <v>14.0</v>
      </c>
      <c r="L96" s="1">
        <v>34.0</v>
      </c>
      <c r="M96" s="1">
        <v>18.0</v>
      </c>
      <c r="N96" s="1" t="s">
        <v>52</v>
      </c>
      <c r="O96" s="1">
        <v>68.0</v>
      </c>
      <c r="P96" s="1">
        <v>30.0</v>
      </c>
      <c r="Q96" s="1">
        <v>13.0</v>
      </c>
      <c r="R96" s="1">
        <v>38.0</v>
      </c>
      <c r="S96" s="1">
        <v>15.0</v>
      </c>
      <c r="T96" s="1" t="s">
        <v>53</v>
      </c>
      <c r="U96" s="1">
        <v>56.0</v>
      </c>
      <c r="V96" s="1">
        <v>20.0</v>
      </c>
      <c r="W96" s="1">
        <v>7.0</v>
      </c>
      <c r="X96" s="1">
        <v>36.0</v>
      </c>
      <c r="Y96" s="1">
        <v>7.0</v>
      </c>
      <c r="Z96" s="1" t="s">
        <v>54</v>
      </c>
      <c r="AA96" s="1">
        <v>55.0</v>
      </c>
      <c r="AB96" s="1">
        <v>25.0</v>
      </c>
      <c r="AC96" s="1">
        <v>5.0</v>
      </c>
      <c r="AD96" s="1">
        <v>30.0</v>
      </c>
      <c r="AE96" s="1">
        <v>10.0</v>
      </c>
      <c r="AF96" s="1" t="s">
        <v>56</v>
      </c>
      <c r="AG96" s="1">
        <v>50.0</v>
      </c>
      <c r="AH96" s="1">
        <v>30.0</v>
      </c>
      <c r="AI96" s="1">
        <v>7.0</v>
      </c>
      <c r="AJ96" s="1">
        <v>20.0</v>
      </c>
      <c r="AK96" s="1">
        <v>4.0</v>
      </c>
      <c r="AL96" s="1">
        <v>100.0</v>
      </c>
      <c r="AM96" s="1" t="s">
        <v>55</v>
      </c>
      <c r="AN96" s="1" t="s">
        <v>55</v>
      </c>
      <c r="AO96" s="1" t="s">
        <v>55</v>
      </c>
      <c r="AP96" s="1" t="s">
        <v>630</v>
      </c>
      <c r="AQ96" s="3" t="str">
        <f>HYPERLINK("https://icf.clappia.com/app/GMB253374/submission/VYO87194841/ICF247370-GMB253374-45496i0d4do800000000/SIG-20250630_1336ja747.jpeg", "SIG-20250630_1336ja747.jpeg")</f>
        <v>SIG-20250630_1336ja747.jpeg</v>
      </c>
      <c r="AR96" s="1" t="s">
        <v>631</v>
      </c>
      <c r="AS96" s="3" t="str">
        <f>HYPERLINK("https://icf.clappia.com/app/GMB253374/submission/VYO87194841/ICF247370-GMB253374-fa1754ah8c7a0000000/SIG-20250630_1337dgnej.jpeg", "SIG-20250630_1337dgnej.jpeg")</f>
        <v>SIG-20250630_1337dgnej.jpeg</v>
      </c>
      <c r="AT96" s="1" t="s">
        <v>632</v>
      </c>
      <c r="AU96" s="3" t="str">
        <f>HYPERLINK("https://icf.clappia.com/app/GMB253374/submission/VYO87194841/ICF247370-GMB253374-3c0e9id8g78o00000000/SIG-20250630_133816dc1f.jpeg", "SIG-20250630_133816dc1f.jpeg")</f>
        <v>SIG-20250630_133816dc1f.jpeg</v>
      </c>
      <c r="AV96" s="3" t="str">
        <f>HYPERLINK("https://www.google.com/maps/place/7.9238164%2C-11.7208856", "7.9238164,-11.7208856")</f>
        <v>7.9238164,-11.7208856</v>
      </c>
    </row>
    <row r="97" ht="15.75" customHeight="1">
      <c r="A97" s="1" t="s">
        <v>633</v>
      </c>
      <c r="B97" s="1" t="s">
        <v>169</v>
      </c>
      <c r="C97" s="1" t="s">
        <v>634</v>
      </c>
      <c r="D97" s="1" t="s">
        <v>634</v>
      </c>
      <c r="E97" s="1" t="s">
        <v>635</v>
      </c>
      <c r="F97" s="1" t="s">
        <v>50</v>
      </c>
      <c r="G97" s="1">
        <v>150.0</v>
      </c>
      <c r="H97" s="1" t="s">
        <v>51</v>
      </c>
      <c r="I97" s="1">
        <v>39.0</v>
      </c>
      <c r="J97" s="1">
        <v>18.0</v>
      </c>
      <c r="K97" s="1">
        <v>18.0</v>
      </c>
      <c r="L97" s="1">
        <v>20.0</v>
      </c>
      <c r="M97" s="1">
        <v>20.0</v>
      </c>
      <c r="N97" s="1" t="s">
        <v>52</v>
      </c>
      <c r="O97" s="1">
        <v>30.0</v>
      </c>
      <c r="P97" s="1">
        <v>14.0</v>
      </c>
      <c r="Q97" s="1">
        <v>14.0</v>
      </c>
      <c r="R97" s="1">
        <v>13.0</v>
      </c>
      <c r="S97" s="1">
        <v>13.0</v>
      </c>
      <c r="T97" s="1" t="s">
        <v>53</v>
      </c>
      <c r="U97" s="1">
        <v>32.0</v>
      </c>
      <c r="V97" s="1">
        <v>14.0</v>
      </c>
      <c r="W97" s="1">
        <v>14.0</v>
      </c>
      <c r="X97" s="1">
        <v>18.0</v>
      </c>
      <c r="Y97" s="1">
        <v>18.0</v>
      </c>
      <c r="Z97" s="1" t="s">
        <v>54</v>
      </c>
      <c r="AA97" s="1">
        <v>18.0</v>
      </c>
      <c r="AB97" s="1">
        <v>6.0</v>
      </c>
      <c r="AC97" s="1">
        <v>6.0</v>
      </c>
      <c r="AD97" s="1">
        <v>12.0</v>
      </c>
      <c r="AE97" s="1">
        <v>12.0</v>
      </c>
      <c r="AF97" s="1" t="s">
        <v>56</v>
      </c>
      <c r="AG97" s="1">
        <v>22.0</v>
      </c>
      <c r="AH97" s="1">
        <v>8.0</v>
      </c>
      <c r="AI97" s="1">
        <v>8.0</v>
      </c>
      <c r="AJ97" s="1">
        <v>11.0</v>
      </c>
      <c r="AK97" s="1">
        <v>11.0</v>
      </c>
      <c r="AL97" s="1">
        <v>134.0</v>
      </c>
      <c r="AM97" s="1">
        <v>8.0</v>
      </c>
      <c r="AN97" s="1">
        <v>8.0</v>
      </c>
      <c r="AO97" s="1">
        <v>2.0</v>
      </c>
      <c r="AP97" s="1" t="s">
        <v>636</v>
      </c>
      <c r="AQ97" s="3" t="str">
        <f>HYPERLINK("https://icf.clappia.com/app/GMB253374/submission/IRB97691938/ICF247370-GMB253374-19pioohp8c6c00000000/SIG-20250630_134651ief.jpeg", "SIG-20250630_134651ief.jpeg")</f>
        <v>SIG-20250630_134651ief.jpeg</v>
      </c>
      <c r="AR97" s="1" t="s">
        <v>637</v>
      </c>
      <c r="AS97" s="3" t="str">
        <f>HYPERLINK("https://icf.clappia.com/app/GMB253374/submission/IRB97691938/ICF247370-GMB253374-e7d1a2h7mjeo0000000/SIG-20250630_135313ig6a.jpeg", "SIG-20250630_135313ig6a.jpeg")</f>
        <v>SIG-20250630_135313ig6a.jpeg</v>
      </c>
      <c r="AT97" s="1" t="s">
        <v>638</v>
      </c>
      <c r="AU97" s="3" t="str">
        <f>HYPERLINK("https://icf.clappia.com/app/GMB253374/submission/IRB97691938/ICF247370-GMB253374-56kjigij208400000000/SIG-20250630_13503h1be.jpeg", "SIG-20250630_13503h1be.jpeg")</f>
        <v>SIG-20250630_13503h1be.jpeg</v>
      </c>
      <c r="AV97" s="3" t="str">
        <f>HYPERLINK("https://www.google.com/maps/place/8.8738066%2C-12.0384488", "8.8738066,-12.0384488")</f>
        <v>8.8738066,-12.0384488</v>
      </c>
    </row>
    <row r="98" ht="15.75" customHeight="1">
      <c r="A98" s="1" t="s">
        <v>639</v>
      </c>
      <c r="B98" s="1" t="s">
        <v>207</v>
      </c>
      <c r="C98" s="1" t="s">
        <v>640</v>
      </c>
      <c r="D98" s="1" t="s">
        <v>640</v>
      </c>
      <c r="E98" s="1" t="s">
        <v>641</v>
      </c>
      <c r="F98" s="1" t="s">
        <v>50</v>
      </c>
      <c r="G98" s="1">
        <v>278.0</v>
      </c>
      <c r="H98" s="1" t="s">
        <v>51</v>
      </c>
      <c r="I98" s="1">
        <v>116.0</v>
      </c>
      <c r="J98" s="1">
        <v>52.0</v>
      </c>
      <c r="K98" s="1">
        <v>52.0</v>
      </c>
      <c r="L98" s="1">
        <v>64.0</v>
      </c>
      <c r="M98" s="1">
        <v>64.0</v>
      </c>
      <c r="N98" s="1" t="s">
        <v>52</v>
      </c>
      <c r="O98" s="1">
        <v>76.0</v>
      </c>
      <c r="P98" s="1">
        <v>30.0</v>
      </c>
      <c r="Q98" s="1">
        <v>30.0</v>
      </c>
      <c r="R98" s="1">
        <v>46.0</v>
      </c>
      <c r="S98" s="1">
        <v>46.0</v>
      </c>
      <c r="T98" s="1" t="s">
        <v>53</v>
      </c>
      <c r="U98" s="1">
        <v>49.0</v>
      </c>
      <c r="V98" s="1">
        <v>24.0</v>
      </c>
      <c r="W98" s="1">
        <v>22.0</v>
      </c>
      <c r="X98" s="1">
        <v>25.0</v>
      </c>
      <c r="Y98" s="1">
        <v>25.0</v>
      </c>
      <c r="Z98" s="1" t="s">
        <v>54</v>
      </c>
      <c r="AA98" s="1">
        <v>15.0</v>
      </c>
      <c r="AB98" s="1">
        <v>7.0</v>
      </c>
      <c r="AC98" s="1">
        <v>7.0</v>
      </c>
      <c r="AD98" s="1">
        <v>8.0</v>
      </c>
      <c r="AE98" s="1">
        <v>8.0</v>
      </c>
      <c r="AF98" s="1" t="s">
        <v>56</v>
      </c>
      <c r="AG98" s="1">
        <v>22.0</v>
      </c>
      <c r="AH98" s="1">
        <v>7.0</v>
      </c>
      <c r="AI98" s="1">
        <v>7.0</v>
      </c>
      <c r="AJ98" s="1">
        <v>15.0</v>
      </c>
      <c r="AK98" s="1">
        <v>15.0</v>
      </c>
      <c r="AL98" s="1">
        <v>276.0</v>
      </c>
      <c r="AM98" s="1">
        <v>2.0</v>
      </c>
      <c r="AN98" s="1" t="s">
        <v>55</v>
      </c>
      <c r="AO98" s="1" t="s">
        <v>55</v>
      </c>
      <c r="AP98" s="1" t="s">
        <v>642</v>
      </c>
      <c r="AQ98" s="3" t="str">
        <f>HYPERLINK("https://icf.clappia.com/app/GMB253374/submission/DRO56499311/ICF247370-GMB253374-5295m2fdg4g200000000/SIG-20250630_13071n83d.jpeg", "SIG-20250630_13071n83d.jpeg")</f>
        <v>SIG-20250630_13071n83d.jpeg</v>
      </c>
      <c r="AR98" s="1" t="s">
        <v>643</v>
      </c>
      <c r="AS98" s="3" t="str">
        <f>HYPERLINK("https://icf.clappia.com/app/GMB253374/submission/DRO56499311/ICF247370-GMB253374-30mpccooeooe00000000/SIG-20250630_130568kp6.jpeg", "SIG-20250630_130568kp6.jpeg")</f>
        <v>SIG-20250630_130568kp6.jpeg</v>
      </c>
      <c r="AT98" s="1" t="s">
        <v>644</v>
      </c>
      <c r="AU98" s="3" t="str">
        <f>HYPERLINK("https://icf.clappia.com/app/GMB253374/submission/DRO56499311/ICF247370-GMB253374-13mpl699l00b80000000/SIG-20250630_130618e3lj.jpeg", "SIG-20250630_130618e3lj.jpeg")</f>
        <v>SIG-20250630_130618e3lj.jpeg</v>
      </c>
      <c r="AV98" s="3" t="str">
        <f>HYPERLINK("https://www.google.com/maps/place/7.9276208%2C-11.4415451", "7.9276208,-11.4415451")</f>
        <v>7.9276208,-11.4415451</v>
      </c>
    </row>
    <row r="99" ht="15.75" customHeight="1">
      <c r="A99" s="1" t="s">
        <v>645</v>
      </c>
      <c r="B99" s="1" t="s">
        <v>207</v>
      </c>
      <c r="C99" s="1" t="s">
        <v>646</v>
      </c>
      <c r="D99" s="1" t="s">
        <v>647</v>
      </c>
      <c r="E99" s="1" t="s">
        <v>648</v>
      </c>
      <c r="F99" s="1" t="s">
        <v>50</v>
      </c>
      <c r="G99" s="1">
        <v>150.0</v>
      </c>
      <c r="H99" s="1" t="s">
        <v>51</v>
      </c>
      <c r="I99" s="1">
        <v>25.0</v>
      </c>
      <c r="J99" s="1">
        <v>12.0</v>
      </c>
      <c r="K99" s="1">
        <v>8.0</v>
      </c>
      <c r="L99" s="1">
        <v>13.0</v>
      </c>
      <c r="M99" s="1">
        <v>13.0</v>
      </c>
      <c r="N99" s="1" t="s">
        <v>52</v>
      </c>
      <c r="O99" s="1">
        <v>30.0</v>
      </c>
      <c r="P99" s="1">
        <v>10.0</v>
      </c>
      <c r="Q99" s="1">
        <v>9.0</v>
      </c>
      <c r="R99" s="1">
        <v>20.0</v>
      </c>
      <c r="S99" s="1">
        <v>18.0</v>
      </c>
      <c r="T99" s="1" t="s">
        <v>53</v>
      </c>
      <c r="U99" s="1">
        <v>28.0</v>
      </c>
      <c r="V99" s="1">
        <v>13.0</v>
      </c>
      <c r="W99" s="1">
        <v>10.0</v>
      </c>
      <c r="X99" s="1">
        <v>15.0</v>
      </c>
      <c r="Y99" s="1">
        <v>11.0</v>
      </c>
      <c r="Z99" s="1" t="s">
        <v>54</v>
      </c>
      <c r="AA99" s="1">
        <v>30.0</v>
      </c>
      <c r="AB99" s="1">
        <v>8.0</v>
      </c>
      <c r="AC99" s="1">
        <v>7.0</v>
      </c>
      <c r="AD99" s="1">
        <v>22.0</v>
      </c>
      <c r="AE99" s="1">
        <v>20.0</v>
      </c>
      <c r="AF99" s="1" t="s">
        <v>56</v>
      </c>
      <c r="AG99" s="1">
        <v>19.0</v>
      </c>
      <c r="AH99" s="1">
        <v>6.0</v>
      </c>
      <c r="AI99" s="1">
        <v>6.0</v>
      </c>
      <c r="AJ99" s="1">
        <v>13.0</v>
      </c>
      <c r="AK99" s="1">
        <v>13.0</v>
      </c>
      <c r="AL99" s="1">
        <v>115.0</v>
      </c>
      <c r="AM99" s="1">
        <v>10.0</v>
      </c>
      <c r="AN99" s="1">
        <v>25.0</v>
      </c>
      <c r="AO99" s="1">
        <v>25.0</v>
      </c>
      <c r="AP99" s="1" t="s">
        <v>649</v>
      </c>
      <c r="AQ99" s="3" t="str">
        <f>HYPERLINK("https://icf.clappia.com/app/GMB253374/submission/IWP38377586/ICF247370-GMB253374-4e8ccbioee3c00000000/SIG-20250630_13302o6lh.jpeg", "SIG-20250630_13302o6lh.jpeg")</f>
        <v>SIG-20250630_13302o6lh.jpeg</v>
      </c>
      <c r="AR99" s="1" t="s">
        <v>650</v>
      </c>
      <c r="AS99" s="3" t="str">
        <f>HYPERLINK("https://icf.clappia.com/app/GMB253374/submission/IWP38377586/ICF247370-GMB253374-52l6e40fd36m00000000/SIG-20250630_133475nkd.jpeg", "SIG-20250630_133475nkd.jpeg")</f>
        <v>SIG-20250630_133475nkd.jpeg</v>
      </c>
      <c r="AT99" s="1" t="s">
        <v>651</v>
      </c>
      <c r="AU99" s="3" t="str">
        <f>HYPERLINK("https://icf.clappia.com/app/GMB253374/submission/IWP38377586/ICF247370-GMB253374-2387e2emk0pn60000000/SIG-20250630_1334d148m.jpeg", "SIG-20250630_1334d148m.jpeg")</f>
        <v>SIG-20250630_1334d148m.jpeg</v>
      </c>
      <c r="AV99" s="3" t="str">
        <f>HYPERLINK("https://www.google.com/maps/place/7.9748733%2C-11.393375", "7.9748733,-11.393375")</f>
        <v>7.9748733,-11.393375</v>
      </c>
    </row>
    <row r="100" ht="15.75" customHeight="1">
      <c r="A100" s="1" t="s">
        <v>652</v>
      </c>
      <c r="B100" s="1" t="s">
        <v>388</v>
      </c>
      <c r="C100" s="1" t="s">
        <v>653</v>
      </c>
      <c r="D100" s="1" t="s">
        <v>653</v>
      </c>
      <c r="E100" s="1" t="s">
        <v>654</v>
      </c>
      <c r="F100" s="1" t="s">
        <v>50</v>
      </c>
      <c r="G100" s="1">
        <v>200.0</v>
      </c>
      <c r="H100" s="1" t="s">
        <v>51</v>
      </c>
      <c r="I100" s="1">
        <v>50.0</v>
      </c>
      <c r="J100" s="1">
        <v>25.0</v>
      </c>
      <c r="K100" s="1">
        <v>25.0</v>
      </c>
      <c r="L100" s="1">
        <v>25.0</v>
      </c>
      <c r="M100" s="1">
        <v>23.0</v>
      </c>
      <c r="N100" s="1" t="s">
        <v>52</v>
      </c>
      <c r="O100" s="1">
        <v>41.0</v>
      </c>
      <c r="P100" s="1">
        <v>24.0</v>
      </c>
      <c r="Q100" s="1">
        <v>21.0</v>
      </c>
      <c r="R100" s="1">
        <v>17.0</v>
      </c>
      <c r="S100" s="1">
        <v>17.0</v>
      </c>
      <c r="T100" s="1" t="s">
        <v>53</v>
      </c>
      <c r="U100" s="1">
        <v>38.0</v>
      </c>
      <c r="V100" s="1">
        <v>20.0</v>
      </c>
      <c r="W100" s="1">
        <v>19.0</v>
      </c>
      <c r="X100" s="1">
        <v>18.0</v>
      </c>
      <c r="Y100" s="1">
        <v>18.0</v>
      </c>
      <c r="Z100" s="1" t="s">
        <v>54</v>
      </c>
      <c r="AA100" s="1">
        <v>30.0</v>
      </c>
      <c r="AB100" s="1">
        <v>18.0</v>
      </c>
      <c r="AC100" s="1">
        <v>18.0</v>
      </c>
      <c r="AD100" s="1">
        <v>12.0</v>
      </c>
      <c r="AE100" s="1">
        <v>8.0</v>
      </c>
      <c r="AF100" s="1" t="s">
        <v>56</v>
      </c>
      <c r="AG100" s="1">
        <v>24.0</v>
      </c>
      <c r="AH100" s="1">
        <v>11.0</v>
      </c>
      <c r="AI100" s="1">
        <v>11.0</v>
      </c>
      <c r="AJ100" s="1">
        <v>13.0</v>
      </c>
      <c r="AK100" s="1">
        <v>13.0</v>
      </c>
      <c r="AL100" s="1">
        <v>173.0</v>
      </c>
      <c r="AM100" s="1">
        <v>10.0</v>
      </c>
      <c r="AN100" s="1">
        <v>17.0</v>
      </c>
      <c r="AO100" s="1">
        <v>17.0</v>
      </c>
      <c r="AP100" s="1" t="s">
        <v>655</v>
      </c>
      <c r="AQ100" s="3" t="str">
        <f>HYPERLINK("https://icf.clappia.com/app/GMB253374/submission/VYT47983338/ICF247370-GMB253374-48m9a40fm9pg00000000/SIG-20250630_1331bhbif.jpeg", "SIG-20250630_1331bhbif.jpeg")</f>
        <v>SIG-20250630_1331bhbif.jpeg</v>
      </c>
      <c r="AR100" s="1" t="s">
        <v>656</v>
      </c>
      <c r="AS100" s="3" t="str">
        <f>HYPERLINK("https://icf.clappia.com/app/GMB253374/submission/VYT47983338/ICF247370-GMB253374-1c748dio2l1a00000000/SIG-20250630_13315pnkg.jpeg", "SIG-20250630_13315pnkg.jpeg")</f>
        <v>SIG-20250630_13315pnkg.jpeg</v>
      </c>
      <c r="AT100" s="1" t="s">
        <v>657</v>
      </c>
      <c r="AU100" s="3" t="str">
        <f>HYPERLINK("https://icf.clappia.com/app/GMB253374/submission/VYT47983338/ICF247370-GMB253374-k5o4gjokm2a40000000/SIG-20250630_1342oa9f.jpeg", "SIG-20250630_1342oa9f.jpeg")</f>
        <v>SIG-20250630_1342oa9f.jpeg</v>
      </c>
      <c r="AV100" s="3" t="str">
        <f>HYPERLINK("https://www.google.com/maps/place/8.877105%2C-12.10795", "8.877105,-12.10795")</f>
        <v>8.877105,-12.10795</v>
      </c>
    </row>
    <row r="101" ht="15.75" customHeight="1">
      <c r="A101" s="1" t="s">
        <v>658</v>
      </c>
      <c r="B101" s="1" t="s">
        <v>276</v>
      </c>
      <c r="C101" s="1" t="s">
        <v>659</v>
      </c>
      <c r="D101" s="1" t="s">
        <v>659</v>
      </c>
      <c r="E101" s="1" t="s">
        <v>660</v>
      </c>
      <c r="F101" s="1" t="s">
        <v>50</v>
      </c>
      <c r="G101" s="1">
        <v>150.0</v>
      </c>
      <c r="H101" s="1" t="s">
        <v>51</v>
      </c>
      <c r="I101" s="1">
        <v>79.0</v>
      </c>
      <c r="J101" s="1">
        <v>45.0</v>
      </c>
      <c r="K101" s="1">
        <v>40.0</v>
      </c>
      <c r="L101" s="1">
        <v>34.0</v>
      </c>
      <c r="M101" s="1">
        <v>32.0</v>
      </c>
      <c r="N101" s="1" t="s">
        <v>52</v>
      </c>
      <c r="O101" s="1">
        <v>86.0</v>
      </c>
      <c r="P101" s="1">
        <v>54.0</v>
      </c>
      <c r="Q101" s="1">
        <v>50.0</v>
      </c>
      <c r="R101" s="1">
        <v>32.0</v>
      </c>
      <c r="S101" s="1">
        <v>28.0</v>
      </c>
      <c r="T101" s="1" t="s">
        <v>53</v>
      </c>
      <c r="U101" s="1" t="s">
        <v>55</v>
      </c>
      <c r="V101" s="1" t="s">
        <v>55</v>
      </c>
      <c r="W101" s="1" t="s">
        <v>55</v>
      </c>
      <c r="X101" s="1" t="s">
        <v>55</v>
      </c>
      <c r="Y101" s="1" t="s">
        <v>55</v>
      </c>
      <c r="Z101" s="1" t="s">
        <v>54</v>
      </c>
      <c r="AA101" s="1" t="s">
        <v>55</v>
      </c>
      <c r="AB101" s="1" t="s">
        <v>55</v>
      </c>
      <c r="AC101" s="1" t="s">
        <v>55</v>
      </c>
      <c r="AD101" s="1" t="s">
        <v>55</v>
      </c>
      <c r="AE101" s="1" t="s">
        <v>55</v>
      </c>
      <c r="AF101" s="1" t="s">
        <v>56</v>
      </c>
      <c r="AG101" s="1" t="s">
        <v>55</v>
      </c>
      <c r="AH101" s="1" t="s">
        <v>55</v>
      </c>
      <c r="AI101" s="1" t="s">
        <v>55</v>
      </c>
      <c r="AJ101" s="1" t="s">
        <v>55</v>
      </c>
      <c r="AK101" s="1" t="s">
        <v>55</v>
      </c>
      <c r="AL101" s="1">
        <v>150.0</v>
      </c>
      <c r="AM101" s="1" t="s">
        <v>55</v>
      </c>
      <c r="AN101" s="1" t="s">
        <v>55</v>
      </c>
      <c r="AO101" s="1" t="s">
        <v>55</v>
      </c>
      <c r="AP101" s="1" t="s">
        <v>661</v>
      </c>
      <c r="AQ101" s="3" t="str">
        <f>HYPERLINK("https://icf.clappia.com/app/GMB253374/submission/RKN64951214/ICF247370-GMB253374-4elmb85lb0a800000000/SIG-20250630_1200p30hh.jpeg", "SIG-20250630_1200p30hh.jpeg")</f>
        <v>SIG-20250630_1200p30hh.jpeg</v>
      </c>
      <c r="AR101" s="1" t="s">
        <v>662</v>
      </c>
      <c r="AS101" s="3" t="str">
        <f>HYPERLINK("https://icf.clappia.com/app/GMB253374/submission/RKN64951214/ICF247370-GMB253374-67969f4ebi4g00000000/SIG-20250630_1201m0cnf.jpeg", "SIG-20250630_1201m0cnf.jpeg")</f>
        <v>SIG-20250630_1201m0cnf.jpeg</v>
      </c>
      <c r="AT101" s="1" t="s">
        <v>663</v>
      </c>
      <c r="AU101" s="3" t="str">
        <f>HYPERLINK("https://icf.clappia.com/app/GMB253374/submission/RKN64951214/ICF247370-GMB253374-3hf3bd7dm2g400000000/SIG-20250630_1203f7bic.jpeg", "SIG-20250630_1203f7bic.jpeg")</f>
        <v>SIG-20250630_1203f7bic.jpeg</v>
      </c>
      <c r="AV101" s="3" t="str">
        <f>HYPERLINK("https://www.google.com/maps/place/7.84004%2C-11.6640217", "7.84004,-11.6640217")</f>
        <v>7.84004,-11.6640217</v>
      </c>
    </row>
    <row r="102" ht="15.75" customHeight="1">
      <c r="A102" s="1" t="s">
        <v>664</v>
      </c>
      <c r="B102" s="1" t="s">
        <v>169</v>
      </c>
      <c r="C102" s="1" t="s">
        <v>665</v>
      </c>
      <c r="D102" s="1" t="s">
        <v>665</v>
      </c>
      <c r="E102" s="1" t="s">
        <v>666</v>
      </c>
      <c r="F102" s="1" t="s">
        <v>50</v>
      </c>
      <c r="G102" s="1">
        <v>308.0</v>
      </c>
      <c r="H102" s="1" t="s">
        <v>51</v>
      </c>
      <c r="I102" s="1">
        <v>57.0</v>
      </c>
      <c r="J102" s="1">
        <v>27.0</v>
      </c>
      <c r="K102" s="1">
        <v>27.0</v>
      </c>
      <c r="L102" s="1">
        <v>30.0</v>
      </c>
      <c r="M102" s="1">
        <v>30.0</v>
      </c>
      <c r="N102" s="1" t="s">
        <v>52</v>
      </c>
      <c r="O102" s="1">
        <v>58.0</v>
      </c>
      <c r="P102" s="1">
        <v>34.0</v>
      </c>
      <c r="Q102" s="1">
        <v>34.0</v>
      </c>
      <c r="R102" s="1">
        <v>24.0</v>
      </c>
      <c r="S102" s="1">
        <v>24.0</v>
      </c>
      <c r="T102" s="1" t="s">
        <v>53</v>
      </c>
      <c r="U102" s="1">
        <v>71.0</v>
      </c>
      <c r="V102" s="1">
        <v>39.0</v>
      </c>
      <c r="W102" s="1">
        <v>39.0</v>
      </c>
      <c r="X102" s="1">
        <v>32.0</v>
      </c>
      <c r="Y102" s="1">
        <v>32.0</v>
      </c>
      <c r="Z102" s="1" t="s">
        <v>54</v>
      </c>
      <c r="AA102" s="1">
        <v>65.0</v>
      </c>
      <c r="AB102" s="1">
        <v>29.0</v>
      </c>
      <c r="AC102" s="1">
        <v>29.0</v>
      </c>
      <c r="AD102" s="1">
        <v>36.0</v>
      </c>
      <c r="AE102" s="1">
        <v>36.0</v>
      </c>
      <c r="AF102" s="1" t="s">
        <v>56</v>
      </c>
      <c r="AG102" s="1">
        <v>57.0</v>
      </c>
      <c r="AH102" s="1">
        <v>29.0</v>
      </c>
      <c r="AI102" s="1">
        <v>24.0</v>
      </c>
      <c r="AJ102" s="1">
        <v>28.0</v>
      </c>
      <c r="AK102" s="1">
        <v>23.0</v>
      </c>
      <c r="AL102" s="1">
        <v>298.0</v>
      </c>
      <c r="AM102" s="1">
        <v>10.0</v>
      </c>
      <c r="AN102" s="1" t="s">
        <v>55</v>
      </c>
      <c r="AO102" s="1" t="s">
        <v>55</v>
      </c>
      <c r="AP102" s="1" t="s">
        <v>667</v>
      </c>
      <c r="AQ102" s="3" t="str">
        <f>HYPERLINK("https://icf.clappia.com/app/GMB253374/submission/TVS20863940/ICF247370-GMB253374-4jccgnle63e600000000/SIG-20250630_13465p8l8.jpeg", "SIG-20250630_13465p8l8.jpeg")</f>
        <v>SIG-20250630_13465p8l8.jpeg</v>
      </c>
      <c r="AR102" s="1" t="s">
        <v>668</v>
      </c>
      <c r="AS102" s="3" t="str">
        <f>HYPERLINK("https://icf.clappia.com/app/GMB253374/submission/TVS20863940/ICF247370-GMB253374-af52daif2dmg0000000/SIG-20250630_13462icoh.jpeg", "SIG-20250630_13462icoh.jpeg")</f>
        <v>SIG-20250630_13462icoh.jpeg</v>
      </c>
      <c r="AT102" s="1" t="s">
        <v>669</v>
      </c>
      <c r="AU102" s="3" t="str">
        <f>HYPERLINK("https://icf.clappia.com/app/GMB253374/submission/TVS20863940/ICF247370-GMB253374-5o7116dal9pe00000000/SIG-20250630_1348nckmc.jpeg", "SIG-20250630_1348nckmc.jpeg")</f>
        <v>SIG-20250630_1348nckmc.jpeg</v>
      </c>
      <c r="AV102" s="3" t="str">
        <f>HYPERLINK("https://www.google.com/maps/place/8.862922%2C-12.0402335", "8.862922,-12.0402335")</f>
        <v>8.862922,-12.0402335</v>
      </c>
    </row>
    <row r="103" ht="15.75" customHeight="1">
      <c r="A103" s="1" t="s">
        <v>670</v>
      </c>
      <c r="B103" s="1" t="s">
        <v>207</v>
      </c>
      <c r="C103" s="1" t="s">
        <v>665</v>
      </c>
      <c r="D103" s="1" t="s">
        <v>665</v>
      </c>
      <c r="E103" s="1" t="s">
        <v>671</v>
      </c>
      <c r="F103" s="1" t="s">
        <v>50</v>
      </c>
      <c r="G103" s="1">
        <v>200.0</v>
      </c>
      <c r="H103" s="1" t="s">
        <v>51</v>
      </c>
      <c r="I103" s="1">
        <v>87.0</v>
      </c>
      <c r="J103" s="1">
        <v>45.0</v>
      </c>
      <c r="K103" s="1">
        <v>38.0</v>
      </c>
      <c r="L103" s="1">
        <v>42.0</v>
      </c>
      <c r="M103" s="1">
        <v>40.0</v>
      </c>
      <c r="N103" s="1" t="s">
        <v>52</v>
      </c>
      <c r="O103" s="1">
        <v>30.0</v>
      </c>
      <c r="P103" s="1">
        <v>15.0</v>
      </c>
      <c r="Q103" s="1">
        <v>15.0</v>
      </c>
      <c r="R103" s="1">
        <v>15.0</v>
      </c>
      <c r="S103" s="1">
        <v>15.0</v>
      </c>
      <c r="T103" s="1" t="s">
        <v>53</v>
      </c>
      <c r="U103" s="1">
        <v>22.0</v>
      </c>
      <c r="V103" s="1">
        <v>12.0</v>
      </c>
      <c r="W103" s="1">
        <v>12.0</v>
      </c>
      <c r="X103" s="1">
        <v>10.0</v>
      </c>
      <c r="Y103" s="1">
        <v>8.0</v>
      </c>
      <c r="Z103" s="1" t="s">
        <v>54</v>
      </c>
      <c r="AA103" s="1">
        <v>22.0</v>
      </c>
      <c r="AB103" s="1">
        <v>10.0</v>
      </c>
      <c r="AC103" s="1">
        <v>10.0</v>
      </c>
      <c r="AD103" s="1">
        <v>12.0</v>
      </c>
      <c r="AE103" s="1">
        <v>8.0</v>
      </c>
      <c r="AF103" s="1" t="s">
        <v>56</v>
      </c>
      <c r="AG103" s="1">
        <v>28.0</v>
      </c>
      <c r="AH103" s="1">
        <v>15.0</v>
      </c>
      <c r="AI103" s="1">
        <v>11.0</v>
      </c>
      <c r="AJ103" s="1">
        <v>13.0</v>
      </c>
      <c r="AK103" s="1">
        <v>13.0</v>
      </c>
      <c r="AL103" s="1">
        <v>170.0</v>
      </c>
      <c r="AM103" s="1" t="s">
        <v>55</v>
      </c>
      <c r="AN103" s="1">
        <v>30.0</v>
      </c>
      <c r="AO103" s="1">
        <v>30.0</v>
      </c>
      <c r="AP103" s="1" t="s">
        <v>672</v>
      </c>
      <c r="AQ103" s="3" t="str">
        <f>HYPERLINK("https://icf.clappia.com/app/GMB253374/submission/VJF96700283/ICF247370-GMB253374-1o20bfo746k640000000/SIG-20250630_1346h9l96.jpeg", "SIG-20250630_1346h9l96.jpeg")</f>
        <v>SIG-20250630_1346h9l96.jpeg</v>
      </c>
      <c r="AR103" s="1" t="s">
        <v>673</v>
      </c>
      <c r="AS103" s="3" t="str">
        <f>HYPERLINK("https://icf.clappia.com/app/GMB253374/submission/VJF96700283/ICF247370-GMB253374-1ffncjm0old1a0000000/SIG-20250630_1347d7b1i.jpeg", "SIG-20250630_1347d7b1i.jpeg")</f>
        <v>SIG-20250630_1347d7b1i.jpeg</v>
      </c>
      <c r="AT103" s="1" t="s">
        <v>674</v>
      </c>
      <c r="AU103" s="3" t="str">
        <f>HYPERLINK("https://icf.clappia.com/app/GMB253374/submission/VJF96700283/ICF247370-GMB253374-5ac9fi6bclia00000000/SIG-20250630_134710m6c9.jpeg", "SIG-20250630_134710m6c9.jpeg")</f>
        <v>SIG-20250630_134710m6c9.jpeg</v>
      </c>
      <c r="AV103" s="3" t="str">
        <f>HYPERLINK("https://www.google.com/maps/place/7.91855%2C-11.4283983", "7.91855,-11.4283983")</f>
        <v>7.91855,-11.4283983</v>
      </c>
    </row>
    <row r="104" ht="15.75" customHeight="1">
      <c r="A104" s="1" t="s">
        <v>675</v>
      </c>
      <c r="B104" s="1" t="s">
        <v>162</v>
      </c>
      <c r="C104" s="1" t="s">
        <v>676</v>
      </c>
      <c r="D104" s="1" t="s">
        <v>677</v>
      </c>
      <c r="E104" s="1" t="s">
        <v>678</v>
      </c>
      <c r="F104" s="1" t="s">
        <v>50</v>
      </c>
      <c r="G104" s="1">
        <v>227.0</v>
      </c>
      <c r="H104" s="1" t="s">
        <v>51</v>
      </c>
      <c r="I104" s="1">
        <v>45.0</v>
      </c>
      <c r="J104" s="1">
        <v>20.0</v>
      </c>
      <c r="K104" s="1">
        <v>20.0</v>
      </c>
      <c r="L104" s="1">
        <v>25.0</v>
      </c>
      <c r="M104" s="1">
        <v>25.0</v>
      </c>
      <c r="N104" s="1" t="s">
        <v>52</v>
      </c>
      <c r="O104" s="1">
        <v>55.0</v>
      </c>
      <c r="P104" s="1">
        <v>25.0</v>
      </c>
      <c r="Q104" s="1">
        <v>25.0</v>
      </c>
      <c r="R104" s="1">
        <v>30.0</v>
      </c>
      <c r="S104" s="1">
        <v>30.0</v>
      </c>
      <c r="T104" s="1" t="s">
        <v>53</v>
      </c>
      <c r="U104" s="1">
        <v>40.0</v>
      </c>
      <c r="V104" s="1">
        <v>20.0</v>
      </c>
      <c r="W104" s="1">
        <v>20.0</v>
      </c>
      <c r="X104" s="1">
        <v>20.0</v>
      </c>
      <c r="Y104" s="1">
        <v>20.0</v>
      </c>
      <c r="Z104" s="1" t="s">
        <v>54</v>
      </c>
      <c r="AA104" s="1">
        <v>50.0</v>
      </c>
      <c r="AB104" s="1">
        <v>22.0</v>
      </c>
      <c r="AC104" s="1">
        <v>22.0</v>
      </c>
      <c r="AD104" s="1">
        <v>28.0</v>
      </c>
      <c r="AE104" s="1">
        <v>28.0</v>
      </c>
      <c r="AF104" s="1" t="s">
        <v>56</v>
      </c>
      <c r="AG104" s="1">
        <v>37.0</v>
      </c>
      <c r="AH104" s="1">
        <v>21.0</v>
      </c>
      <c r="AI104" s="1">
        <v>21.0</v>
      </c>
      <c r="AJ104" s="1">
        <v>16.0</v>
      </c>
      <c r="AK104" s="1">
        <v>16.0</v>
      </c>
      <c r="AL104" s="1">
        <v>227.0</v>
      </c>
      <c r="AM104" s="1" t="s">
        <v>55</v>
      </c>
      <c r="AN104" s="1" t="s">
        <v>55</v>
      </c>
      <c r="AO104" s="1" t="s">
        <v>55</v>
      </c>
      <c r="AP104" s="1" t="s">
        <v>679</v>
      </c>
      <c r="AQ104" s="3" t="str">
        <f>HYPERLINK("https://icf.clappia.com/app/GMB253374/submission/IMT35040416/ICF247370-GMB253374-2acnok9ln7kdg0000000/SIG-20250630_1344b3o4h.jpeg", "SIG-20250630_1344b3o4h.jpeg")</f>
        <v>SIG-20250630_1344b3o4h.jpeg</v>
      </c>
      <c r="AR104" s="1" t="s">
        <v>680</v>
      </c>
      <c r="AS104" s="3" t="str">
        <f>HYPERLINK("https://icf.clappia.com/app/GMB253374/submission/IMT35040416/ICF247370-GMB253374-76lp9g6ki6800000000/SIG-20250630_1345lco9h.jpeg", "SIG-20250630_1345lco9h.jpeg")</f>
        <v>SIG-20250630_1345lco9h.jpeg</v>
      </c>
      <c r="AT104" s="1" t="s">
        <v>681</v>
      </c>
      <c r="AU104" s="3" t="str">
        <f>HYPERLINK("https://icf.clappia.com/app/GMB253374/submission/IMT35040416/ICF247370-GMB253374-646j6ieb2oeg00000000/SIG-20250630_1347plpc6.jpeg", "SIG-20250630_1347plpc6.jpeg")</f>
        <v>SIG-20250630_1347plpc6.jpeg</v>
      </c>
      <c r="AV104" s="3" t="str">
        <f>HYPERLINK("https://www.google.com/maps/place/8.970945%2C-12.1595099", "8.970945,-12.1595099")</f>
        <v>8.970945,-12.1595099</v>
      </c>
    </row>
    <row r="105" ht="15.75" customHeight="1">
      <c r="A105" s="1" t="s">
        <v>682</v>
      </c>
      <c r="B105" s="1" t="s">
        <v>356</v>
      </c>
      <c r="C105" s="1" t="s">
        <v>683</v>
      </c>
      <c r="D105" s="1" t="s">
        <v>683</v>
      </c>
      <c r="E105" s="1" t="s">
        <v>684</v>
      </c>
      <c r="F105" s="1" t="s">
        <v>50</v>
      </c>
      <c r="G105" s="1">
        <v>234.0</v>
      </c>
      <c r="H105" s="1" t="s">
        <v>51</v>
      </c>
      <c r="I105" s="1">
        <v>78.0</v>
      </c>
      <c r="J105" s="1">
        <v>30.0</v>
      </c>
      <c r="K105" s="1">
        <v>30.0</v>
      </c>
      <c r="L105" s="1">
        <v>48.0</v>
      </c>
      <c r="M105" s="1">
        <v>48.0</v>
      </c>
      <c r="N105" s="1" t="s">
        <v>52</v>
      </c>
      <c r="O105" s="1">
        <v>53.0</v>
      </c>
      <c r="P105" s="1">
        <v>21.0</v>
      </c>
      <c r="Q105" s="1">
        <v>21.0</v>
      </c>
      <c r="R105" s="1">
        <v>32.0</v>
      </c>
      <c r="S105" s="1">
        <v>32.0</v>
      </c>
      <c r="T105" s="1" t="s">
        <v>53</v>
      </c>
      <c r="U105" s="1">
        <v>60.0</v>
      </c>
      <c r="V105" s="1">
        <v>23.0</v>
      </c>
      <c r="W105" s="1">
        <v>23.0</v>
      </c>
      <c r="X105" s="1">
        <v>37.0</v>
      </c>
      <c r="Y105" s="1">
        <v>37.0</v>
      </c>
      <c r="Z105" s="1" t="s">
        <v>54</v>
      </c>
      <c r="AA105" s="1">
        <v>43.0</v>
      </c>
      <c r="AB105" s="1">
        <v>20.0</v>
      </c>
      <c r="AC105" s="1">
        <v>20.0</v>
      </c>
      <c r="AD105" s="1">
        <v>23.0</v>
      </c>
      <c r="AE105" s="1">
        <v>23.0</v>
      </c>
      <c r="AF105" s="1" t="s">
        <v>56</v>
      </c>
      <c r="AG105" s="1" t="s">
        <v>55</v>
      </c>
      <c r="AH105" s="1" t="s">
        <v>55</v>
      </c>
      <c r="AI105" s="1" t="s">
        <v>55</v>
      </c>
      <c r="AJ105" s="1" t="s">
        <v>55</v>
      </c>
      <c r="AK105" s="1" t="s">
        <v>55</v>
      </c>
      <c r="AL105" s="1">
        <v>234.0</v>
      </c>
      <c r="AM105" s="1" t="s">
        <v>55</v>
      </c>
      <c r="AN105" s="1" t="s">
        <v>55</v>
      </c>
      <c r="AO105" s="1" t="s">
        <v>55</v>
      </c>
      <c r="AP105" s="1" t="s">
        <v>685</v>
      </c>
      <c r="AQ105" s="3" t="str">
        <f>HYPERLINK("https://icf.clappia.com/app/GMB253374/submission/PTL60628036/ICF247370-GMB253374-1b4nfiec1io160000000/SIG-20250630_1344lah3b.jpeg", "SIG-20250630_1344lah3b.jpeg")</f>
        <v>SIG-20250630_1344lah3b.jpeg</v>
      </c>
      <c r="AR105" s="1" t="s">
        <v>686</v>
      </c>
      <c r="AS105" s="3" t="str">
        <f>HYPERLINK("https://icf.clappia.com/app/GMB253374/submission/PTL60628036/ICF247370-GMB253374-4h8e5d344i9200000000/SIG-20250630_1345lfai.jpeg", "SIG-20250630_1345lfai.jpeg")</f>
        <v>SIG-20250630_1345lfai.jpeg</v>
      </c>
      <c r="AT105" s="1" t="s">
        <v>687</v>
      </c>
      <c r="AU105" s="3" t="str">
        <f>HYPERLINK("https://icf.clappia.com/app/GMB253374/submission/PTL60628036/ICF247370-GMB253374-3eecbpnco61000000000/SIG-20250630_134635k42.jpeg", "SIG-20250630_134635k42.jpeg")</f>
        <v>SIG-20250630_134635k42.jpeg</v>
      </c>
      <c r="AV105" s="3" t="str">
        <f>HYPERLINK("https://www.google.com/maps/place/7.6501012%2C-11.9630997", "7.6501012,-11.9630997")</f>
        <v>7.6501012,-11.9630997</v>
      </c>
    </row>
    <row r="106" ht="15.75" customHeight="1">
      <c r="A106" s="1" t="s">
        <v>688</v>
      </c>
      <c r="B106" s="1" t="s">
        <v>162</v>
      </c>
      <c r="C106" s="1" t="s">
        <v>689</v>
      </c>
      <c r="D106" s="1" t="s">
        <v>689</v>
      </c>
      <c r="E106" s="1" t="s">
        <v>690</v>
      </c>
      <c r="F106" s="1" t="s">
        <v>50</v>
      </c>
      <c r="G106" s="1">
        <v>400.0</v>
      </c>
      <c r="H106" s="1" t="s">
        <v>51</v>
      </c>
      <c r="I106" s="1">
        <v>118.0</v>
      </c>
      <c r="J106" s="1">
        <v>55.0</v>
      </c>
      <c r="K106" s="1">
        <v>53.0</v>
      </c>
      <c r="L106" s="1">
        <v>63.0</v>
      </c>
      <c r="M106" s="1">
        <v>59.0</v>
      </c>
      <c r="N106" s="1" t="s">
        <v>52</v>
      </c>
      <c r="O106" s="1">
        <v>62.0</v>
      </c>
      <c r="P106" s="1">
        <v>34.0</v>
      </c>
      <c r="Q106" s="1">
        <v>33.0</v>
      </c>
      <c r="R106" s="1">
        <v>28.0</v>
      </c>
      <c r="S106" s="1">
        <v>27.0</v>
      </c>
      <c r="T106" s="1" t="s">
        <v>53</v>
      </c>
      <c r="U106" s="1">
        <v>58.0</v>
      </c>
      <c r="V106" s="1">
        <v>31.0</v>
      </c>
      <c r="W106" s="1">
        <v>31.0</v>
      </c>
      <c r="X106" s="1">
        <v>27.0</v>
      </c>
      <c r="Y106" s="1">
        <v>26.0</v>
      </c>
      <c r="Z106" s="1" t="s">
        <v>54</v>
      </c>
      <c r="AA106" s="1">
        <v>79.0</v>
      </c>
      <c r="AB106" s="1">
        <v>48.0</v>
      </c>
      <c r="AC106" s="1">
        <v>47.0</v>
      </c>
      <c r="AD106" s="1">
        <v>31.0</v>
      </c>
      <c r="AE106" s="1">
        <v>31.0</v>
      </c>
      <c r="AF106" s="1" t="s">
        <v>56</v>
      </c>
      <c r="AG106" s="1">
        <v>40.0</v>
      </c>
      <c r="AH106" s="1">
        <v>17.0</v>
      </c>
      <c r="AI106" s="1">
        <v>17.0</v>
      </c>
      <c r="AJ106" s="1">
        <v>23.0</v>
      </c>
      <c r="AK106" s="1">
        <v>23.0</v>
      </c>
      <c r="AL106" s="1">
        <v>347.0</v>
      </c>
      <c r="AM106" s="1">
        <v>9.0</v>
      </c>
      <c r="AN106" s="1">
        <v>44.0</v>
      </c>
      <c r="AO106" s="1">
        <v>43.0</v>
      </c>
      <c r="AP106" s="1" t="s">
        <v>691</v>
      </c>
      <c r="AQ106" s="3" t="str">
        <f>HYPERLINK("https://icf.clappia.com/app/GMB253374/submission/NSY60333921/ICF247370-GMB253374-36aakl276fj200000000/SIG-20250630_133912df7b.jpeg", "SIG-20250630_133912df7b.jpeg")</f>
        <v>SIG-20250630_133912df7b.jpeg</v>
      </c>
      <c r="AR106" s="1" t="s">
        <v>692</v>
      </c>
      <c r="AS106" s="3" t="str">
        <f>HYPERLINK("https://icf.clappia.com/app/GMB253374/submission/NSY60333921/ICF247370-GMB253374-1d9pkn0n01djg0000000/SIG-20250630_1339n4j69.jpeg", "SIG-20250630_1339n4j69.jpeg")</f>
        <v>SIG-20250630_1339n4j69.jpeg</v>
      </c>
      <c r="AT106" s="1" t="s">
        <v>693</v>
      </c>
      <c r="AU106" s="3" t="str">
        <f>HYPERLINK("https://icf.clappia.com/app/GMB253374/submission/NSY60333921/ICF247370-GMB253374-1i2aai4gdo3oe0000000/SIG-20250630_1341ha25n.jpeg", "SIG-20250630_1341ha25n.jpeg")</f>
        <v>SIG-20250630_1341ha25n.jpeg</v>
      </c>
      <c r="AV106" s="3" t="str">
        <f>HYPERLINK("https://www.google.com/maps/place/9.165297%2C-12.0398765", "9.165297,-12.0398765")</f>
        <v>9.165297,-12.0398765</v>
      </c>
    </row>
    <row r="107" ht="15.75" customHeight="1">
      <c r="A107" s="1" t="s">
        <v>694</v>
      </c>
      <c r="B107" s="1" t="s">
        <v>388</v>
      </c>
      <c r="C107" s="1" t="s">
        <v>695</v>
      </c>
      <c r="D107" s="1" t="s">
        <v>695</v>
      </c>
      <c r="E107" s="1" t="s">
        <v>696</v>
      </c>
      <c r="F107" s="1" t="s">
        <v>121</v>
      </c>
      <c r="G107" s="1">
        <v>131.0</v>
      </c>
      <c r="H107" s="1" t="s">
        <v>51</v>
      </c>
      <c r="I107" s="1">
        <v>27.0</v>
      </c>
      <c r="J107" s="1">
        <v>20.0</v>
      </c>
      <c r="K107" s="1">
        <v>18.0</v>
      </c>
      <c r="L107" s="1">
        <v>7.0</v>
      </c>
      <c r="M107" s="1">
        <v>7.0</v>
      </c>
      <c r="N107" s="1" t="s">
        <v>52</v>
      </c>
      <c r="O107" s="1">
        <v>31.0</v>
      </c>
      <c r="P107" s="1">
        <v>16.0</v>
      </c>
      <c r="Q107" s="1">
        <v>16.0</v>
      </c>
      <c r="R107" s="1">
        <v>15.0</v>
      </c>
      <c r="S107" s="1">
        <v>13.0</v>
      </c>
      <c r="T107" s="1" t="s">
        <v>53</v>
      </c>
      <c r="U107" s="1">
        <v>35.0</v>
      </c>
      <c r="V107" s="1">
        <v>14.0</v>
      </c>
      <c r="W107" s="1">
        <v>14.0</v>
      </c>
      <c r="X107" s="1">
        <v>21.0</v>
      </c>
      <c r="Y107" s="1">
        <v>21.0</v>
      </c>
      <c r="Z107" s="1" t="s">
        <v>54</v>
      </c>
      <c r="AA107" s="1">
        <v>21.0</v>
      </c>
      <c r="AB107" s="1">
        <v>11.0</v>
      </c>
      <c r="AC107" s="1">
        <v>11.0</v>
      </c>
      <c r="AD107" s="1">
        <v>10.0</v>
      </c>
      <c r="AE107" s="1">
        <v>7.0</v>
      </c>
      <c r="AF107" s="1" t="s">
        <v>56</v>
      </c>
      <c r="AG107" s="1">
        <v>17.0</v>
      </c>
      <c r="AH107" s="1">
        <v>8.0</v>
      </c>
      <c r="AI107" s="1">
        <v>8.0</v>
      </c>
      <c r="AJ107" s="1">
        <v>9.0</v>
      </c>
      <c r="AK107" s="1">
        <v>8.0</v>
      </c>
      <c r="AL107" s="1">
        <v>123.0</v>
      </c>
      <c r="AM107" s="1">
        <v>8.0</v>
      </c>
      <c r="AN107" s="1" t="s">
        <v>55</v>
      </c>
      <c r="AO107" s="1" t="s">
        <v>55</v>
      </c>
      <c r="AP107" s="1" t="s">
        <v>697</v>
      </c>
      <c r="AQ107" s="3" t="str">
        <f>HYPERLINK("https://icf.clappia.com/app/GMB253374/submission/MBZ95462960/ICF247370-GMB253374-de9lenpc7o0g0000000/SIG-20250630_1331eidpl.jpeg", "SIG-20250630_1331eidpl.jpeg")</f>
        <v>SIG-20250630_1331eidpl.jpeg</v>
      </c>
      <c r="AR107" s="1" t="s">
        <v>698</v>
      </c>
      <c r="AS107" s="3" t="str">
        <f>HYPERLINK("https://icf.clappia.com/app/GMB253374/submission/MBZ95462960/ICF247370-GMB253374-4clk1c2o8bko00000000/SIG-20250630_13406i397.jpeg", "SIG-20250630_13406i397.jpeg")</f>
        <v>SIG-20250630_13406i397.jpeg</v>
      </c>
      <c r="AT107" s="1" t="s">
        <v>699</v>
      </c>
      <c r="AU107" s="3" t="str">
        <f>HYPERLINK("https://icf.clappia.com/app/GMB253374/submission/MBZ95462960/ICF247370-GMB253374-2h047clnkmbm00000000/SIG-20250630_13291a638c.jpeg", "SIG-20250630_13291a638c.jpeg")</f>
        <v>SIG-20250630_13291a638c.jpeg</v>
      </c>
      <c r="AV107" s="3" t="str">
        <f>HYPERLINK("https://www.google.com/maps/place/8.8727%2C-12.102145", "8.8727,-12.102145")</f>
        <v>8.8727,-12.102145</v>
      </c>
    </row>
    <row r="108" ht="15.75" customHeight="1">
      <c r="A108" s="1" t="s">
        <v>700</v>
      </c>
      <c r="B108" s="1" t="s">
        <v>98</v>
      </c>
      <c r="C108" s="1" t="s">
        <v>208</v>
      </c>
      <c r="D108" s="1" t="s">
        <v>208</v>
      </c>
      <c r="E108" s="1" t="s">
        <v>701</v>
      </c>
      <c r="F108" s="1" t="s">
        <v>50</v>
      </c>
      <c r="G108" s="1">
        <v>109.0</v>
      </c>
      <c r="H108" s="1" t="s">
        <v>51</v>
      </c>
      <c r="I108" s="1">
        <v>37.0</v>
      </c>
      <c r="J108" s="1">
        <v>19.0</v>
      </c>
      <c r="K108" s="1">
        <v>13.0</v>
      </c>
      <c r="L108" s="1">
        <v>18.0</v>
      </c>
      <c r="M108" s="1">
        <v>15.0</v>
      </c>
      <c r="N108" s="1" t="s">
        <v>52</v>
      </c>
      <c r="O108" s="1">
        <v>28.0</v>
      </c>
      <c r="P108" s="1">
        <v>13.0</v>
      </c>
      <c r="Q108" s="1">
        <v>9.0</v>
      </c>
      <c r="R108" s="1">
        <v>15.0</v>
      </c>
      <c r="S108" s="1">
        <v>12.0</v>
      </c>
      <c r="T108" s="1" t="s">
        <v>53</v>
      </c>
      <c r="U108" s="1">
        <v>21.0</v>
      </c>
      <c r="V108" s="1">
        <v>13.0</v>
      </c>
      <c r="W108" s="1">
        <v>9.0</v>
      </c>
      <c r="X108" s="1">
        <v>8.0</v>
      </c>
      <c r="Y108" s="1">
        <v>8.0</v>
      </c>
      <c r="Z108" s="1" t="s">
        <v>54</v>
      </c>
      <c r="AA108" s="1">
        <v>20.0</v>
      </c>
      <c r="AB108" s="1">
        <v>7.0</v>
      </c>
      <c r="AC108" s="1">
        <v>6.0</v>
      </c>
      <c r="AD108" s="1">
        <v>13.0</v>
      </c>
      <c r="AE108" s="1">
        <v>8.0</v>
      </c>
      <c r="AF108" s="1" t="s">
        <v>56</v>
      </c>
      <c r="AG108" s="1">
        <v>23.0</v>
      </c>
      <c r="AH108" s="1">
        <v>9.0</v>
      </c>
      <c r="AI108" s="1">
        <v>7.0</v>
      </c>
      <c r="AJ108" s="1">
        <v>14.0</v>
      </c>
      <c r="AK108" s="1">
        <v>13.0</v>
      </c>
      <c r="AL108" s="1">
        <v>100.0</v>
      </c>
      <c r="AM108" s="1">
        <v>9.0</v>
      </c>
      <c r="AN108" s="1" t="s">
        <v>55</v>
      </c>
      <c r="AO108" s="1" t="s">
        <v>55</v>
      </c>
      <c r="AP108" s="1" t="s">
        <v>702</v>
      </c>
      <c r="AQ108" s="3" t="str">
        <f>HYPERLINK("https://icf.clappia.com/app/GMB253374/submission/IGY16870407/ICF247370-GMB253374-4nbfd4939e5200000000/SIG-20250630_1303c7671.jpeg", "SIG-20250630_1303c7671.jpeg")</f>
        <v>SIG-20250630_1303c7671.jpeg</v>
      </c>
      <c r="AR108" s="1" t="s">
        <v>703</v>
      </c>
      <c r="AS108" s="3" t="str">
        <f>HYPERLINK("https://icf.clappia.com/app/GMB253374/submission/IGY16870407/ICF247370-GMB253374-4ehmlbidajc800000000/SIG-20250630_130613gloe.jpeg", "SIG-20250630_130613gloe.jpeg")</f>
        <v>SIG-20250630_130613gloe.jpeg</v>
      </c>
      <c r="AT108" s="1" t="s">
        <v>704</v>
      </c>
      <c r="AU108" s="3" t="str">
        <f>HYPERLINK("https://icf.clappia.com/app/GMB253374/submission/IGY16870407/ICF247370-GMB253374-6apkp60p6h8k00000000/SIG-20250630_13138538f.jpeg", "SIG-20250630_13138538f.jpeg")</f>
        <v>SIG-20250630_13138538f.jpeg</v>
      </c>
      <c r="AV108" s="3" t="str">
        <f>HYPERLINK("https://www.google.com/maps/place/7.9450739%2C-11.7141241", "7.9450739,-11.7141241")</f>
        <v>7.9450739,-11.7141241</v>
      </c>
    </row>
    <row r="109" ht="15.75" customHeight="1">
      <c r="A109" s="1" t="s">
        <v>705</v>
      </c>
      <c r="B109" s="1" t="s">
        <v>236</v>
      </c>
      <c r="C109" s="1" t="s">
        <v>706</v>
      </c>
      <c r="D109" s="1" t="s">
        <v>706</v>
      </c>
      <c r="E109" s="1" t="s">
        <v>707</v>
      </c>
      <c r="F109" s="1" t="s">
        <v>50</v>
      </c>
      <c r="G109" s="1">
        <v>50.0</v>
      </c>
      <c r="H109" s="1" t="s">
        <v>51</v>
      </c>
      <c r="I109" s="1">
        <v>25.0</v>
      </c>
      <c r="J109" s="1">
        <v>8.0</v>
      </c>
      <c r="K109" s="1">
        <v>8.0</v>
      </c>
      <c r="L109" s="1">
        <v>17.0</v>
      </c>
      <c r="M109" s="1">
        <v>13.0</v>
      </c>
      <c r="N109" s="1" t="s">
        <v>52</v>
      </c>
      <c r="O109" s="1">
        <v>8.0</v>
      </c>
      <c r="P109" s="1">
        <v>7.0</v>
      </c>
      <c r="Q109" s="1">
        <v>7.0</v>
      </c>
      <c r="R109" s="1">
        <v>1.0</v>
      </c>
      <c r="S109" s="1">
        <v>1.0</v>
      </c>
      <c r="T109" s="1" t="s">
        <v>53</v>
      </c>
      <c r="U109" s="1">
        <v>5.0</v>
      </c>
      <c r="V109" s="1">
        <v>2.0</v>
      </c>
      <c r="W109" s="1" t="s">
        <v>55</v>
      </c>
      <c r="X109" s="1">
        <v>3.0</v>
      </c>
      <c r="Y109" s="1">
        <v>2.0</v>
      </c>
      <c r="Z109" s="1" t="s">
        <v>54</v>
      </c>
      <c r="AA109" s="1">
        <v>4.0</v>
      </c>
      <c r="AB109" s="1">
        <v>2.0</v>
      </c>
      <c r="AC109" s="1" t="s">
        <v>55</v>
      </c>
      <c r="AD109" s="1">
        <v>2.0</v>
      </c>
      <c r="AE109" s="1">
        <v>2.0</v>
      </c>
      <c r="AF109" s="1" t="s">
        <v>56</v>
      </c>
      <c r="AG109" s="1" t="s">
        <v>55</v>
      </c>
      <c r="AH109" s="1" t="s">
        <v>55</v>
      </c>
      <c r="AI109" s="1" t="s">
        <v>55</v>
      </c>
      <c r="AJ109" s="1" t="s">
        <v>55</v>
      </c>
      <c r="AK109" s="1" t="s">
        <v>55</v>
      </c>
      <c r="AL109" s="1">
        <v>33.0</v>
      </c>
      <c r="AM109" s="1">
        <v>9.0</v>
      </c>
      <c r="AN109" s="1">
        <v>8.0</v>
      </c>
      <c r="AO109" s="1">
        <v>8.0</v>
      </c>
      <c r="AP109" s="1" t="s">
        <v>708</v>
      </c>
      <c r="AQ109" s="3" t="str">
        <f>HYPERLINK("https://icf.clappia.com/app/GMB253374/submission/WGT11322600/ICF247370-GMB253374-lpk89bhk5l040000000/SIG-20250630_1327cd1ka.jpeg", "SIG-20250630_1327cd1ka.jpeg")</f>
        <v>SIG-20250630_1327cd1ka.jpeg</v>
      </c>
      <c r="AR109" s="1" t="s">
        <v>709</v>
      </c>
      <c r="AS109" s="3" t="str">
        <f>HYPERLINK("https://icf.clappia.com/app/GMB253374/submission/WGT11322600/ICF247370-GMB253374-3c668m2030l400000000/SIG-20250630_13288ijcj.jpeg", "SIG-20250630_13288ijcj.jpeg")</f>
        <v>SIG-20250630_13288ijcj.jpeg</v>
      </c>
      <c r="AT109" s="1" t="s">
        <v>710</v>
      </c>
      <c r="AU109" s="3" t="str">
        <f>HYPERLINK("https://icf.clappia.com/app/GMB253374/submission/WGT11322600/ICF247370-GMB253374-15l24170fi9la0000000/SIG-20250630_132819a5o0.jpeg", "SIG-20250630_132819a5o0.jpeg")</f>
        <v>SIG-20250630_132819a5o0.jpeg</v>
      </c>
      <c r="AV109" s="3" t="str">
        <f>HYPERLINK("https://www.google.com/maps/place/7.9749702%2C-11.7799777", "7.9749702,-11.7799777")</f>
        <v>7.9749702,-11.7799777</v>
      </c>
    </row>
    <row r="110" ht="15.75" customHeight="1">
      <c r="A110" s="1" t="s">
        <v>711</v>
      </c>
      <c r="B110" s="1" t="s">
        <v>356</v>
      </c>
      <c r="C110" s="1" t="s">
        <v>712</v>
      </c>
      <c r="D110" s="1" t="s">
        <v>712</v>
      </c>
      <c r="E110" s="1" t="s">
        <v>713</v>
      </c>
      <c r="F110" s="1" t="s">
        <v>50</v>
      </c>
      <c r="G110" s="1">
        <v>250.0</v>
      </c>
      <c r="H110" s="1" t="s">
        <v>51</v>
      </c>
      <c r="I110" s="1">
        <v>47.0</v>
      </c>
      <c r="J110" s="1">
        <v>23.0</v>
      </c>
      <c r="K110" s="1">
        <v>19.0</v>
      </c>
      <c r="L110" s="1">
        <v>24.0</v>
      </c>
      <c r="M110" s="1">
        <v>24.0</v>
      </c>
      <c r="N110" s="1" t="s">
        <v>52</v>
      </c>
      <c r="O110" s="1">
        <v>50.0</v>
      </c>
      <c r="P110" s="1">
        <v>19.0</v>
      </c>
      <c r="Q110" s="1">
        <v>11.0</v>
      </c>
      <c r="R110" s="1">
        <v>31.0</v>
      </c>
      <c r="S110" s="1">
        <v>31.0</v>
      </c>
      <c r="T110" s="1" t="s">
        <v>53</v>
      </c>
      <c r="U110" s="1">
        <v>51.0</v>
      </c>
      <c r="V110" s="1">
        <v>25.0</v>
      </c>
      <c r="W110" s="1">
        <v>12.0</v>
      </c>
      <c r="X110" s="1">
        <v>26.0</v>
      </c>
      <c r="Y110" s="1">
        <v>12.0</v>
      </c>
      <c r="Z110" s="1" t="s">
        <v>54</v>
      </c>
      <c r="AA110" s="1">
        <v>50.0</v>
      </c>
      <c r="AB110" s="1">
        <v>24.0</v>
      </c>
      <c r="AC110" s="1">
        <v>5.0</v>
      </c>
      <c r="AD110" s="1">
        <v>26.0</v>
      </c>
      <c r="AE110" s="1">
        <v>12.0</v>
      </c>
      <c r="AF110" s="1" t="s">
        <v>56</v>
      </c>
      <c r="AG110" s="1">
        <v>38.0</v>
      </c>
      <c r="AH110" s="1">
        <v>19.0</v>
      </c>
      <c r="AI110" s="1">
        <v>8.0</v>
      </c>
      <c r="AJ110" s="1">
        <v>19.0</v>
      </c>
      <c r="AK110" s="1">
        <v>7.0</v>
      </c>
      <c r="AL110" s="1">
        <v>141.0</v>
      </c>
      <c r="AM110" s="1">
        <v>10.0</v>
      </c>
      <c r="AN110" s="1">
        <v>99.0</v>
      </c>
      <c r="AO110" s="1">
        <v>10.0</v>
      </c>
      <c r="AP110" s="1" t="s">
        <v>714</v>
      </c>
      <c r="AQ110" s="3" t="str">
        <f>HYPERLINK("https://icf.clappia.com/app/GMB253374/submission/PCT06301898/ICF247370-GMB253374-a2e1fh8f123a0000000/SIG-20250630_1329hgcoc.jpeg", "SIG-20250630_1329hgcoc.jpeg")</f>
        <v>SIG-20250630_1329hgcoc.jpeg</v>
      </c>
      <c r="AR110" s="1" t="s">
        <v>715</v>
      </c>
      <c r="AS110" s="3" t="str">
        <f>HYPERLINK("https://icf.clappia.com/app/GMB253374/submission/PCT06301898/ICF247370-GMB253374-fo50l63k39li0000000/SIG-20250630_1330a6dlb.jpeg", "SIG-20250630_1330a6dlb.jpeg")</f>
        <v>SIG-20250630_1330a6dlb.jpeg</v>
      </c>
      <c r="AT110" s="1" t="s">
        <v>716</v>
      </c>
      <c r="AU110" s="3" t="str">
        <f>HYPERLINK("https://icf.clappia.com/app/GMB253374/submission/PCT06301898/ICF247370-GMB253374-3h7o65nph2ha00000000/SIG-20250630_1331eghpe.jpeg", "SIG-20250630_1331eghpe.jpeg")</f>
        <v>SIG-20250630_1331eghpe.jpeg</v>
      </c>
      <c r="AV110" s="3" t="str">
        <f>HYPERLINK("https://www.google.com/maps/place/7.6524767%2C-11.9639417", "7.6524767,-11.9639417")</f>
        <v>7.6524767,-11.9639417</v>
      </c>
    </row>
    <row r="111" ht="15.75" customHeight="1">
      <c r="A111" s="1" t="s">
        <v>717</v>
      </c>
      <c r="B111" s="1" t="s">
        <v>207</v>
      </c>
      <c r="C111" s="1" t="s">
        <v>712</v>
      </c>
      <c r="D111" s="1" t="s">
        <v>712</v>
      </c>
      <c r="E111" s="1" t="s">
        <v>718</v>
      </c>
      <c r="F111" s="1" t="s">
        <v>50</v>
      </c>
      <c r="G111" s="1">
        <v>254.0</v>
      </c>
      <c r="H111" s="1" t="s">
        <v>51</v>
      </c>
      <c r="I111" s="1">
        <v>66.0</v>
      </c>
      <c r="J111" s="1">
        <v>35.0</v>
      </c>
      <c r="K111" s="1">
        <v>35.0</v>
      </c>
      <c r="L111" s="1">
        <v>31.0</v>
      </c>
      <c r="M111" s="1">
        <v>31.0</v>
      </c>
      <c r="N111" s="1" t="s">
        <v>52</v>
      </c>
      <c r="O111" s="1">
        <v>35.0</v>
      </c>
      <c r="P111" s="1">
        <v>17.0</v>
      </c>
      <c r="Q111" s="1">
        <v>17.0</v>
      </c>
      <c r="R111" s="1">
        <v>18.0</v>
      </c>
      <c r="S111" s="1">
        <v>18.0</v>
      </c>
      <c r="T111" s="1" t="s">
        <v>53</v>
      </c>
      <c r="U111" s="1">
        <v>60.0</v>
      </c>
      <c r="V111" s="1">
        <v>29.0</v>
      </c>
      <c r="W111" s="1">
        <v>27.0</v>
      </c>
      <c r="X111" s="1">
        <v>31.0</v>
      </c>
      <c r="Y111" s="1">
        <v>29.0</v>
      </c>
      <c r="Z111" s="1" t="s">
        <v>54</v>
      </c>
      <c r="AA111" s="1">
        <v>63.0</v>
      </c>
      <c r="AB111" s="1">
        <v>31.0</v>
      </c>
      <c r="AC111" s="1">
        <v>27.0</v>
      </c>
      <c r="AD111" s="1">
        <v>32.0</v>
      </c>
      <c r="AE111" s="1">
        <v>29.0</v>
      </c>
      <c r="AF111" s="1" t="s">
        <v>56</v>
      </c>
      <c r="AG111" s="1">
        <v>50.0</v>
      </c>
      <c r="AH111" s="1">
        <v>26.0</v>
      </c>
      <c r="AI111" s="1">
        <v>20.0</v>
      </c>
      <c r="AJ111" s="1">
        <v>19.0</v>
      </c>
      <c r="AK111" s="1">
        <v>17.0</v>
      </c>
      <c r="AL111" s="1">
        <v>250.0</v>
      </c>
      <c r="AM111" s="1">
        <v>4.0</v>
      </c>
      <c r="AN111" s="1" t="s">
        <v>55</v>
      </c>
      <c r="AO111" s="1" t="s">
        <v>55</v>
      </c>
      <c r="AP111" s="1" t="s">
        <v>719</v>
      </c>
      <c r="AQ111" s="3" t="str">
        <f>HYPERLINK("https://icf.clappia.com/app/GMB253374/submission/JAI47457796/ICF247370-GMB253374-1bic595a4l5360000000/SIG-20250630_13269fclj.jpeg", "SIG-20250630_13269fclj.jpeg")</f>
        <v>SIG-20250630_13269fclj.jpeg</v>
      </c>
      <c r="AR111" s="1" t="s">
        <v>720</v>
      </c>
      <c r="AS111" s="3" t="str">
        <f>HYPERLINK("https://icf.clappia.com/app/GMB253374/submission/JAI47457796/ICF247370-GMB253374-62c5b5dj84oo00000000/SIG-20250630_13276ako1.jpeg", "SIG-20250630_13276ako1.jpeg")</f>
        <v>SIG-20250630_13276ako1.jpeg</v>
      </c>
      <c r="AT111" s="1" t="s">
        <v>721</v>
      </c>
      <c r="AU111" s="3" t="str">
        <f>HYPERLINK("https://icf.clappia.com/app/GMB253374/submission/JAI47457796/ICF247370-GMB253374-1im0agnl71f7m000000/SIG-20250630_1328kaoi6.jpeg", "SIG-20250630_1328kaoi6.jpeg")</f>
        <v>SIG-20250630_1328kaoi6.jpeg</v>
      </c>
      <c r="AV111" s="3" t="str">
        <f>HYPERLINK("https://www.google.com/maps/place/7.9195%2C-11.4275667", "7.9195,-11.4275667")</f>
        <v>7.9195,-11.4275667</v>
      </c>
    </row>
    <row r="112" ht="15.75" customHeight="1">
      <c r="A112" s="1" t="s">
        <v>722</v>
      </c>
      <c r="B112" s="1" t="s">
        <v>169</v>
      </c>
      <c r="C112" s="1" t="s">
        <v>723</v>
      </c>
      <c r="D112" s="1" t="s">
        <v>723</v>
      </c>
      <c r="E112" s="1" t="s">
        <v>724</v>
      </c>
      <c r="F112" s="1" t="s">
        <v>50</v>
      </c>
      <c r="G112" s="1">
        <v>750.0</v>
      </c>
      <c r="H112" s="1" t="s">
        <v>51</v>
      </c>
      <c r="I112" s="1">
        <v>185.0</v>
      </c>
      <c r="J112" s="1">
        <v>117.0</v>
      </c>
      <c r="K112" s="1">
        <v>70.0</v>
      </c>
      <c r="L112" s="1">
        <v>68.0</v>
      </c>
      <c r="M112" s="1">
        <v>55.0</v>
      </c>
      <c r="N112" s="1" t="s">
        <v>52</v>
      </c>
      <c r="O112" s="1">
        <v>148.0</v>
      </c>
      <c r="P112" s="1">
        <v>76.0</v>
      </c>
      <c r="Q112" s="1">
        <v>75.0</v>
      </c>
      <c r="R112" s="1">
        <v>72.0</v>
      </c>
      <c r="S112" s="1">
        <v>71.0</v>
      </c>
      <c r="T112" s="1" t="s">
        <v>53</v>
      </c>
      <c r="U112" s="1">
        <v>129.0</v>
      </c>
      <c r="V112" s="1">
        <v>60.0</v>
      </c>
      <c r="W112" s="1">
        <v>59.0</v>
      </c>
      <c r="X112" s="1">
        <v>69.0</v>
      </c>
      <c r="Y112" s="1">
        <v>69.0</v>
      </c>
      <c r="Z112" s="1" t="s">
        <v>54</v>
      </c>
      <c r="AA112" s="1">
        <v>142.0</v>
      </c>
      <c r="AB112" s="1">
        <v>71.0</v>
      </c>
      <c r="AC112" s="1">
        <v>62.0</v>
      </c>
      <c r="AD112" s="1">
        <v>71.0</v>
      </c>
      <c r="AE112" s="1">
        <v>71.0</v>
      </c>
      <c r="AF112" s="1" t="s">
        <v>56</v>
      </c>
      <c r="AG112" s="1">
        <v>150.0</v>
      </c>
      <c r="AH112" s="1">
        <v>81.0</v>
      </c>
      <c r="AI112" s="1">
        <v>77.0</v>
      </c>
      <c r="AJ112" s="1">
        <v>69.0</v>
      </c>
      <c r="AK112" s="1">
        <v>69.0</v>
      </c>
      <c r="AL112" s="1">
        <v>678.0</v>
      </c>
      <c r="AM112" s="1">
        <v>10.0</v>
      </c>
      <c r="AN112" s="1">
        <v>62.0</v>
      </c>
      <c r="AO112" s="1">
        <v>15.0</v>
      </c>
      <c r="AP112" s="1" t="s">
        <v>725</v>
      </c>
      <c r="AQ112" s="3" t="str">
        <f>HYPERLINK("https://icf.clappia.com/app/GMB253374/submission/LJO87518568/ICF247370-GMB253374-go0k2fm8kg9m000000/SIG-20250630_13291lfeh.jpeg", "SIG-20250630_13291lfeh.jpeg")</f>
        <v>SIG-20250630_13291lfeh.jpeg</v>
      </c>
      <c r="AR112" s="1" t="s">
        <v>726</v>
      </c>
      <c r="AS112" s="3" t="str">
        <f>HYPERLINK("https://icf.clappia.com/app/GMB253374/submission/LJO87518568/ICF247370-GMB253374-3844g7fdg8o000000000/SIG-20250630_1330fh136.jpeg", "SIG-20250630_1330fh136.jpeg")</f>
        <v>SIG-20250630_1330fh136.jpeg</v>
      </c>
      <c r="AT112" s="1" t="s">
        <v>727</v>
      </c>
      <c r="AU112" s="3" t="str">
        <f>HYPERLINK("https://icf.clappia.com/app/GMB253374/submission/LJO87518568/ICF247370-GMB253374-4i95i3e7bp8000000000/SIG-20250630_1330f9ldh.jpeg", "SIG-20250630_1330f9ldh.jpeg")</f>
        <v>SIG-20250630_1330f9ldh.jpeg</v>
      </c>
      <c r="AV112" s="3" t="str">
        <f>HYPERLINK("https://www.google.com/maps/place/8.869286%2C-12.0296417", "8.869286,-12.0296417")</f>
        <v>8.869286,-12.0296417</v>
      </c>
    </row>
    <row r="113" ht="15.75" customHeight="1">
      <c r="A113" s="1" t="s">
        <v>728</v>
      </c>
      <c r="B113" s="1" t="s">
        <v>98</v>
      </c>
      <c r="C113" s="1" t="s">
        <v>622</v>
      </c>
      <c r="D113" s="1" t="s">
        <v>622</v>
      </c>
      <c r="E113" s="1" t="s">
        <v>729</v>
      </c>
      <c r="F113" s="1" t="s">
        <v>121</v>
      </c>
      <c r="G113" s="1">
        <v>200.0</v>
      </c>
      <c r="H113" s="1" t="s">
        <v>51</v>
      </c>
      <c r="I113" s="1">
        <v>50.0</v>
      </c>
      <c r="J113" s="1">
        <v>26.0</v>
      </c>
      <c r="K113" s="1">
        <v>26.0</v>
      </c>
      <c r="L113" s="1">
        <v>24.0</v>
      </c>
      <c r="M113" s="1">
        <v>24.0</v>
      </c>
      <c r="N113" s="1" t="s">
        <v>52</v>
      </c>
      <c r="O113" s="1">
        <v>20.0</v>
      </c>
      <c r="P113" s="1">
        <v>12.0</v>
      </c>
      <c r="Q113" s="1">
        <v>12.0</v>
      </c>
      <c r="R113" s="1">
        <v>8.0</v>
      </c>
      <c r="S113" s="1">
        <v>8.0</v>
      </c>
      <c r="T113" s="1" t="s">
        <v>53</v>
      </c>
      <c r="U113" s="1">
        <v>30.0</v>
      </c>
      <c r="V113" s="1">
        <v>10.0</v>
      </c>
      <c r="W113" s="1">
        <v>10.0</v>
      </c>
      <c r="X113" s="1">
        <v>20.0</v>
      </c>
      <c r="Y113" s="1">
        <v>20.0</v>
      </c>
      <c r="Z113" s="1" t="s">
        <v>54</v>
      </c>
      <c r="AA113" s="1">
        <v>40.0</v>
      </c>
      <c r="AB113" s="1">
        <v>20.0</v>
      </c>
      <c r="AC113" s="1">
        <v>20.0</v>
      </c>
      <c r="AD113" s="1">
        <v>20.0</v>
      </c>
      <c r="AE113" s="1">
        <v>20.0</v>
      </c>
      <c r="AF113" s="1" t="s">
        <v>56</v>
      </c>
      <c r="AG113" s="1">
        <v>30.0</v>
      </c>
      <c r="AH113" s="1">
        <v>10.0</v>
      </c>
      <c r="AI113" s="1">
        <v>10.0</v>
      </c>
      <c r="AJ113" s="1">
        <v>20.0</v>
      </c>
      <c r="AK113" s="1">
        <v>20.0</v>
      </c>
      <c r="AL113" s="1">
        <v>170.0</v>
      </c>
      <c r="AM113" s="1" t="s">
        <v>55</v>
      </c>
      <c r="AN113" s="1">
        <v>30.0</v>
      </c>
      <c r="AO113" s="1">
        <v>30.0</v>
      </c>
      <c r="AP113" s="1" t="s">
        <v>730</v>
      </c>
      <c r="AQ113" s="3" t="str">
        <f>HYPERLINK("https://icf.clappia.com/app/GMB253374/submission/CZX85278567/ICF247370-GMB253374-54bh2g44fpk400000000/SIG-20250630_1221b7d8n.jpeg", "SIG-20250630_1221b7d8n.jpeg")</f>
        <v>SIG-20250630_1221b7d8n.jpeg</v>
      </c>
      <c r="AR113" s="1" t="s">
        <v>731</v>
      </c>
      <c r="AS113" s="3" t="str">
        <f>HYPERLINK("https://icf.clappia.com/app/GMB253374/submission/CZX85278567/ICF247370-GMB253374-10o1odn8phoik0000000/SIG-20250630_1222m3jjd.jpeg", "SIG-20250630_1222m3jjd.jpeg")</f>
        <v>SIG-20250630_1222m3jjd.jpeg</v>
      </c>
      <c r="AT113" s="1" t="s">
        <v>732</v>
      </c>
      <c r="AU113" s="3" t="str">
        <f>HYPERLINK("https://icf.clappia.com/app/GMB253374/submission/CZX85278567/ICF247370-GMB253374-9289g9ln2e3m0000000/SIG-20250630_122310h9ic.jpeg", "SIG-20250630_122310h9ic.jpeg")</f>
        <v>SIG-20250630_122310h9ic.jpeg</v>
      </c>
      <c r="AV113" s="3" t="str">
        <f>HYPERLINK("https://www.google.com/maps/place/7.9453707%2C-11.7151659", "7.9453707,-11.7151659")</f>
        <v>7.9453707,-11.7151659</v>
      </c>
    </row>
    <row r="114" ht="15.75" customHeight="1">
      <c r="A114" s="1" t="s">
        <v>733</v>
      </c>
      <c r="B114" s="1" t="s">
        <v>356</v>
      </c>
      <c r="C114" s="1" t="s">
        <v>734</v>
      </c>
      <c r="D114" s="1" t="s">
        <v>734</v>
      </c>
      <c r="E114" s="1" t="s">
        <v>735</v>
      </c>
      <c r="F114" s="1" t="s">
        <v>50</v>
      </c>
      <c r="G114" s="1">
        <v>385.0</v>
      </c>
      <c r="H114" s="1" t="s">
        <v>51</v>
      </c>
      <c r="I114" s="1">
        <v>55.0</v>
      </c>
      <c r="J114" s="1">
        <v>20.0</v>
      </c>
      <c r="K114" s="1">
        <v>20.0</v>
      </c>
      <c r="L114" s="1">
        <v>35.0</v>
      </c>
      <c r="M114" s="1">
        <v>35.0</v>
      </c>
      <c r="N114" s="1" t="s">
        <v>52</v>
      </c>
      <c r="O114" s="1">
        <v>56.0</v>
      </c>
      <c r="P114" s="1">
        <v>26.0</v>
      </c>
      <c r="Q114" s="1">
        <v>26.0</v>
      </c>
      <c r="R114" s="1">
        <v>30.0</v>
      </c>
      <c r="S114" s="1">
        <v>30.0</v>
      </c>
      <c r="T114" s="1" t="s">
        <v>53</v>
      </c>
      <c r="U114" s="1">
        <v>38.0</v>
      </c>
      <c r="V114" s="1">
        <v>21.0</v>
      </c>
      <c r="W114" s="1">
        <v>21.0</v>
      </c>
      <c r="X114" s="1">
        <v>17.0</v>
      </c>
      <c r="Y114" s="1">
        <v>17.0</v>
      </c>
      <c r="Z114" s="1" t="s">
        <v>54</v>
      </c>
      <c r="AA114" s="1">
        <v>103.0</v>
      </c>
      <c r="AB114" s="1">
        <v>53.0</v>
      </c>
      <c r="AC114" s="1">
        <v>53.0</v>
      </c>
      <c r="AD114" s="1">
        <v>50.0</v>
      </c>
      <c r="AE114" s="1">
        <v>50.0</v>
      </c>
      <c r="AF114" s="1" t="s">
        <v>56</v>
      </c>
      <c r="AG114" s="1">
        <v>143.0</v>
      </c>
      <c r="AH114" s="1">
        <v>50.0</v>
      </c>
      <c r="AI114" s="1">
        <v>50.0</v>
      </c>
      <c r="AJ114" s="1">
        <v>83.0</v>
      </c>
      <c r="AK114" s="1">
        <v>83.0</v>
      </c>
      <c r="AL114" s="1">
        <v>385.0</v>
      </c>
      <c r="AM114" s="1" t="s">
        <v>55</v>
      </c>
      <c r="AN114" s="1" t="s">
        <v>55</v>
      </c>
      <c r="AO114" s="1" t="s">
        <v>55</v>
      </c>
      <c r="AP114" s="1" t="s">
        <v>736</v>
      </c>
      <c r="AQ114" s="3" t="str">
        <f>HYPERLINK("https://icf.clappia.com/app/GMB253374/submission/TOI02875064/ICF247370-GMB253374-382ef8fj8a2i00000000/SIG-20250630_132512pn42.jpeg", "SIG-20250630_132512pn42.jpeg")</f>
        <v>SIG-20250630_132512pn42.jpeg</v>
      </c>
      <c r="AR114" s="1" t="s">
        <v>737</v>
      </c>
      <c r="AS114" s="3" t="str">
        <f>HYPERLINK("https://icf.clappia.com/app/GMB253374/submission/TOI02875064/ICF247370-GMB253374-lm1e7hoen65e0000000/SIG-20250630_1326146lgn.jpeg", "SIG-20250630_1326146lgn.jpeg")</f>
        <v>SIG-20250630_1326146lgn.jpeg</v>
      </c>
      <c r="AT114" s="1" t="s">
        <v>738</v>
      </c>
      <c r="AU114" s="3" t="str">
        <f>HYPERLINK("https://icf.clappia.com/app/GMB253374/submission/TOI02875064/ICF247370-GMB253374-4441ff1higp200000000/SIG-20250630_13275m4h5.jpeg", "SIG-20250630_13275m4h5.jpeg")</f>
        <v>SIG-20250630_13275m4h5.jpeg</v>
      </c>
      <c r="AV114" s="3" t="str">
        <f>HYPERLINK("https://www.google.com/maps/place/7.6507615%2C-11.9656571", "7.6507615,-11.9656571")</f>
        <v>7.6507615,-11.9656571</v>
      </c>
    </row>
    <row r="115" ht="15.75" customHeight="1">
      <c r="A115" s="1" t="s">
        <v>739</v>
      </c>
      <c r="B115" s="1" t="s">
        <v>276</v>
      </c>
      <c r="C115" s="1" t="s">
        <v>740</v>
      </c>
      <c r="D115" s="1" t="s">
        <v>740</v>
      </c>
      <c r="E115" s="1" t="s">
        <v>741</v>
      </c>
      <c r="F115" s="1" t="s">
        <v>50</v>
      </c>
      <c r="G115" s="1">
        <v>149.0</v>
      </c>
      <c r="H115" s="1" t="s">
        <v>51</v>
      </c>
      <c r="I115" s="1">
        <v>80.0</v>
      </c>
      <c r="J115" s="1">
        <v>32.0</v>
      </c>
      <c r="K115" s="1">
        <v>32.0</v>
      </c>
      <c r="L115" s="1">
        <v>48.0</v>
      </c>
      <c r="M115" s="1">
        <v>48.0</v>
      </c>
      <c r="N115" s="1" t="s">
        <v>52</v>
      </c>
      <c r="O115" s="1">
        <v>42.0</v>
      </c>
      <c r="P115" s="1">
        <v>26.0</v>
      </c>
      <c r="Q115" s="1">
        <v>26.0</v>
      </c>
      <c r="R115" s="1">
        <v>16.0</v>
      </c>
      <c r="S115" s="1">
        <v>16.0</v>
      </c>
      <c r="T115" s="1" t="s">
        <v>53</v>
      </c>
      <c r="U115" s="1">
        <v>27.0</v>
      </c>
      <c r="V115" s="1">
        <v>10.0</v>
      </c>
      <c r="W115" s="1">
        <v>10.0</v>
      </c>
      <c r="X115" s="1">
        <v>17.0</v>
      </c>
      <c r="Y115" s="1">
        <v>17.0</v>
      </c>
      <c r="Z115" s="1" t="s">
        <v>54</v>
      </c>
      <c r="AA115" s="1" t="s">
        <v>55</v>
      </c>
      <c r="AB115" s="1" t="s">
        <v>55</v>
      </c>
      <c r="AC115" s="1" t="s">
        <v>55</v>
      </c>
      <c r="AD115" s="1" t="s">
        <v>55</v>
      </c>
      <c r="AE115" s="1" t="s">
        <v>55</v>
      </c>
      <c r="AF115" s="1" t="s">
        <v>56</v>
      </c>
      <c r="AG115" s="1" t="s">
        <v>55</v>
      </c>
      <c r="AH115" s="1" t="s">
        <v>55</v>
      </c>
      <c r="AI115" s="1" t="s">
        <v>55</v>
      </c>
      <c r="AJ115" s="1" t="s">
        <v>55</v>
      </c>
      <c r="AK115" s="1" t="s">
        <v>55</v>
      </c>
      <c r="AL115" s="1">
        <v>149.0</v>
      </c>
      <c r="AM115" s="1" t="s">
        <v>55</v>
      </c>
      <c r="AN115" s="1" t="s">
        <v>55</v>
      </c>
      <c r="AO115" s="1" t="s">
        <v>55</v>
      </c>
      <c r="AP115" s="1" t="s">
        <v>742</v>
      </c>
      <c r="AQ115" s="3" t="str">
        <f>HYPERLINK("https://icf.clappia.com/app/GMB253374/submission/ASX97743708/ICF247370-GMB253374-4c8c78mc06k800000000/SIG-20250630_1310610l2.jpeg", "SIG-20250630_1310610l2.jpeg")</f>
        <v>SIG-20250630_1310610l2.jpeg</v>
      </c>
      <c r="AR115" s="1" t="s">
        <v>743</v>
      </c>
      <c r="AS115" s="3" t="str">
        <f>HYPERLINK("https://icf.clappia.com/app/GMB253374/submission/ASX97743708/ICF247370-GMB253374-5agi8ede27og00000000/SIG-20250630_1310e6866.jpeg", "SIG-20250630_1310e6866.jpeg")</f>
        <v>SIG-20250630_1310e6866.jpeg</v>
      </c>
      <c r="AT115" s="1" t="s">
        <v>744</v>
      </c>
      <c r="AU115" s="3" t="str">
        <f>HYPERLINK("https://icf.clappia.com/app/GMB253374/submission/ASX97743708/ICF247370-GMB253374-49m7j6jg1cgm000000/SIG-20250630_1311n6hm5.jpeg", "SIG-20250630_1311n6hm5.jpeg")</f>
        <v>SIG-20250630_1311n6hm5.jpeg</v>
      </c>
      <c r="AV115" s="3" t="str">
        <f>HYPERLINK("https://www.google.com/maps/place/7.8171827%2C-11.6273322", "7.8171827,-11.6273322")</f>
        <v>7.8171827,-11.6273322</v>
      </c>
    </row>
    <row r="116" ht="15.75" customHeight="1">
      <c r="A116" s="1" t="s">
        <v>745</v>
      </c>
      <c r="B116" s="1" t="s">
        <v>61</v>
      </c>
      <c r="C116" s="1" t="s">
        <v>746</v>
      </c>
      <c r="D116" s="1" t="s">
        <v>746</v>
      </c>
      <c r="E116" s="1" t="s">
        <v>747</v>
      </c>
      <c r="F116" s="1" t="s">
        <v>50</v>
      </c>
      <c r="G116" s="1">
        <v>251.0</v>
      </c>
      <c r="H116" s="1" t="s">
        <v>51</v>
      </c>
      <c r="I116" s="1">
        <v>61.0</v>
      </c>
      <c r="J116" s="1">
        <v>22.0</v>
      </c>
      <c r="K116" s="1">
        <v>12.0</v>
      </c>
      <c r="L116" s="1">
        <v>39.0</v>
      </c>
      <c r="M116" s="1">
        <v>25.0</v>
      </c>
      <c r="N116" s="1" t="s">
        <v>52</v>
      </c>
      <c r="O116" s="1">
        <v>40.0</v>
      </c>
      <c r="P116" s="1">
        <v>17.0</v>
      </c>
      <c r="Q116" s="1">
        <v>10.0</v>
      </c>
      <c r="R116" s="1">
        <v>23.0</v>
      </c>
      <c r="S116" s="1">
        <v>22.0</v>
      </c>
      <c r="T116" s="1" t="s">
        <v>53</v>
      </c>
      <c r="U116" s="1">
        <v>49.0</v>
      </c>
      <c r="V116" s="1">
        <v>24.0</v>
      </c>
      <c r="W116" s="1">
        <v>18.0</v>
      </c>
      <c r="X116" s="1">
        <v>25.0</v>
      </c>
      <c r="Y116" s="1">
        <v>20.0</v>
      </c>
      <c r="Z116" s="1" t="s">
        <v>54</v>
      </c>
      <c r="AA116" s="1">
        <v>47.0</v>
      </c>
      <c r="AB116" s="1">
        <v>23.0</v>
      </c>
      <c r="AC116" s="1">
        <v>15.0</v>
      </c>
      <c r="AD116" s="1">
        <v>24.0</v>
      </c>
      <c r="AE116" s="1">
        <v>19.0</v>
      </c>
      <c r="AF116" s="1" t="s">
        <v>56</v>
      </c>
      <c r="AG116" s="1">
        <v>42.0</v>
      </c>
      <c r="AH116" s="1">
        <v>17.0</v>
      </c>
      <c r="AI116" s="1">
        <v>13.0</v>
      </c>
      <c r="AJ116" s="1">
        <v>25.0</v>
      </c>
      <c r="AK116" s="1">
        <v>21.0</v>
      </c>
      <c r="AL116" s="1">
        <v>175.0</v>
      </c>
      <c r="AM116" s="1" t="s">
        <v>55</v>
      </c>
      <c r="AN116" s="1">
        <v>76.0</v>
      </c>
      <c r="AO116" s="1">
        <v>76.0</v>
      </c>
      <c r="AP116" s="1" t="s">
        <v>748</v>
      </c>
      <c r="AQ116" s="3" t="str">
        <f>HYPERLINK("https://icf.clappia.com/app/GMB253374/submission/QCM78410122/ICF247370-GMB253374-3k7njoicn7e800000000/SIG-20250630_1148h4j8a.jpeg", "SIG-20250630_1148h4j8a.jpeg")</f>
        <v>SIG-20250630_1148h4j8a.jpeg</v>
      </c>
      <c r="AR116" s="1" t="s">
        <v>749</v>
      </c>
      <c r="AS116" s="3" t="str">
        <f>HYPERLINK("https://icf.clappia.com/app/GMB253374/submission/QCM78410122/ICF247370-GMB253374-66o5oh7f8iek00000000/SIG-20250630_11334n3fl.jpeg", "SIG-20250630_11334n3fl.jpeg")</f>
        <v>SIG-20250630_11334n3fl.jpeg</v>
      </c>
      <c r="AT116" s="1" t="s">
        <v>750</v>
      </c>
      <c r="AU116" s="3" t="str">
        <f>HYPERLINK("https://icf.clappia.com/app/GMB253374/submission/QCM78410122/ICF247370-GMB253374-ch3ji22m04880000000/SIG-20250630_1134a9o5h.jpeg", "SIG-20250630_1134a9o5h.jpeg")</f>
        <v>SIG-20250630_1134a9o5h.jpeg</v>
      </c>
      <c r="AV116" s="3" t="str">
        <f>HYPERLINK("https://www.google.com/maps/place/7.8926743%2C-11.9107392", "7.8926743,-11.9107392")</f>
        <v>7.8926743,-11.9107392</v>
      </c>
    </row>
    <row r="117" ht="15.75" customHeight="1">
      <c r="A117" s="1" t="s">
        <v>751</v>
      </c>
      <c r="B117" s="1" t="s">
        <v>450</v>
      </c>
      <c r="C117" s="1" t="s">
        <v>752</v>
      </c>
      <c r="D117" s="1" t="s">
        <v>752</v>
      </c>
      <c r="E117" s="1" t="s">
        <v>753</v>
      </c>
      <c r="F117" s="1" t="s">
        <v>50</v>
      </c>
      <c r="G117" s="1">
        <v>263.0</v>
      </c>
      <c r="H117" s="1" t="s">
        <v>51</v>
      </c>
      <c r="I117" s="1">
        <v>68.0</v>
      </c>
      <c r="J117" s="1">
        <v>30.0</v>
      </c>
      <c r="K117" s="1">
        <v>29.0</v>
      </c>
      <c r="L117" s="1">
        <v>38.0</v>
      </c>
      <c r="M117" s="1">
        <v>35.0</v>
      </c>
      <c r="N117" s="1" t="s">
        <v>52</v>
      </c>
      <c r="O117" s="1">
        <v>51.0</v>
      </c>
      <c r="P117" s="1">
        <v>24.0</v>
      </c>
      <c r="Q117" s="1">
        <v>24.0</v>
      </c>
      <c r="R117" s="1">
        <v>27.0</v>
      </c>
      <c r="S117" s="1">
        <v>27.0</v>
      </c>
      <c r="T117" s="1" t="s">
        <v>53</v>
      </c>
      <c r="U117" s="1">
        <v>43.0</v>
      </c>
      <c r="V117" s="1">
        <v>23.0</v>
      </c>
      <c r="W117" s="1">
        <v>21.0</v>
      </c>
      <c r="X117" s="1">
        <v>20.0</v>
      </c>
      <c r="Y117" s="1">
        <v>19.0</v>
      </c>
      <c r="Z117" s="1" t="s">
        <v>54</v>
      </c>
      <c r="AA117" s="1">
        <v>48.0</v>
      </c>
      <c r="AB117" s="1">
        <v>25.0</v>
      </c>
      <c r="AC117" s="1">
        <v>24.0</v>
      </c>
      <c r="AD117" s="1">
        <v>23.0</v>
      </c>
      <c r="AE117" s="1">
        <v>21.0</v>
      </c>
      <c r="AF117" s="1" t="s">
        <v>56</v>
      </c>
      <c r="AG117" s="1">
        <v>53.0</v>
      </c>
      <c r="AH117" s="1">
        <v>26.0</v>
      </c>
      <c r="AI117" s="1">
        <v>26.0</v>
      </c>
      <c r="AJ117" s="1">
        <v>27.0</v>
      </c>
      <c r="AK117" s="1">
        <v>27.0</v>
      </c>
      <c r="AL117" s="1">
        <v>253.0</v>
      </c>
      <c r="AM117" s="1">
        <v>10.0</v>
      </c>
      <c r="AN117" s="1" t="s">
        <v>55</v>
      </c>
      <c r="AO117" s="1" t="s">
        <v>55</v>
      </c>
      <c r="AP117" s="1" t="s">
        <v>754</v>
      </c>
      <c r="AQ117" s="3" t="str">
        <f>HYPERLINK("https://icf.clappia.com/app/GMB253374/submission/DVL76826793/ICF247370-GMB253374-41p97lm14bec00000000/SIG-20250630_1310mlfjp.jpeg", "SIG-20250630_1310mlfjp.jpeg")</f>
        <v>SIG-20250630_1310mlfjp.jpeg</v>
      </c>
      <c r="AR117" s="1" t="s">
        <v>755</v>
      </c>
      <c r="AS117" s="3" t="str">
        <f>HYPERLINK("https://icf.clappia.com/app/GMB253374/submission/DVL76826793/ICF247370-GMB253374-4od5ib6pa5ag00000000/SIG-20250630_13071786a1.jpeg", "SIG-20250630_13071786a1.jpeg")</f>
        <v>SIG-20250630_13071786a1.jpeg</v>
      </c>
      <c r="AT117" s="1" t="s">
        <v>756</v>
      </c>
      <c r="AU117" s="3" t="str">
        <f>HYPERLINK("https://icf.clappia.com/app/GMB253374/submission/DVL76826793/ICF247370-GMB253374-524g134ein2400000000/SIG-20250630_1309n9c10.jpeg", "SIG-20250630_1309n9c10.jpeg")</f>
        <v>SIG-20250630_1309n9c10.jpeg</v>
      </c>
      <c r="AV117" s="3" t="str">
        <f>HYPERLINK("https://www.google.com/maps/place/9.1210817%2C-12.1115233", "9.1210817,-12.1115233")</f>
        <v>9.1210817,-12.1115233</v>
      </c>
    </row>
    <row r="118" ht="15.75" customHeight="1">
      <c r="A118" s="1" t="s">
        <v>757</v>
      </c>
      <c r="B118" s="1" t="s">
        <v>162</v>
      </c>
      <c r="C118" s="1" t="s">
        <v>758</v>
      </c>
      <c r="D118" s="1" t="s">
        <v>758</v>
      </c>
      <c r="E118" s="1" t="s">
        <v>759</v>
      </c>
      <c r="F118" s="1" t="s">
        <v>50</v>
      </c>
      <c r="G118" s="1">
        <v>210.0</v>
      </c>
      <c r="H118" s="1" t="s">
        <v>51</v>
      </c>
      <c r="I118" s="1">
        <v>32.0</v>
      </c>
      <c r="J118" s="1">
        <v>14.0</v>
      </c>
      <c r="K118" s="1">
        <v>14.0</v>
      </c>
      <c r="L118" s="1">
        <v>18.0</v>
      </c>
      <c r="M118" s="1">
        <v>18.0</v>
      </c>
      <c r="N118" s="1" t="s">
        <v>52</v>
      </c>
      <c r="O118" s="1">
        <v>33.0</v>
      </c>
      <c r="P118" s="1">
        <v>18.0</v>
      </c>
      <c r="Q118" s="1">
        <v>17.0</v>
      </c>
      <c r="R118" s="1">
        <v>15.0</v>
      </c>
      <c r="S118" s="1">
        <v>13.0</v>
      </c>
      <c r="T118" s="1" t="s">
        <v>53</v>
      </c>
      <c r="U118" s="1">
        <v>49.0</v>
      </c>
      <c r="V118" s="1">
        <v>25.0</v>
      </c>
      <c r="W118" s="1">
        <v>21.0</v>
      </c>
      <c r="X118" s="1">
        <v>24.0</v>
      </c>
      <c r="Y118" s="1">
        <v>23.0</v>
      </c>
      <c r="Z118" s="1" t="s">
        <v>54</v>
      </c>
      <c r="AA118" s="1">
        <v>44.0</v>
      </c>
      <c r="AB118" s="1">
        <v>21.0</v>
      </c>
      <c r="AC118" s="1">
        <v>21.0</v>
      </c>
      <c r="AD118" s="1">
        <v>23.0</v>
      </c>
      <c r="AE118" s="1">
        <v>23.0</v>
      </c>
      <c r="AF118" s="1" t="s">
        <v>56</v>
      </c>
      <c r="AG118" s="1">
        <v>63.0</v>
      </c>
      <c r="AH118" s="1">
        <v>30.0</v>
      </c>
      <c r="AI118" s="1">
        <v>30.0</v>
      </c>
      <c r="AJ118" s="1">
        <v>33.0</v>
      </c>
      <c r="AK118" s="1">
        <v>30.0</v>
      </c>
      <c r="AL118" s="1">
        <v>210.0</v>
      </c>
      <c r="AM118" s="1" t="s">
        <v>55</v>
      </c>
      <c r="AN118" s="1" t="s">
        <v>55</v>
      </c>
      <c r="AO118" s="1" t="s">
        <v>55</v>
      </c>
      <c r="AP118" s="1" t="s">
        <v>760</v>
      </c>
      <c r="AQ118" s="3" t="str">
        <f>HYPERLINK("https://icf.clappia.com/app/GMB253374/submission/FAX93499269/ICF247370-GMB253374-35f8mkaoghbi00000000/SIG-20250630_1316o84ck.jpeg", "SIG-20250630_1316o84ck.jpeg")</f>
        <v>SIG-20250630_1316o84ck.jpeg</v>
      </c>
      <c r="AR118" s="1" t="s">
        <v>761</v>
      </c>
      <c r="AS118" s="3" t="str">
        <f>HYPERLINK("https://icf.clappia.com/app/GMB253374/submission/FAX93499269/ICF247370-GMB253374-5p5gjb5f068g00000000/SIG-20250630_131929leo.jpeg", "SIG-20250630_131929leo.jpeg")</f>
        <v>SIG-20250630_131929leo.jpeg</v>
      </c>
      <c r="AT118" s="1" t="s">
        <v>762</v>
      </c>
      <c r="AU118" s="3" t="str">
        <f>HYPERLINK("https://icf.clappia.com/app/GMB253374/submission/FAX93499269/ICF247370-GMB253374-51le8k0021k000000000/SIG-20250630_1318192n3k.jpeg", "SIG-20250630_1318192n3k.jpeg")</f>
        <v>SIG-20250630_1318192n3k.jpeg</v>
      </c>
      <c r="AV118" s="3" t="str">
        <f>HYPERLINK("https://www.google.com/maps/place/8.8896562%2C-12.0563495", "8.8896562,-12.0563495")</f>
        <v>8.8896562,-12.0563495</v>
      </c>
    </row>
    <row r="119" ht="15.75" customHeight="1">
      <c r="A119" s="1" t="s">
        <v>763</v>
      </c>
      <c r="B119" s="1" t="s">
        <v>320</v>
      </c>
      <c r="C119" s="1" t="s">
        <v>764</v>
      </c>
      <c r="D119" s="1" t="s">
        <v>764</v>
      </c>
      <c r="E119" s="1" t="s">
        <v>765</v>
      </c>
      <c r="F119" s="1" t="s">
        <v>50</v>
      </c>
      <c r="G119" s="1">
        <v>150.0</v>
      </c>
      <c r="H119" s="1" t="s">
        <v>51</v>
      </c>
      <c r="I119" s="1">
        <v>27.0</v>
      </c>
      <c r="J119" s="1">
        <v>14.0</v>
      </c>
      <c r="K119" s="1">
        <v>6.0</v>
      </c>
      <c r="L119" s="1">
        <v>10.0</v>
      </c>
      <c r="M119" s="1">
        <v>10.0</v>
      </c>
      <c r="N119" s="1" t="s">
        <v>52</v>
      </c>
      <c r="O119" s="1">
        <v>22.0</v>
      </c>
      <c r="P119" s="1">
        <v>8.0</v>
      </c>
      <c r="Q119" s="1">
        <v>4.0</v>
      </c>
      <c r="R119" s="1">
        <v>14.0</v>
      </c>
      <c r="S119" s="1">
        <v>7.0</v>
      </c>
      <c r="T119" s="1" t="s">
        <v>53</v>
      </c>
      <c r="U119" s="1">
        <v>10.0</v>
      </c>
      <c r="V119" s="1">
        <v>8.0</v>
      </c>
      <c r="W119" s="1">
        <v>6.0</v>
      </c>
      <c r="X119" s="1">
        <v>2.0</v>
      </c>
      <c r="Y119" s="1">
        <v>2.0</v>
      </c>
      <c r="Z119" s="1" t="s">
        <v>54</v>
      </c>
      <c r="AA119" s="1">
        <v>16.0</v>
      </c>
      <c r="AB119" s="1">
        <v>9.0</v>
      </c>
      <c r="AC119" s="1">
        <v>8.0</v>
      </c>
      <c r="AD119" s="1">
        <v>7.0</v>
      </c>
      <c r="AE119" s="1">
        <v>5.0</v>
      </c>
      <c r="AF119" s="1" t="s">
        <v>56</v>
      </c>
      <c r="AG119" s="1">
        <v>16.0</v>
      </c>
      <c r="AH119" s="1">
        <v>8.0</v>
      </c>
      <c r="AI119" s="1">
        <v>6.0</v>
      </c>
      <c r="AJ119" s="1">
        <v>8.0</v>
      </c>
      <c r="AK119" s="1">
        <v>5.0</v>
      </c>
      <c r="AL119" s="1">
        <v>59.0</v>
      </c>
      <c r="AM119" s="1" t="s">
        <v>55</v>
      </c>
      <c r="AN119" s="1">
        <v>91.0</v>
      </c>
      <c r="AO119" s="1">
        <v>91.0</v>
      </c>
      <c r="AP119" s="1" t="s">
        <v>766</v>
      </c>
      <c r="AQ119" s="3" t="str">
        <f>HYPERLINK("https://icf.clappia.com/app/GMB253374/submission/TOM28892418/ICF247370-GMB253374-2l2f29mfpn2k00000000/SIG-20250630_1249h1fo3.jpeg", "SIG-20250630_1249h1fo3.jpeg")</f>
        <v>SIG-20250630_1249h1fo3.jpeg</v>
      </c>
      <c r="AR119" s="1" t="s">
        <v>767</v>
      </c>
      <c r="AS119" s="3" t="str">
        <f>HYPERLINK("https://icf.clappia.com/app/GMB253374/submission/TOM28892418/ICF247370-GMB253374-6290753n6hck00000000/SIG-20250630_12512h8am.jpeg", "SIG-20250630_12512h8am.jpeg")</f>
        <v>SIG-20250630_12512h8am.jpeg</v>
      </c>
      <c r="AT119" s="1" t="s">
        <v>768</v>
      </c>
      <c r="AU119" s="3" t="str">
        <f>HYPERLINK("https://icf.clappia.com/app/GMB253374/submission/TOM28892418/ICF247370-GMB253374-2d76jmgbg3e400000000/SIG-20250630_125197cga.jpeg", "SIG-20250630_125197cga.jpeg")</f>
        <v>SIG-20250630_125197cga.jpeg</v>
      </c>
      <c r="AV119" s="3" t="str">
        <f>HYPERLINK("https://www.google.com/maps/place/8.9445769%2C-11.985991", "8.9445769,-11.985991")</f>
        <v>8.9445769,-11.985991</v>
      </c>
    </row>
    <row r="120" ht="15.75" customHeight="1">
      <c r="A120" s="1" t="s">
        <v>769</v>
      </c>
      <c r="B120" s="1" t="s">
        <v>169</v>
      </c>
      <c r="C120" s="1" t="s">
        <v>770</v>
      </c>
      <c r="D120" s="1" t="s">
        <v>770</v>
      </c>
      <c r="E120" s="1" t="s">
        <v>771</v>
      </c>
      <c r="F120" s="1" t="s">
        <v>50</v>
      </c>
      <c r="G120" s="1">
        <v>150.0</v>
      </c>
      <c r="H120" s="1" t="s">
        <v>51</v>
      </c>
      <c r="I120" s="1">
        <v>19.0</v>
      </c>
      <c r="J120" s="1">
        <v>10.0</v>
      </c>
      <c r="K120" s="1">
        <v>10.0</v>
      </c>
      <c r="L120" s="1">
        <v>9.0</v>
      </c>
      <c r="M120" s="1">
        <v>8.0</v>
      </c>
      <c r="N120" s="1" t="s">
        <v>52</v>
      </c>
      <c r="O120" s="1">
        <v>8.0</v>
      </c>
      <c r="P120" s="1">
        <v>4.0</v>
      </c>
      <c r="Q120" s="1" t="s">
        <v>55</v>
      </c>
      <c r="R120" s="1">
        <v>4.0</v>
      </c>
      <c r="S120" s="1">
        <v>4.0</v>
      </c>
      <c r="T120" s="1" t="s">
        <v>53</v>
      </c>
      <c r="U120" s="1">
        <v>16.0</v>
      </c>
      <c r="V120" s="1">
        <v>5.0</v>
      </c>
      <c r="W120" s="1">
        <v>5.0</v>
      </c>
      <c r="X120" s="1">
        <v>11.0</v>
      </c>
      <c r="Y120" s="1">
        <v>8.0</v>
      </c>
      <c r="Z120" s="1" t="s">
        <v>54</v>
      </c>
      <c r="AA120" s="1">
        <v>14.0</v>
      </c>
      <c r="AB120" s="1">
        <v>9.0</v>
      </c>
      <c r="AC120" s="1">
        <v>9.0</v>
      </c>
      <c r="AD120" s="1">
        <v>5.0</v>
      </c>
      <c r="AE120" s="1">
        <v>5.0</v>
      </c>
      <c r="AF120" s="1" t="s">
        <v>56</v>
      </c>
      <c r="AG120" s="1">
        <v>17.0</v>
      </c>
      <c r="AH120" s="1">
        <v>7.0</v>
      </c>
      <c r="AI120" s="1">
        <v>6.0</v>
      </c>
      <c r="AJ120" s="1">
        <v>10.0</v>
      </c>
      <c r="AK120" s="1">
        <v>9.0</v>
      </c>
      <c r="AL120" s="1">
        <v>64.0</v>
      </c>
      <c r="AM120" s="1">
        <v>9.0</v>
      </c>
      <c r="AN120" s="1">
        <v>77.0</v>
      </c>
      <c r="AO120" s="1">
        <v>77.0</v>
      </c>
      <c r="AP120" s="1" t="s">
        <v>636</v>
      </c>
      <c r="AQ120" s="3" t="str">
        <f>HYPERLINK("https://icf.clappia.com/app/GMB253374/submission/NBT07896456/ICF247370-GMB253374-65d0cc1c3i8a00000000/SIG-20250630_1226nijo0.jpeg", "SIG-20250630_1226nijo0.jpeg")</f>
        <v>SIG-20250630_1226nijo0.jpeg</v>
      </c>
      <c r="AR120" s="1" t="s">
        <v>637</v>
      </c>
      <c r="AS120" s="3" t="str">
        <f>HYPERLINK("https://icf.clappia.com/app/GMB253374/submission/NBT07896456/ICF247370-GMB253374-4891lcid2gcc00000000/SIG-20250630_1227a64ai.jpeg", "SIG-20250630_1227a64ai.jpeg")</f>
        <v>SIG-20250630_1227a64ai.jpeg</v>
      </c>
      <c r="AT120" s="1" t="s">
        <v>638</v>
      </c>
      <c r="AU120" s="3" t="str">
        <f>HYPERLINK("https://icf.clappia.com/app/GMB253374/submission/NBT07896456/ICF247370-GMB253374-4jfk51ni1pai00000000/SIG-20250630_12521609np.jpeg", "SIG-20250630_12521609np.jpeg")</f>
        <v>SIG-20250630_12521609np.jpeg</v>
      </c>
      <c r="AV120" s="3" t="str">
        <f>HYPERLINK("https://www.google.com/maps/place/8.8738355%2C-12.0384722", "8.8738355,-12.0384722")</f>
        <v>8.8738355,-12.0384722</v>
      </c>
    </row>
    <row r="121" ht="15.75" customHeight="1">
      <c r="A121" s="1" t="s">
        <v>772</v>
      </c>
      <c r="B121" s="1" t="s">
        <v>169</v>
      </c>
      <c r="C121" s="1" t="s">
        <v>770</v>
      </c>
      <c r="D121" s="1" t="s">
        <v>770</v>
      </c>
      <c r="E121" s="1" t="s">
        <v>773</v>
      </c>
      <c r="F121" s="1" t="s">
        <v>121</v>
      </c>
      <c r="G121" s="1">
        <v>150.0</v>
      </c>
      <c r="H121" s="1" t="s">
        <v>51</v>
      </c>
      <c r="I121" s="1">
        <v>40.0</v>
      </c>
      <c r="J121" s="1">
        <v>15.0</v>
      </c>
      <c r="K121" s="1">
        <v>9.0</v>
      </c>
      <c r="L121" s="1">
        <v>25.0</v>
      </c>
      <c r="M121" s="1">
        <v>14.0</v>
      </c>
      <c r="N121" s="1" t="s">
        <v>52</v>
      </c>
      <c r="O121" s="1">
        <v>35.0</v>
      </c>
      <c r="P121" s="1">
        <v>13.0</v>
      </c>
      <c r="Q121" s="1">
        <v>7.0</v>
      </c>
      <c r="R121" s="1">
        <v>22.0</v>
      </c>
      <c r="S121" s="1">
        <v>14.0</v>
      </c>
      <c r="T121" s="1" t="s">
        <v>53</v>
      </c>
      <c r="U121" s="1">
        <v>31.0</v>
      </c>
      <c r="V121" s="1">
        <v>12.0</v>
      </c>
      <c r="W121" s="1">
        <v>11.0</v>
      </c>
      <c r="X121" s="1">
        <v>19.0</v>
      </c>
      <c r="Y121" s="1">
        <v>16.0</v>
      </c>
      <c r="Z121" s="1" t="s">
        <v>54</v>
      </c>
      <c r="AA121" s="1">
        <v>32.0</v>
      </c>
      <c r="AB121" s="1">
        <v>10.0</v>
      </c>
      <c r="AC121" s="1">
        <v>9.0</v>
      </c>
      <c r="AD121" s="1">
        <v>22.0</v>
      </c>
      <c r="AE121" s="1">
        <v>22.0</v>
      </c>
      <c r="AF121" s="1" t="s">
        <v>56</v>
      </c>
      <c r="AG121" s="1">
        <v>19.0</v>
      </c>
      <c r="AH121" s="1">
        <v>10.0</v>
      </c>
      <c r="AI121" s="1">
        <v>10.0</v>
      </c>
      <c r="AJ121" s="1">
        <v>9.0</v>
      </c>
      <c r="AK121" s="1">
        <v>9.0</v>
      </c>
      <c r="AL121" s="1">
        <v>121.0</v>
      </c>
      <c r="AM121" s="1" t="s">
        <v>55</v>
      </c>
      <c r="AN121" s="1">
        <v>29.0</v>
      </c>
      <c r="AO121" s="1">
        <v>29.0</v>
      </c>
      <c r="AP121" s="1" t="s">
        <v>435</v>
      </c>
      <c r="AQ121" s="3" t="str">
        <f>HYPERLINK("https://icf.clappia.com/app/GMB253374/submission/NYR82230609/ICF247370-GMB253374-47oc286938em00000000/SIG-20250630_1236bnoj4.jpeg", "SIG-20250630_1236bnoj4.jpeg")</f>
        <v>SIG-20250630_1236bnoj4.jpeg</v>
      </c>
      <c r="AR121" s="1" t="s">
        <v>774</v>
      </c>
      <c r="AS121" s="3" t="str">
        <f>HYPERLINK("https://icf.clappia.com/app/GMB253374/submission/NYR82230609/ICF247370-GMB253374-575a7cg4epk800000000/SIG-20250630_123670jgn.jpeg", "SIG-20250630_123670jgn.jpeg")</f>
        <v>SIG-20250630_123670jgn.jpeg</v>
      </c>
      <c r="AT121" s="1" t="s">
        <v>775</v>
      </c>
      <c r="AU121" s="3" t="str">
        <f>HYPERLINK("https://icf.clappia.com/app/GMB253374/submission/NYR82230609/ICF247370-GMB253374-30mf8l9j9o6g00000000/SIG-20250630_1243hfh37.jpeg", "SIG-20250630_1243hfh37.jpeg")</f>
        <v>SIG-20250630_1243hfh37.jpeg</v>
      </c>
      <c r="AV121" s="3" t="str">
        <f>HYPERLINK("https://www.google.com/maps/place/8.9045451%2C-12.0402335", "8.9045451,-12.0402335")</f>
        <v>8.9045451,-12.0402335</v>
      </c>
    </row>
    <row r="122" ht="15.75" customHeight="1">
      <c r="A122" s="1" t="s">
        <v>776</v>
      </c>
      <c r="B122" s="1" t="s">
        <v>111</v>
      </c>
      <c r="C122" s="1" t="s">
        <v>777</v>
      </c>
      <c r="D122" s="1" t="s">
        <v>778</v>
      </c>
      <c r="E122" s="1" t="s">
        <v>779</v>
      </c>
      <c r="F122" s="1" t="s">
        <v>121</v>
      </c>
      <c r="G122" s="1">
        <v>150.0</v>
      </c>
      <c r="H122" s="1" t="s">
        <v>51</v>
      </c>
      <c r="I122" s="1">
        <v>30.0</v>
      </c>
      <c r="J122" s="1">
        <v>10.0</v>
      </c>
      <c r="K122" s="1">
        <v>10.0</v>
      </c>
      <c r="L122" s="1">
        <v>20.0</v>
      </c>
      <c r="M122" s="1">
        <v>20.0</v>
      </c>
      <c r="N122" s="1" t="s">
        <v>52</v>
      </c>
      <c r="O122" s="1">
        <v>30.0</v>
      </c>
      <c r="P122" s="1">
        <v>10.0</v>
      </c>
      <c r="Q122" s="1">
        <v>10.0</v>
      </c>
      <c r="R122" s="1">
        <v>15.0</v>
      </c>
      <c r="S122" s="1">
        <v>15.0</v>
      </c>
      <c r="T122" s="1" t="s">
        <v>53</v>
      </c>
      <c r="U122" s="1">
        <v>40.0</v>
      </c>
      <c r="V122" s="1">
        <v>15.0</v>
      </c>
      <c r="W122" s="1">
        <v>15.0</v>
      </c>
      <c r="X122" s="1">
        <v>25.0</v>
      </c>
      <c r="Y122" s="1">
        <v>25.0</v>
      </c>
      <c r="Z122" s="1" t="s">
        <v>54</v>
      </c>
      <c r="AA122" s="1">
        <v>15.0</v>
      </c>
      <c r="AB122" s="1">
        <v>8.0</v>
      </c>
      <c r="AC122" s="1">
        <v>8.0</v>
      </c>
      <c r="AD122" s="1">
        <v>7.0</v>
      </c>
      <c r="AE122" s="1">
        <v>7.0</v>
      </c>
      <c r="AF122" s="1" t="s">
        <v>56</v>
      </c>
      <c r="AG122" s="1">
        <v>40.0</v>
      </c>
      <c r="AH122" s="1">
        <v>18.0</v>
      </c>
      <c r="AI122" s="1">
        <v>18.0</v>
      </c>
      <c r="AJ122" s="1">
        <v>22.0</v>
      </c>
      <c r="AK122" s="1">
        <v>22.0</v>
      </c>
      <c r="AL122" s="1">
        <v>150.0</v>
      </c>
      <c r="AM122" s="1" t="s">
        <v>55</v>
      </c>
      <c r="AN122" s="1" t="s">
        <v>55</v>
      </c>
      <c r="AO122" s="1" t="s">
        <v>55</v>
      </c>
      <c r="AP122" s="1">
        <v>1.0</v>
      </c>
      <c r="AQ122" s="3" t="str">
        <f>HYPERLINK("https://icf.clappia.com/app/GMB253374/submission/OKY07032290/ICF247370-GMB253374-34biiep16aam00000000/SIG-20250630_1156jmi0a.jpeg", "SIG-20250630_1156jmi0a.jpeg")</f>
        <v>SIG-20250630_1156jmi0a.jpeg</v>
      </c>
      <c r="AR122" s="1">
        <v>1.0</v>
      </c>
      <c r="AS122" s="3" t="str">
        <f>HYPERLINK("https://icf.clappia.com/app/GMB253374/submission/OKY07032290/ICF247370-GMB253374-2b70ae8mcnhm80000000/SIG-20250630_12026mdob.jpeg", "SIG-20250630_12026mdob.jpeg")</f>
        <v>SIG-20250630_12026mdob.jpeg</v>
      </c>
      <c r="AT122" s="1" t="s">
        <v>780</v>
      </c>
      <c r="AU122" s="3" t="str">
        <f>HYPERLINK("https://icf.clappia.com/app/GMB253374/submission/OKY07032290/ICF247370-GMB253374-4fg79iif568000000000/SIG-20250630_1203j36df.jpeg", "SIG-20250630_1203j36df.jpeg")</f>
        <v>SIG-20250630_1203j36df.jpeg</v>
      </c>
      <c r="AV122" s="3" t="str">
        <f>HYPERLINK("https://www.google.com/maps/place/7.9429867%2C-11.6663717", "7.9429867,-11.6663717")</f>
        <v>7.9429867,-11.6663717</v>
      </c>
    </row>
    <row r="123" ht="15.75" customHeight="1">
      <c r="A123" s="1" t="s">
        <v>781</v>
      </c>
      <c r="B123" s="1" t="s">
        <v>356</v>
      </c>
      <c r="C123" s="1" t="s">
        <v>782</v>
      </c>
      <c r="D123" s="1" t="s">
        <v>782</v>
      </c>
      <c r="E123" s="1" t="s">
        <v>783</v>
      </c>
      <c r="F123" s="1" t="s">
        <v>50</v>
      </c>
      <c r="G123" s="1">
        <v>100.0</v>
      </c>
      <c r="H123" s="1" t="s">
        <v>51</v>
      </c>
      <c r="I123" s="1">
        <v>43.0</v>
      </c>
      <c r="J123" s="1">
        <v>26.0</v>
      </c>
      <c r="K123" s="1">
        <v>26.0</v>
      </c>
      <c r="L123" s="1">
        <v>17.0</v>
      </c>
      <c r="M123" s="1">
        <v>17.0</v>
      </c>
      <c r="N123" s="1" t="s">
        <v>52</v>
      </c>
      <c r="O123" s="1">
        <v>20.0</v>
      </c>
      <c r="P123" s="1">
        <v>8.0</v>
      </c>
      <c r="Q123" s="1">
        <v>8.0</v>
      </c>
      <c r="R123" s="1">
        <v>12.0</v>
      </c>
      <c r="S123" s="1">
        <v>12.0</v>
      </c>
      <c r="T123" s="1" t="s">
        <v>53</v>
      </c>
      <c r="U123" s="1" t="s">
        <v>55</v>
      </c>
      <c r="V123" s="1" t="s">
        <v>55</v>
      </c>
      <c r="W123" s="1" t="s">
        <v>55</v>
      </c>
      <c r="X123" s="1" t="s">
        <v>55</v>
      </c>
      <c r="Y123" s="1" t="s">
        <v>55</v>
      </c>
      <c r="Z123" s="1" t="s">
        <v>54</v>
      </c>
      <c r="AA123" s="1" t="s">
        <v>55</v>
      </c>
      <c r="AB123" s="1" t="s">
        <v>55</v>
      </c>
      <c r="AC123" s="1" t="s">
        <v>55</v>
      </c>
      <c r="AD123" s="1" t="s">
        <v>55</v>
      </c>
      <c r="AE123" s="1" t="s">
        <v>55</v>
      </c>
      <c r="AF123" s="1" t="s">
        <v>56</v>
      </c>
      <c r="AG123" s="1" t="s">
        <v>55</v>
      </c>
      <c r="AH123" s="1" t="s">
        <v>55</v>
      </c>
      <c r="AI123" s="1" t="s">
        <v>55</v>
      </c>
      <c r="AJ123" s="1" t="s">
        <v>55</v>
      </c>
      <c r="AK123" s="1" t="s">
        <v>55</v>
      </c>
      <c r="AL123" s="1">
        <v>63.0</v>
      </c>
      <c r="AM123" s="1" t="s">
        <v>55</v>
      </c>
      <c r="AN123" s="1">
        <v>37.0</v>
      </c>
      <c r="AO123" s="1">
        <v>8.0</v>
      </c>
      <c r="AP123" s="1" t="s">
        <v>784</v>
      </c>
      <c r="AQ123" s="3" t="str">
        <f>HYPERLINK("https://icf.clappia.com/app/GMB253374/submission/ARJ60984373/ICF247370-GMB253374-62paddf2ad6e00000000/SIG-20250630_1225gk155.jpeg", "SIG-20250630_1225gk155.jpeg")</f>
        <v>SIG-20250630_1225gk155.jpeg</v>
      </c>
      <c r="AR123" s="1" t="s">
        <v>785</v>
      </c>
      <c r="AS123" s="3" t="str">
        <f>HYPERLINK("https://icf.clappia.com/app/GMB253374/submission/ARJ60984373/ICF247370-GMB253374-2m0hp42f031e00000000/SIG-20250630_122618fb5d.jpeg", "SIG-20250630_122618fb5d.jpeg")</f>
        <v>SIG-20250630_122618fb5d.jpeg</v>
      </c>
      <c r="AT123" s="1" t="s">
        <v>786</v>
      </c>
      <c r="AU123" s="3" t="str">
        <f>HYPERLINK("https://icf.clappia.com/app/GMB253374/submission/ARJ60984373/ICF247370-GMB253374-1d9nfigi292hg0000000/SIG-20250630_1227ibek1.jpeg", "SIG-20250630_1227ibek1.jpeg")</f>
        <v>SIG-20250630_1227ibek1.jpeg</v>
      </c>
      <c r="AV123" s="3" t="str">
        <f>HYPERLINK("https://www.google.com/maps/place/7.7099133%2C-11.7771817", "7.7099133,-11.7771817")</f>
        <v>7.7099133,-11.7771817</v>
      </c>
    </row>
    <row r="124" ht="15.75" customHeight="1">
      <c r="A124" s="1" t="s">
        <v>787</v>
      </c>
      <c r="B124" s="1" t="s">
        <v>236</v>
      </c>
      <c r="C124" s="1" t="s">
        <v>788</v>
      </c>
      <c r="D124" s="1" t="s">
        <v>788</v>
      </c>
      <c r="E124" s="1" t="s">
        <v>789</v>
      </c>
      <c r="F124" s="1" t="s">
        <v>50</v>
      </c>
      <c r="G124" s="1">
        <v>132.0</v>
      </c>
      <c r="H124" s="1" t="s">
        <v>51</v>
      </c>
      <c r="I124" s="1">
        <v>49.0</v>
      </c>
      <c r="J124" s="1">
        <v>22.0</v>
      </c>
      <c r="K124" s="1">
        <v>20.0</v>
      </c>
      <c r="L124" s="1">
        <v>27.0</v>
      </c>
      <c r="M124" s="1">
        <v>22.0</v>
      </c>
      <c r="N124" s="1" t="s">
        <v>52</v>
      </c>
      <c r="O124" s="1">
        <v>23.0</v>
      </c>
      <c r="P124" s="1">
        <v>13.0</v>
      </c>
      <c r="Q124" s="1">
        <v>6.0</v>
      </c>
      <c r="R124" s="1">
        <v>10.0</v>
      </c>
      <c r="S124" s="1">
        <v>5.0</v>
      </c>
      <c r="T124" s="1" t="s">
        <v>53</v>
      </c>
      <c r="U124" s="1">
        <v>21.0</v>
      </c>
      <c r="V124" s="1">
        <v>9.0</v>
      </c>
      <c r="W124" s="1">
        <v>5.0</v>
      </c>
      <c r="X124" s="1">
        <v>12.0</v>
      </c>
      <c r="Y124" s="1">
        <v>5.0</v>
      </c>
      <c r="Z124" s="1" t="s">
        <v>54</v>
      </c>
      <c r="AA124" s="1">
        <v>19.0</v>
      </c>
      <c r="AB124" s="1">
        <v>8.0</v>
      </c>
      <c r="AC124" s="1">
        <v>5.0</v>
      </c>
      <c r="AD124" s="1">
        <v>11.0</v>
      </c>
      <c r="AE124" s="1">
        <v>5.0</v>
      </c>
      <c r="AF124" s="1" t="s">
        <v>56</v>
      </c>
      <c r="AG124" s="1">
        <v>20.0</v>
      </c>
      <c r="AH124" s="1">
        <v>9.0</v>
      </c>
      <c r="AI124" s="1">
        <v>4.0</v>
      </c>
      <c r="AJ124" s="1">
        <v>11.0</v>
      </c>
      <c r="AK124" s="1">
        <v>5.0</v>
      </c>
      <c r="AL124" s="1">
        <v>82.0</v>
      </c>
      <c r="AM124" s="1" t="s">
        <v>55</v>
      </c>
      <c r="AN124" s="1">
        <v>50.0</v>
      </c>
      <c r="AO124" s="1">
        <v>50.0</v>
      </c>
      <c r="AP124" s="1" t="s">
        <v>790</v>
      </c>
      <c r="AQ124" s="3" t="str">
        <f>HYPERLINK("https://icf.clappia.com/app/GMB253374/submission/MIQ74607196/ICF247370-GMB253374-1956i5afolf1i0000000/SIG-20250630_1315haeo5.jpeg", "SIG-20250630_1315haeo5.jpeg")</f>
        <v>SIG-20250630_1315haeo5.jpeg</v>
      </c>
      <c r="AR124" s="1" t="s">
        <v>791</v>
      </c>
      <c r="AS124" s="3" t="str">
        <f>HYPERLINK("https://icf.clappia.com/app/GMB253374/submission/MIQ74607196/ICF247370-GMB253374-12ekn8flk0pi80000000/SIG-20250630_1236mk4kn.jpeg", "SIG-20250630_1236mk4kn.jpeg")</f>
        <v>SIG-20250630_1236mk4kn.jpeg</v>
      </c>
      <c r="AT124" s="1" t="s">
        <v>792</v>
      </c>
      <c r="AU124" s="3" t="str">
        <f>HYPERLINK("https://icf.clappia.com/app/GMB253374/submission/MIQ74607196/ICF247370-GMB253374-5jfc35khc4gm00000000/SIG-20250630_1316ld16g.jpeg", "SIG-20250630_1316ld16g.jpeg")</f>
        <v>SIG-20250630_1316ld16g.jpeg</v>
      </c>
      <c r="AV124" s="3" t="str">
        <f>HYPERLINK("https://www.google.com/maps/place/7.94311%2C-11.772785", "7.94311,-11.772785")</f>
        <v>7.94311,-11.772785</v>
      </c>
    </row>
    <row r="125" ht="15.75" customHeight="1">
      <c r="A125" s="1" t="s">
        <v>793</v>
      </c>
      <c r="B125" s="1" t="s">
        <v>162</v>
      </c>
      <c r="C125" s="1" t="s">
        <v>788</v>
      </c>
      <c r="D125" s="1" t="s">
        <v>788</v>
      </c>
      <c r="E125" s="1" t="s">
        <v>794</v>
      </c>
      <c r="F125" s="1" t="s">
        <v>121</v>
      </c>
      <c r="G125" s="1">
        <v>85.0</v>
      </c>
      <c r="H125" s="1" t="s">
        <v>51</v>
      </c>
      <c r="I125" s="1">
        <v>18.0</v>
      </c>
      <c r="J125" s="1">
        <v>7.0</v>
      </c>
      <c r="K125" s="1">
        <v>2.0</v>
      </c>
      <c r="L125" s="1">
        <v>11.0</v>
      </c>
      <c r="M125" s="1">
        <v>5.0</v>
      </c>
      <c r="N125" s="1" t="s">
        <v>52</v>
      </c>
      <c r="O125" s="1">
        <v>23.0</v>
      </c>
      <c r="P125" s="1">
        <v>10.0</v>
      </c>
      <c r="Q125" s="1">
        <v>1.0</v>
      </c>
      <c r="R125" s="1">
        <v>13.0</v>
      </c>
      <c r="S125" s="1">
        <v>9.0</v>
      </c>
      <c r="T125" s="1" t="s">
        <v>53</v>
      </c>
      <c r="U125" s="1">
        <v>20.0</v>
      </c>
      <c r="V125" s="1">
        <v>7.0</v>
      </c>
      <c r="W125" s="1">
        <v>7.0</v>
      </c>
      <c r="X125" s="1">
        <v>13.0</v>
      </c>
      <c r="Y125" s="1">
        <v>10.0</v>
      </c>
      <c r="Z125" s="1" t="s">
        <v>54</v>
      </c>
      <c r="AA125" s="1">
        <v>19.0</v>
      </c>
      <c r="AB125" s="1">
        <v>11.0</v>
      </c>
      <c r="AC125" s="1">
        <v>6.0</v>
      </c>
      <c r="AD125" s="1">
        <v>8.0</v>
      </c>
      <c r="AE125" s="1">
        <v>5.0</v>
      </c>
      <c r="AF125" s="1" t="s">
        <v>56</v>
      </c>
      <c r="AG125" s="1">
        <v>5.0</v>
      </c>
      <c r="AH125" s="1">
        <v>5.0</v>
      </c>
      <c r="AI125" s="1">
        <v>5.0</v>
      </c>
      <c r="AJ125" s="1" t="s">
        <v>55</v>
      </c>
      <c r="AK125" s="1" t="s">
        <v>55</v>
      </c>
      <c r="AL125" s="1">
        <v>50.0</v>
      </c>
      <c r="AM125" s="1" t="s">
        <v>55</v>
      </c>
      <c r="AN125" s="1">
        <v>35.0</v>
      </c>
      <c r="AO125" s="1" t="s">
        <v>55</v>
      </c>
      <c r="AP125" s="1" t="s">
        <v>795</v>
      </c>
      <c r="AQ125" s="3" t="str">
        <f>HYPERLINK("https://icf.clappia.com/app/GMB253374/submission/OHK95058632/ICF247370-GMB253374-45e3i367in2g00000000/SIG-20250630_1314hpgm9.jpeg", "SIG-20250630_1314hpgm9.jpeg")</f>
        <v>SIG-20250630_1314hpgm9.jpeg</v>
      </c>
      <c r="AR125" s="1" t="s">
        <v>796</v>
      </c>
      <c r="AS125" s="3" t="str">
        <f>HYPERLINK("https://icf.clappia.com/app/GMB253374/submission/OHK95058632/ICF247370-GMB253374-4fe126b0cbpk00000000/SIG-20250630_13154127k.jpeg", "SIG-20250630_13154127k.jpeg")</f>
        <v>SIG-20250630_13154127k.jpeg</v>
      </c>
      <c r="AT125" s="1" t="s">
        <v>797</v>
      </c>
      <c r="AU125" s="3" t="str">
        <f>HYPERLINK("https://icf.clappia.com/app/GMB253374/submission/OHK95058632/ICF247370-GMB253374-53habc2foo4g00000000/SIG-20250630_13169d0nl.jpeg", "SIG-20250630_13169d0nl.jpeg")</f>
        <v>SIG-20250630_13169d0nl.jpeg</v>
      </c>
      <c r="AV125" s="3" t="str">
        <f>HYPERLINK("https://www.google.com/maps/place/8.8674505%2C-12.0566295", "8.8674505,-12.0566295")</f>
        <v>8.8674505,-12.0566295</v>
      </c>
    </row>
    <row r="126" ht="15.75" customHeight="1">
      <c r="A126" s="1" t="s">
        <v>798</v>
      </c>
      <c r="B126" s="1" t="s">
        <v>388</v>
      </c>
      <c r="C126" s="1" t="s">
        <v>799</v>
      </c>
      <c r="D126" s="1" t="s">
        <v>799</v>
      </c>
      <c r="E126" s="1" t="s">
        <v>800</v>
      </c>
      <c r="F126" s="1" t="s">
        <v>50</v>
      </c>
      <c r="G126" s="1">
        <v>200.0</v>
      </c>
      <c r="H126" s="1" t="s">
        <v>51</v>
      </c>
      <c r="I126" s="1">
        <v>28.0</v>
      </c>
      <c r="J126" s="1">
        <v>17.0</v>
      </c>
      <c r="K126" s="1">
        <v>17.0</v>
      </c>
      <c r="L126" s="1">
        <v>11.0</v>
      </c>
      <c r="M126" s="1">
        <v>8.0</v>
      </c>
      <c r="N126" s="1" t="s">
        <v>52</v>
      </c>
      <c r="O126" s="1">
        <v>21.0</v>
      </c>
      <c r="P126" s="1">
        <v>9.0</v>
      </c>
      <c r="Q126" s="1">
        <v>9.0</v>
      </c>
      <c r="R126" s="1">
        <v>12.0</v>
      </c>
      <c r="S126" s="1">
        <v>12.0</v>
      </c>
      <c r="T126" s="1" t="s">
        <v>53</v>
      </c>
      <c r="U126" s="1">
        <v>37.0</v>
      </c>
      <c r="V126" s="1">
        <v>10.0</v>
      </c>
      <c r="W126" s="1">
        <v>10.0</v>
      </c>
      <c r="X126" s="1">
        <v>27.0</v>
      </c>
      <c r="Y126" s="1">
        <v>21.0</v>
      </c>
      <c r="Z126" s="1" t="s">
        <v>54</v>
      </c>
      <c r="AA126" s="1">
        <v>31.0</v>
      </c>
      <c r="AB126" s="1">
        <v>21.0</v>
      </c>
      <c r="AC126" s="1">
        <v>17.0</v>
      </c>
      <c r="AD126" s="1">
        <v>10.0</v>
      </c>
      <c r="AE126" s="1">
        <v>9.0</v>
      </c>
      <c r="AF126" s="1" t="s">
        <v>56</v>
      </c>
      <c r="AG126" s="1">
        <v>40.0</v>
      </c>
      <c r="AH126" s="1">
        <v>18.0</v>
      </c>
      <c r="AI126" s="1">
        <v>18.0</v>
      </c>
      <c r="AJ126" s="1">
        <v>22.0</v>
      </c>
      <c r="AK126" s="1">
        <v>22.0</v>
      </c>
      <c r="AL126" s="1">
        <v>143.0</v>
      </c>
      <c r="AM126" s="1" t="s">
        <v>55</v>
      </c>
      <c r="AN126" s="1">
        <v>57.0</v>
      </c>
      <c r="AO126" s="1">
        <v>57.0</v>
      </c>
      <c r="AP126" s="1" t="s">
        <v>801</v>
      </c>
      <c r="AQ126" s="3" t="str">
        <f>HYPERLINK("https://icf.clappia.com/app/GMB253374/submission/KOT91851634/ICF247370-GMB253374-1bc5n3n2kg9120000000/SIG-20250630_122913aejp.jpeg", "SIG-20250630_122913aejp.jpeg")</f>
        <v>SIG-20250630_122913aejp.jpeg</v>
      </c>
      <c r="AR126" s="1" t="s">
        <v>802</v>
      </c>
      <c r="AS126" s="3" t="str">
        <f>HYPERLINK("https://icf.clappia.com/app/GMB253374/submission/KOT91851634/ICF247370-GMB253374-42ad728oc59o00000000/SIG-20250630_12311145pd.jpeg", "SIG-20250630_12311145pd.jpeg")</f>
        <v>SIG-20250630_12311145pd.jpeg</v>
      </c>
      <c r="AT126" s="1" t="s">
        <v>803</v>
      </c>
      <c r="AU126" s="3" t="str">
        <f>HYPERLINK("https://icf.clappia.com/app/GMB253374/submission/KOT91851634/ICF247370-GMB253374-856o8dbfk9ck0000000/SIG-20250630_123317f1ea.jpeg", "SIG-20250630_123317f1ea.jpeg")</f>
        <v>SIG-20250630_123317f1ea.jpeg</v>
      </c>
      <c r="AV126" s="3" t="str">
        <f>HYPERLINK("https://www.google.com/maps/place/8.8722333%2C-12.1044", "8.8722333,-12.1044")</f>
        <v>8.8722333,-12.1044</v>
      </c>
    </row>
    <row r="127" ht="15.75" customHeight="1">
      <c r="A127" s="1" t="s">
        <v>804</v>
      </c>
      <c r="B127" s="1" t="s">
        <v>111</v>
      </c>
      <c r="C127" s="1" t="s">
        <v>777</v>
      </c>
      <c r="D127" s="1" t="s">
        <v>777</v>
      </c>
      <c r="E127" s="1" t="s">
        <v>805</v>
      </c>
      <c r="F127" s="1" t="s">
        <v>50</v>
      </c>
      <c r="G127" s="1">
        <v>422.0</v>
      </c>
      <c r="H127" s="1" t="s">
        <v>51</v>
      </c>
      <c r="I127" s="1">
        <v>82.0</v>
      </c>
      <c r="J127" s="1">
        <v>40.0</v>
      </c>
      <c r="K127" s="1">
        <v>39.0</v>
      </c>
      <c r="L127" s="1">
        <v>42.0</v>
      </c>
      <c r="M127" s="1">
        <v>40.0</v>
      </c>
      <c r="N127" s="1" t="s">
        <v>52</v>
      </c>
      <c r="O127" s="1">
        <v>65.0</v>
      </c>
      <c r="P127" s="1">
        <v>30.0</v>
      </c>
      <c r="Q127" s="1">
        <v>30.0</v>
      </c>
      <c r="R127" s="1">
        <v>35.0</v>
      </c>
      <c r="S127" s="1">
        <v>35.0</v>
      </c>
      <c r="T127" s="1" t="s">
        <v>53</v>
      </c>
      <c r="U127" s="1">
        <v>58.0</v>
      </c>
      <c r="V127" s="1">
        <v>33.0</v>
      </c>
      <c r="W127" s="1">
        <v>31.0</v>
      </c>
      <c r="X127" s="1">
        <v>25.0</v>
      </c>
      <c r="Y127" s="1">
        <v>25.0</v>
      </c>
      <c r="Z127" s="1" t="s">
        <v>54</v>
      </c>
      <c r="AA127" s="1">
        <v>69.0</v>
      </c>
      <c r="AB127" s="1">
        <v>30.0</v>
      </c>
      <c r="AC127" s="1">
        <v>30.0</v>
      </c>
      <c r="AD127" s="1">
        <v>39.0</v>
      </c>
      <c r="AE127" s="1">
        <v>39.0</v>
      </c>
      <c r="AF127" s="1" t="s">
        <v>56</v>
      </c>
      <c r="AG127" s="1">
        <v>77.0</v>
      </c>
      <c r="AH127" s="1">
        <v>45.0</v>
      </c>
      <c r="AI127" s="1">
        <v>45.0</v>
      </c>
      <c r="AJ127" s="1">
        <v>32.0</v>
      </c>
      <c r="AK127" s="1">
        <v>32.0</v>
      </c>
      <c r="AL127" s="1">
        <v>346.0</v>
      </c>
      <c r="AM127" s="1">
        <v>5.0</v>
      </c>
      <c r="AN127" s="1">
        <v>71.0</v>
      </c>
      <c r="AO127" s="1">
        <v>71.0</v>
      </c>
      <c r="AP127" s="1" t="s">
        <v>806</v>
      </c>
      <c r="AQ127" s="3" t="str">
        <f>HYPERLINK("https://icf.clappia.com/app/GMB253374/submission/USR64835760/ICF247370-GMB253374-1p9e16mbinf0c0000000/SIG-20250630_12406ff96.jpeg", "SIG-20250630_12406ff96.jpeg")</f>
        <v>SIG-20250630_12406ff96.jpeg</v>
      </c>
      <c r="AR127" s="1" t="s">
        <v>807</v>
      </c>
      <c r="AS127" s="3" t="str">
        <f>HYPERLINK("https://icf.clappia.com/app/GMB253374/submission/USR64835760/ICF247370-GMB253374-h54d99578j360000000/SIG-20250630_1241lga8d.jpeg", "SIG-20250630_1241lga8d.jpeg")</f>
        <v>SIG-20250630_1241lga8d.jpeg</v>
      </c>
      <c r="AT127" s="1" t="s">
        <v>808</v>
      </c>
      <c r="AU127" s="3" t="str">
        <f>HYPERLINK("https://icf.clappia.com/app/GMB253374/submission/USR64835760/ICF247370-GMB253374-2ijpmf0k59j400000000/SIG-20250630_1241h3lj2.jpeg", "SIG-20250630_1241h3lj2.jpeg")</f>
        <v>SIG-20250630_1241h3lj2.jpeg</v>
      </c>
      <c r="AV127" s="3" t="str">
        <f>HYPERLINK("https://www.google.com/maps/place/7.9425717%2C-11.6662283", "7.9425717,-11.6662283")</f>
        <v>7.9425717,-11.6662283</v>
      </c>
    </row>
    <row r="128" ht="15.75" customHeight="1">
      <c r="A128" s="1" t="s">
        <v>809</v>
      </c>
      <c r="B128" s="1" t="s">
        <v>450</v>
      </c>
      <c r="C128" s="1" t="s">
        <v>777</v>
      </c>
      <c r="D128" s="1" t="s">
        <v>777</v>
      </c>
      <c r="E128" s="1" t="s">
        <v>810</v>
      </c>
      <c r="F128" s="1" t="s">
        <v>50</v>
      </c>
      <c r="G128" s="1">
        <v>250.0</v>
      </c>
      <c r="H128" s="1" t="s">
        <v>51</v>
      </c>
      <c r="I128" s="1">
        <v>70.0</v>
      </c>
      <c r="J128" s="1">
        <v>42.0</v>
      </c>
      <c r="K128" s="1">
        <v>40.0</v>
      </c>
      <c r="L128" s="1">
        <v>28.0</v>
      </c>
      <c r="M128" s="1">
        <v>27.0</v>
      </c>
      <c r="N128" s="1" t="s">
        <v>52</v>
      </c>
      <c r="O128" s="1">
        <v>60.0</v>
      </c>
      <c r="P128" s="1">
        <v>30.0</v>
      </c>
      <c r="Q128" s="1">
        <v>28.0</v>
      </c>
      <c r="R128" s="1">
        <v>30.0</v>
      </c>
      <c r="S128" s="1">
        <v>29.0</v>
      </c>
      <c r="T128" s="1" t="s">
        <v>53</v>
      </c>
      <c r="U128" s="1">
        <v>32.0</v>
      </c>
      <c r="V128" s="1">
        <v>16.0</v>
      </c>
      <c r="W128" s="1">
        <v>14.0</v>
      </c>
      <c r="X128" s="1">
        <v>16.0</v>
      </c>
      <c r="Y128" s="1">
        <v>15.0</v>
      </c>
      <c r="Z128" s="1" t="s">
        <v>54</v>
      </c>
      <c r="AA128" s="1">
        <v>49.0</v>
      </c>
      <c r="AB128" s="1">
        <v>24.0</v>
      </c>
      <c r="AC128" s="1">
        <v>21.0</v>
      </c>
      <c r="AD128" s="1">
        <v>25.0</v>
      </c>
      <c r="AE128" s="1">
        <v>23.0</v>
      </c>
      <c r="AF128" s="1" t="s">
        <v>56</v>
      </c>
      <c r="AG128" s="1">
        <v>50.0</v>
      </c>
      <c r="AH128" s="1">
        <v>20.0</v>
      </c>
      <c r="AI128" s="1">
        <v>18.0</v>
      </c>
      <c r="AJ128" s="1">
        <v>30.0</v>
      </c>
      <c r="AK128" s="1">
        <v>27.0</v>
      </c>
      <c r="AL128" s="1">
        <v>242.0</v>
      </c>
      <c r="AM128" s="1" t="s">
        <v>55</v>
      </c>
      <c r="AN128" s="1">
        <v>8.0</v>
      </c>
      <c r="AO128" s="1">
        <v>8.0</v>
      </c>
      <c r="AP128" s="1" t="s">
        <v>811</v>
      </c>
      <c r="AQ128" s="3" t="str">
        <f>HYPERLINK("https://icf.clappia.com/app/GMB253374/submission/NON69347445/ICF247370-GMB253374-1efep44oljcie0000000/SIG-20250630_1254ekph1.jpeg", "SIG-20250630_1254ekph1.jpeg")</f>
        <v>SIG-20250630_1254ekph1.jpeg</v>
      </c>
      <c r="AR128" s="1" t="s">
        <v>812</v>
      </c>
      <c r="AS128" s="3" t="str">
        <f>HYPERLINK("https://icf.clappia.com/app/GMB253374/submission/NON69347445/ICF247370-GMB253374-1n3j92ea10pck0000000/SIG-20250630_1254m2fnn.jpeg", "SIG-20250630_1254m2fnn.jpeg")</f>
        <v>SIG-20250630_1254m2fnn.jpeg</v>
      </c>
      <c r="AT128" s="1" t="s">
        <v>813</v>
      </c>
      <c r="AU128" s="3" t="str">
        <f>HYPERLINK("https://icf.clappia.com/app/GMB253374/submission/NON69347445/ICF247370-GMB253374-3kh81g6bio7e00000000/SIG-20250630_1255pko8l.jpeg", "SIG-20250630_1255pko8l.jpeg")</f>
        <v>SIG-20250630_1255pko8l.jpeg</v>
      </c>
      <c r="AV128" s="3" t="str">
        <f>HYPERLINK("https://www.google.com/maps/place/9.0613758%2C-12.4138799", "9.0613758,-12.4138799")</f>
        <v>9.0613758,-12.4138799</v>
      </c>
    </row>
    <row r="129" ht="15.75" customHeight="1">
      <c r="A129" s="1" t="s">
        <v>814</v>
      </c>
      <c r="B129" s="1" t="s">
        <v>98</v>
      </c>
      <c r="C129" s="1" t="s">
        <v>815</v>
      </c>
      <c r="D129" s="1" t="s">
        <v>815</v>
      </c>
      <c r="E129" s="1" t="s">
        <v>816</v>
      </c>
      <c r="F129" s="1" t="s">
        <v>50</v>
      </c>
      <c r="G129" s="1">
        <v>124.0</v>
      </c>
      <c r="H129" s="1" t="s">
        <v>51</v>
      </c>
      <c r="I129" s="1">
        <v>28.0</v>
      </c>
      <c r="J129" s="1">
        <v>14.0</v>
      </c>
      <c r="K129" s="1">
        <v>14.0</v>
      </c>
      <c r="L129" s="1">
        <v>14.0</v>
      </c>
      <c r="M129" s="1">
        <v>14.0</v>
      </c>
      <c r="N129" s="1" t="s">
        <v>52</v>
      </c>
      <c r="O129" s="1">
        <v>31.0</v>
      </c>
      <c r="P129" s="1">
        <v>16.0</v>
      </c>
      <c r="Q129" s="1">
        <v>16.0</v>
      </c>
      <c r="R129" s="1">
        <v>15.0</v>
      </c>
      <c r="S129" s="1">
        <v>15.0</v>
      </c>
      <c r="T129" s="1" t="s">
        <v>53</v>
      </c>
      <c r="U129" s="1">
        <v>23.0</v>
      </c>
      <c r="V129" s="1">
        <v>9.0</v>
      </c>
      <c r="W129" s="1">
        <v>9.0</v>
      </c>
      <c r="X129" s="1">
        <v>14.0</v>
      </c>
      <c r="Y129" s="1">
        <v>14.0</v>
      </c>
      <c r="Z129" s="1" t="s">
        <v>54</v>
      </c>
      <c r="AA129" s="1">
        <v>25.0</v>
      </c>
      <c r="AB129" s="1">
        <v>11.0</v>
      </c>
      <c r="AC129" s="1">
        <v>11.0</v>
      </c>
      <c r="AD129" s="1">
        <v>14.0</v>
      </c>
      <c r="AE129" s="1">
        <v>14.0</v>
      </c>
      <c r="AF129" s="1" t="s">
        <v>56</v>
      </c>
      <c r="AG129" s="1">
        <v>17.0</v>
      </c>
      <c r="AH129" s="1">
        <v>6.0</v>
      </c>
      <c r="AI129" s="1">
        <v>6.0</v>
      </c>
      <c r="AJ129" s="1">
        <v>11.0</v>
      </c>
      <c r="AK129" s="1">
        <v>11.0</v>
      </c>
      <c r="AL129" s="1">
        <v>124.0</v>
      </c>
      <c r="AM129" s="1" t="s">
        <v>55</v>
      </c>
      <c r="AN129" s="1" t="s">
        <v>55</v>
      </c>
      <c r="AO129" s="1" t="s">
        <v>55</v>
      </c>
      <c r="AP129" s="1" t="s">
        <v>817</v>
      </c>
      <c r="AQ129" s="3" t="str">
        <f>HYPERLINK("https://icf.clappia.com/app/GMB253374/submission/KHW13554408/ICF247370-GMB253374-5nl2lg9dp8g600000000/SIG-20250630_1258gbaff.jpeg", "SIG-20250630_1258gbaff.jpeg")</f>
        <v>SIG-20250630_1258gbaff.jpeg</v>
      </c>
      <c r="AR129" s="1" t="s">
        <v>818</v>
      </c>
      <c r="AS129" s="3" t="str">
        <f>HYPERLINK("https://icf.clappia.com/app/GMB253374/submission/KHW13554408/ICF247370-GMB253374-5l4bfa8cecok00000000/SIG-20250630_1252e91hd.jpeg", "SIG-20250630_1252e91hd.jpeg")</f>
        <v>SIG-20250630_1252e91hd.jpeg</v>
      </c>
      <c r="AT129" s="1" t="s">
        <v>819</v>
      </c>
      <c r="AU129" s="3" t="str">
        <f>HYPERLINK("https://icf.clappia.com/app/GMB253374/submission/KHW13554408/ICF247370-GMB253374-4eilob7e803600000000/SIG-20250630_12584d33h.jpeg", "SIG-20250630_12584d33h.jpeg")</f>
        <v>SIG-20250630_12584d33h.jpeg</v>
      </c>
      <c r="AV129" s="3" t="str">
        <f>HYPERLINK("https://www.google.com/maps/place/7.94724%2C-11.721475", "7.94724,-11.721475")</f>
        <v>7.94724,-11.721475</v>
      </c>
    </row>
    <row r="130" ht="15.75" customHeight="1">
      <c r="A130" s="1" t="s">
        <v>820</v>
      </c>
      <c r="B130" s="1" t="s">
        <v>236</v>
      </c>
      <c r="C130" s="1" t="s">
        <v>815</v>
      </c>
      <c r="D130" s="1" t="s">
        <v>815</v>
      </c>
      <c r="E130" s="1" t="s">
        <v>821</v>
      </c>
      <c r="F130" s="1" t="s">
        <v>50</v>
      </c>
      <c r="G130" s="1">
        <v>259.0</v>
      </c>
      <c r="H130" s="1" t="s">
        <v>51</v>
      </c>
      <c r="I130" s="1">
        <v>41.0</v>
      </c>
      <c r="J130" s="1">
        <v>16.0</v>
      </c>
      <c r="K130" s="1">
        <v>16.0</v>
      </c>
      <c r="L130" s="1">
        <v>25.0</v>
      </c>
      <c r="M130" s="1">
        <v>18.0</v>
      </c>
      <c r="N130" s="1" t="s">
        <v>52</v>
      </c>
      <c r="O130" s="1">
        <v>35.0</v>
      </c>
      <c r="P130" s="1">
        <v>20.0</v>
      </c>
      <c r="Q130" s="1">
        <v>15.0</v>
      </c>
      <c r="R130" s="1">
        <v>15.0</v>
      </c>
      <c r="S130" s="1">
        <v>11.0</v>
      </c>
      <c r="T130" s="1" t="s">
        <v>53</v>
      </c>
      <c r="U130" s="1">
        <v>50.0</v>
      </c>
      <c r="V130" s="1">
        <v>25.0</v>
      </c>
      <c r="W130" s="1">
        <v>18.0</v>
      </c>
      <c r="X130" s="1">
        <v>25.0</v>
      </c>
      <c r="Y130" s="1">
        <v>16.0</v>
      </c>
      <c r="Z130" s="1" t="s">
        <v>54</v>
      </c>
      <c r="AA130" s="1">
        <v>41.0</v>
      </c>
      <c r="AB130" s="1">
        <v>19.0</v>
      </c>
      <c r="AC130" s="1">
        <v>14.0</v>
      </c>
      <c r="AD130" s="1">
        <v>22.0</v>
      </c>
      <c r="AE130" s="1">
        <v>16.0</v>
      </c>
      <c r="AF130" s="1" t="s">
        <v>56</v>
      </c>
      <c r="AG130" s="1">
        <v>35.0</v>
      </c>
      <c r="AH130" s="1">
        <v>14.0</v>
      </c>
      <c r="AI130" s="1">
        <v>14.0</v>
      </c>
      <c r="AJ130" s="1">
        <v>21.0</v>
      </c>
      <c r="AK130" s="1">
        <v>21.0</v>
      </c>
      <c r="AL130" s="1">
        <v>159.0</v>
      </c>
      <c r="AM130" s="1" t="s">
        <v>55</v>
      </c>
      <c r="AN130" s="1">
        <v>100.0</v>
      </c>
      <c r="AO130" s="1">
        <v>100.0</v>
      </c>
      <c r="AP130" s="1" t="s">
        <v>822</v>
      </c>
      <c r="AQ130" s="3" t="str">
        <f>HYPERLINK("https://icf.clappia.com/app/GMB253374/submission/OKT33443519/ICF247370-GMB253374-6140lmm9gaio00000000/SIG-20250630_1310a4mkn.jpeg", "SIG-20250630_1310a4mkn.jpeg")</f>
        <v>SIG-20250630_1310a4mkn.jpeg</v>
      </c>
      <c r="AR130" s="1" t="s">
        <v>823</v>
      </c>
      <c r="AS130" s="3" t="str">
        <f>HYPERLINK("https://icf.clappia.com/app/GMB253374/submission/OKT33443519/ICF247370-GMB253374-5hmg63n827me00000000/SIG-20250630_1230p6fcb.jpeg", "SIG-20250630_1230p6fcb.jpeg")</f>
        <v>SIG-20250630_1230p6fcb.jpeg</v>
      </c>
      <c r="AT130" s="1" t="s">
        <v>824</v>
      </c>
      <c r="AU130" s="3" t="str">
        <f>HYPERLINK("https://icf.clappia.com/app/GMB253374/submission/OKT33443519/ICF247370-GMB253374-3i02p39ae2di00000000/SIG-20250630_1307d7di.jpeg", "SIG-20250630_1307d7di.jpeg")</f>
        <v>SIG-20250630_1307d7di.jpeg</v>
      </c>
      <c r="AV130" s="3" t="str">
        <f>HYPERLINK("https://www.google.com/maps/place/7.9251551%2C-11.7326301", "7.9251551,-11.7326301")</f>
        <v>7.9251551,-11.7326301</v>
      </c>
    </row>
    <row r="131" ht="15.75" customHeight="1">
      <c r="A131" s="1" t="s">
        <v>825</v>
      </c>
      <c r="B131" s="1" t="s">
        <v>388</v>
      </c>
      <c r="C131" s="1" t="s">
        <v>826</v>
      </c>
      <c r="D131" s="1" t="s">
        <v>826</v>
      </c>
      <c r="E131" s="1" t="s">
        <v>827</v>
      </c>
      <c r="F131" s="1" t="s">
        <v>50</v>
      </c>
      <c r="G131" s="1">
        <v>200.0</v>
      </c>
      <c r="H131" s="1" t="s">
        <v>51</v>
      </c>
      <c r="I131" s="1">
        <v>55.0</v>
      </c>
      <c r="J131" s="1">
        <v>22.0</v>
      </c>
      <c r="K131" s="1">
        <v>22.0</v>
      </c>
      <c r="L131" s="1">
        <v>33.0</v>
      </c>
      <c r="M131" s="1">
        <v>32.0</v>
      </c>
      <c r="N131" s="1" t="s">
        <v>52</v>
      </c>
      <c r="O131" s="1">
        <v>48.0</v>
      </c>
      <c r="P131" s="1">
        <v>23.0</v>
      </c>
      <c r="Q131" s="1">
        <v>23.0</v>
      </c>
      <c r="R131" s="1">
        <v>25.0</v>
      </c>
      <c r="S131" s="1">
        <v>24.0</v>
      </c>
      <c r="T131" s="1" t="s">
        <v>53</v>
      </c>
      <c r="U131" s="1">
        <v>40.0</v>
      </c>
      <c r="V131" s="1">
        <v>23.0</v>
      </c>
      <c r="W131" s="1">
        <v>23.0</v>
      </c>
      <c r="X131" s="1">
        <v>17.0</v>
      </c>
      <c r="Y131" s="1">
        <v>17.0</v>
      </c>
      <c r="Z131" s="1" t="s">
        <v>54</v>
      </c>
      <c r="AA131" s="1">
        <v>40.0</v>
      </c>
      <c r="AB131" s="1">
        <v>20.0</v>
      </c>
      <c r="AC131" s="1">
        <v>20.0</v>
      </c>
      <c r="AD131" s="1">
        <v>15.0</v>
      </c>
      <c r="AE131" s="1">
        <v>15.0</v>
      </c>
      <c r="AF131" s="1" t="s">
        <v>56</v>
      </c>
      <c r="AG131" s="1">
        <v>29.0</v>
      </c>
      <c r="AH131" s="1">
        <v>16.0</v>
      </c>
      <c r="AI131" s="1">
        <v>16.0</v>
      </c>
      <c r="AJ131" s="1">
        <v>13.0</v>
      </c>
      <c r="AK131" s="1">
        <v>8.0</v>
      </c>
      <c r="AL131" s="1">
        <v>200.0</v>
      </c>
      <c r="AM131" s="1" t="s">
        <v>55</v>
      </c>
      <c r="AN131" s="1" t="s">
        <v>55</v>
      </c>
      <c r="AO131" s="1" t="s">
        <v>55</v>
      </c>
      <c r="AP131" s="1" t="s">
        <v>828</v>
      </c>
      <c r="AQ131" s="3" t="str">
        <f>HYPERLINK("https://icf.clappia.com/app/GMB253374/submission/NPE19089147/ICF247370-GMB253374-5hlh3a5hc8c000000000/SIG-20250630_1256k0762.jpeg", "SIG-20250630_1256k0762.jpeg")</f>
        <v>SIG-20250630_1256k0762.jpeg</v>
      </c>
      <c r="AR131" s="1" t="s">
        <v>829</v>
      </c>
      <c r="AS131" s="3" t="str">
        <f>HYPERLINK("https://icf.clappia.com/app/GMB253374/submission/NPE19089147/ICF247370-GMB253374-33eo0b4kgi2400000000/SIG-20250630_1257106ci4.jpeg", "SIG-20250630_1257106ci4.jpeg")</f>
        <v>SIG-20250630_1257106ci4.jpeg</v>
      </c>
      <c r="AT131" s="1" t="s">
        <v>830</v>
      </c>
      <c r="AU131" s="3" t="str">
        <f>HYPERLINK("https://icf.clappia.com/app/GMB253374/submission/NPE19089147/ICF247370-GMB253374-3bfklgp86c8i0000000/SIG-20250630_1258ngee4.jpeg", "SIG-20250630_1258ngee4.jpeg")</f>
        <v>SIG-20250630_1258ngee4.jpeg</v>
      </c>
      <c r="AV131" s="3" t="str">
        <f>HYPERLINK("https://www.google.com/maps/place/8.8398367%2C-12.1545167", "8.8398367,-12.1545167")</f>
        <v>8.8398367,-12.1545167</v>
      </c>
    </row>
    <row r="132" ht="15.75" customHeight="1">
      <c r="A132" s="1" t="s">
        <v>831</v>
      </c>
      <c r="B132" s="1" t="s">
        <v>621</v>
      </c>
      <c r="C132" s="1" t="s">
        <v>832</v>
      </c>
      <c r="D132" s="1" t="s">
        <v>832</v>
      </c>
      <c r="E132" s="1" t="s">
        <v>833</v>
      </c>
      <c r="F132" s="1" t="s">
        <v>50</v>
      </c>
      <c r="G132" s="1">
        <v>357.0</v>
      </c>
      <c r="H132" s="1" t="s">
        <v>51</v>
      </c>
      <c r="I132" s="1">
        <v>146.0</v>
      </c>
      <c r="J132" s="1">
        <v>80.0</v>
      </c>
      <c r="K132" s="1">
        <v>80.0</v>
      </c>
      <c r="L132" s="1">
        <v>66.0</v>
      </c>
      <c r="M132" s="1">
        <v>66.0</v>
      </c>
      <c r="N132" s="1" t="s">
        <v>52</v>
      </c>
      <c r="O132" s="1">
        <v>60.0</v>
      </c>
      <c r="P132" s="1">
        <v>38.0</v>
      </c>
      <c r="Q132" s="1">
        <v>38.0</v>
      </c>
      <c r="R132" s="1">
        <v>22.0</v>
      </c>
      <c r="S132" s="1">
        <v>22.0</v>
      </c>
      <c r="T132" s="1" t="s">
        <v>53</v>
      </c>
      <c r="U132" s="1">
        <v>45.0</v>
      </c>
      <c r="V132" s="1">
        <v>25.0</v>
      </c>
      <c r="W132" s="1">
        <v>25.0</v>
      </c>
      <c r="X132" s="1">
        <v>20.0</v>
      </c>
      <c r="Y132" s="1">
        <v>20.0</v>
      </c>
      <c r="Z132" s="1" t="s">
        <v>54</v>
      </c>
      <c r="AA132" s="1">
        <v>59.0</v>
      </c>
      <c r="AB132" s="1">
        <v>39.0</v>
      </c>
      <c r="AC132" s="1">
        <v>39.0</v>
      </c>
      <c r="AD132" s="1">
        <v>20.0</v>
      </c>
      <c r="AE132" s="1">
        <v>20.0</v>
      </c>
      <c r="AF132" s="1" t="s">
        <v>56</v>
      </c>
      <c r="AG132" s="1">
        <v>47.0</v>
      </c>
      <c r="AH132" s="1">
        <v>30.0</v>
      </c>
      <c r="AI132" s="1">
        <v>30.0</v>
      </c>
      <c r="AJ132" s="1">
        <v>17.0</v>
      </c>
      <c r="AK132" s="1">
        <v>17.0</v>
      </c>
      <c r="AL132" s="1">
        <v>357.0</v>
      </c>
      <c r="AM132" s="1" t="s">
        <v>55</v>
      </c>
      <c r="AN132" s="1" t="s">
        <v>55</v>
      </c>
      <c r="AO132" s="1" t="s">
        <v>55</v>
      </c>
      <c r="AP132" s="1" t="s">
        <v>834</v>
      </c>
      <c r="AQ132" s="3" t="str">
        <f>HYPERLINK("https://icf.clappia.com/app/GMB253374/submission/DFP87838815/ICF247370-GMB253374-360kcj0alaac0000000/SIG-20250630_1306e66m8.jpeg", "SIG-20250630_1306e66m8.jpeg")</f>
        <v>SIG-20250630_1306e66m8.jpeg</v>
      </c>
      <c r="AR132" s="1" t="s">
        <v>835</v>
      </c>
      <c r="AS132" s="3" t="str">
        <f>HYPERLINK("https://icf.clappia.com/app/GMB253374/submission/DFP87838815/ICF247370-GMB253374-3g2bbaeldi4g00000000/SIG-20250630_1058caelg.jpeg", "SIG-20250630_1058caelg.jpeg")</f>
        <v>SIG-20250630_1058caelg.jpeg</v>
      </c>
      <c r="AT132" s="1" t="s">
        <v>836</v>
      </c>
      <c r="AU132" s="3" t="str">
        <f>HYPERLINK("https://icf.clappia.com/app/GMB253374/submission/DFP87838815/ICF247370-GMB253374-576lepg728g000000000/SIG-20250630_1107nmb7g.jpeg", "SIG-20250630_1107nmb7g.jpeg")</f>
        <v>SIG-20250630_1107nmb7g.jpeg</v>
      </c>
      <c r="AV132" s="3" t="str">
        <f>HYPERLINK("https://www.google.com/maps/place/7.7648017%2C-11.47308", "7.7648017,-11.47308")</f>
        <v>7.7648017,-11.47308</v>
      </c>
    </row>
    <row r="133" ht="15.75" customHeight="1">
      <c r="A133" s="1" t="s">
        <v>837</v>
      </c>
      <c r="B133" s="1" t="s">
        <v>236</v>
      </c>
      <c r="C133" s="1" t="s">
        <v>838</v>
      </c>
      <c r="D133" s="1" t="s">
        <v>838</v>
      </c>
      <c r="E133" s="1" t="s">
        <v>839</v>
      </c>
      <c r="F133" s="1" t="s">
        <v>50</v>
      </c>
      <c r="G133" s="1">
        <v>358.0</v>
      </c>
      <c r="H133" s="1" t="s">
        <v>51</v>
      </c>
      <c r="I133" s="1">
        <v>73.0</v>
      </c>
      <c r="J133" s="1">
        <v>30.0</v>
      </c>
      <c r="K133" s="1">
        <v>29.0</v>
      </c>
      <c r="L133" s="1">
        <v>43.0</v>
      </c>
      <c r="M133" s="1">
        <v>34.0</v>
      </c>
      <c r="N133" s="1" t="s">
        <v>52</v>
      </c>
      <c r="O133" s="1">
        <v>48.0</v>
      </c>
      <c r="P133" s="1">
        <v>23.0</v>
      </c>
      <c r="Q133" s="1">
        <v>21.0</v>
      </c>
      <c r="R133" s="1">
        <v>25.0</v>
      </c>
      <c r="S133" s="1">
        <v>23.0</v>
      </c>
      <c r="T133" s="1" t="s">
        <v>53</v>
      </c>
      <c r="U133" s="1">
        <v>82.0</v>
      </c>
      <c r="V133" s="1">
        <v>42.0</v>
      </c>
      <c r="W133" s="1">
        <v>33.0</v>
      </c>
      <c r="X133" s="1">
        <v>40.0</v>
      </c>
      <c r="Y133" s="1">
        <v>32.0</v>
      </c>
      <c r="Z133" s="1" t="s">
        <v>54</v>
      </c>
      <c r="AA133" s="1">
        <v>47.0</v>
      </c>
      <c r="AB133" s="1">
        <v>25.0</v>
      </c>
      <c r="AC133" s="1">
        <v>24.0</v>
      </c>
      <c r="AD133" s="1">
        <v>22.0</v>
      </c>
      <c r="AE133" s="1">
        <v>22.0</v>
      </c>
      <c r="AF133" s="1" t="s">
        <v>56</v>
      </c>
      <c r="AG133" s="1">
        <v>60.0</v>
      </c>
      <c r="AH133" s="1">
        <v>30.0</v>
      </c>
      <c r="AI133" s="1">
        <v>25.0</v>
      </c>
      <c r="AJ133" s="1">
        <v>30.0</v>
      </c>
      <c r="AK133" s="1">
        <v>26.0</v>
      </c>
      <c r="AL133" s="1">
        <v>269.0</v>
      </c>
      <c r="AM133" s="1" t="s">
        <v>55</v>
      </c>
      <c r="AN133" s="1">
        <v>89.0</v>
      </c>
      <c r="AO133" s="1">
        <v>89.0</v>
      </c>
      <c r="AP133" s="1" t="s">
        <v>840</v>
      </c>
      <c r="AQ133" s="3" t="str">
        <f>HYPERLINK("https://icf.clappia.com/app/GMB253374/submission/TJZ58042393/ICF247370-GMB253374-of9fhidl3am40000000/SIG-20250630_1303eda3b.jpeg", "SIG-20250630_1303eda3b.jpeg")</f>
        <v>SIG-20250630_1303eda3b.jpeg</v>
      </c>
      <c r="AR133" s="1" t="s">
        <v>841</v>
      </c>
      <c r="AS133" s="3" t="str">
        <f>HYPERLINK("https://icf.clappia.com/app/GMB253374/submission/TJZ58042393/ICF247370-GMB253374-1meg3bdfl5p040000000/SIG-20250630_130415k6j.jpeg", "SIG-20250630_130415k6j.jpeg")</f>
        <v>SIG-20250630_130415k6j.jpeg</v>
      </c>
      <c r="AT133" s="1" t="s">
        <v>842</v>
      </c>
      <c r="AU133" s="3" t="str">
        <f>HYPERLINK("https://icf.clappia.com/app/GMB253374/submission/TJZ58042393/ICF247370-GMB253374-9o51o58j3dp20000000/SIG-20250630_12566cl9k.jpeg", "SIG-20250630_12566cl9k.jpeg")</f>
        <v>SIG-20250630_12566cl9k.jpeg</v>
      </c>
      <c r="AV133" s="3" t="str">
        <f>HYPERLINK("https://www.google.com/maps/place/7.8637302%2C-11.7066515", "7.8637302,-11.7066515")</f>
        <v>7.8637302,-11.7066515</v>
      </c>
    </row>
    <row r="134" ht="15.75" customHeight="1">
      <c r="A134" s="1" t="s">
        <v>843</v>
      </c>
      <c r="B134" s="1" t="s">
        <v>69</v>
      </c>
      <c r="C134" s="1" t="s">
        <v>844</v>
      </c>
      <c r="D134" s="1" t="s">
        <v>845</v>
      </c>
      <c r="E134" s="1" t="s">
        <v>846</v>
      </c>
      <c r="F134" s="1" t="s">
        <v>50</v>
      </c>
      <c r="G134" s="1">
        <v>100.0</v>
      </c>
      <c r="H134" s="1" t="s">
        <v>51</v>
      </c>
      <c r="I134" s="1">
        <v>31.0</v>
      </c>
      <c r="J134" s="1">
        <v>11.0</v>
      </c>
      <c r="K134" s="1">
        <v>11.0</v>
      </c>
      <c r="L134" s="1">
        <v>20.0</v>
      </c>
      <c r="M134" s="1">
        <v>20.0</v>
      </c>
      <c r="N134" s="1" t="s">
        <v>52</v>
      </c>
      <c r="O134" s="1">
        <v>20.0</v>
      </c>
      <c r="P134" s="1">
        <v>8.0</v>
      </c>
      <c r="Q134" s="1">
        <v>8.0</v>
      </c>
      <c r="R134" s="1">
        <v>12.0</v>
      </c>
      <c r="S134" s="1">
        <v>12.0</v>
      </c>
      <c r="T134" s="1" t="s">
        <v>53</v>
      </c>
      <c r="U134" s="1">
        <v>14.0</v>
      </c>
      <c r="V134" s="1">
        <v>8.0</v>
      </c>
      <c r="W134" s="1">
        <v>8.0</v>
      </c>
      <c r="X134" s="1">
        <v>6.0</v>
      </c>
      <c r="Y134" s="1">
        <v>6.0</v>
      </c>
      <c r="Z134" s="1" t="s">
        <v>54</v>
      </c>
      <c r="AA134" s="1">
        <v>16.0</v>
      </c>
      <c r="AB134" s="1">
        <v>4.0</v>
      </c>
      <c r="AC134" s="1">
        <v>4.0</v>
      </c>
      <c r="AD134" s="1">
        <v>12.0</v>
      </c>
      <c r="AE134" s="1">
        <v>12.0</v>
      </c>
      <c r="AF134" s="1" t="s">
        <v>56</v>
      </c>
      <c r="AG134" s="1">
        <v>8.0</v>
      </c>
      <c r="AH134" s="1">
        <v>6.0</v>
      </c>
      <c r="AI134" s="1">
        <v>6.0</v>
      </c>
      <c r="AJ134" s="1">
        <v>2.0</v>
      </c>
      <c r="AK134" s="1">
        <v>2.0</v>
      </c>
      <c r="AL134" s="1">
        <v>89.0</v>
      </c>
      <c r="AM134" s="1" t="s">
        <v>55</v>
      </c>
      <c r="AN134" s="1">
        <v>11.0</v>
      </c>
      <c r="AO134" s="1">
        <v>11.0</v>
      </c>
      <c r="AP134" s="1" t="s">
        <v>847</v>
      </c>
      <c r="AQ134" s="3" t="str">
        <f>HYPERLINK("https://icf.clappia.com/app/GMB253374/submission/RAW53481743/ICF247370-GMB253374-3d87dj757l4a00000000/SIG-20250630_1155357ap.jpeg", "SIG-20250630_1155357ap.jpeg")</f>
        <v>SIG-20250630_1155357ap.jpeg</v>
      </c>
      <c r="AR134" s="1" t="s">
        <v>848</v>
      </c>
      <c r="AS134" s="3" t="str">
        <f>HYPERLINK("https://icf.clappia.com/app/GMB253374/submission/RAW53481743/ICF247370-GMB253374-2mm2fhdiah8600000000/SIG-20250630_1157o11dl.jpeg", "SIG-20250630_1157o11dl.jpeg")</f>
        <v>SIG-20250630_1157o11dl.jpeg</v>
      </c>
      <c r="AT134" s="1" t="s">
        <v>849</v>
      </c>
      <c r="AU134" s="3" t="str">
        <f>HYPERLINK("https://icf.clappia.com/app/GMB253374/submission/RAW53481743/ICF247370-GMB253374-5e1clpi7h8gc00000000/SIG-20250630_1200l6jgl.jpeg", "SIG-20250630_1200l6jgl.jpeg")</f>
        <v>SIG-20250630_1200l6jgl.jpeg</v>
      </c>
      <c r="AV134" s="3" t="str">
        <f>HYPERLINK("https://www.google.com/maps/place/8.2021833%2C-11.509685", "8.2021833,-11.509685")</f>
        <v>8.2021833,-11.509685</v>
      </c>
    </row>
    <row r="135" ht="15.75" customHeight="1">
      <c r="A135" s="1" t="s">
        <v>850</v>
      </c>
      <c r="B135" s="1" t="s">
        <v>851</v>
      </c>
      <c r="C135" s="1" t="s">
        <v>844</v>
      </c>
      <c r="D135" s="1" t="s">
        <v>852</v>
      </c>
      <c r="E135" s="1" t="s">
        <v>853</v>
      </c>
      <c r="F135" s="1" t="s">
        <v>50</v>
      </c>
      <c r="G135" s="1">
        <v>300.0</v>
      </c>
      <c r="H135" s="1" t="s">
        <v>51</v>
      </c>
      <c r="I135" s="1">
        <v>74.0</v>
      </c>
      <c r="J135" s="1">
        <v>39.0</v>
      </c>
      <c r="K135" s="1">
        <v>38.0</v>
      </c>
      <c r="L135" s="1">
        <v>35.0</v>
      </c>
      <c r="M135" s="1">
        <v>34.0</v>
      </c>
      <c r="N135" s="1" t="s">
        <v>52</v>
      </c>
      <c r="O135" s="1">
        <v>72.0</v>
      </c>
      <c r="P135" s="1">
        <v>34.0</v>
      </c>
      <c r="Q135" s="1">
        <v>33.0</v>
      </c>
      <c r="R135" s="1">
        <v>38.0</v>
      </c>
      <c r="S135" s="1">
        <v>37.0</v>
      </c>
      <c r="T135" s="1" t="s">
        <v>53</v>
      </c>
      <c r="U135" s="1">
        <v>61.0</v>
      </c>
      <c r="V135" s="1">
        <v>32.0</v>
      </c>
      <c r="W135" s="1">
        <v>32.0</v>
      </c>
      <c r="X135" s="1">
        <v>29.0</v>
      </c>
      <c r="Y135" s="1">
        <v>29.0</v>
      </c>
      <c r="Z135" s="1" t="s">
        <v>54</v>
      </c>
      <c r="AA135" s="1">
        <v>59.0</v>
      </c>
      <c r="AB135" s="1">
        <v>29.0</v>
      </c>
      <c r="AC135" s="1">
        <v>29.0</v>
      </c>
      <c r="AD135" s="1">
        <v>30.0</v>
      </c>
      <c r="AE135" s="1">
        <v>30.0</v>
      </c>
      <c r="AF135" s="1" t="s">
        <v>56</v>
      </c>
      <c r="AG135" s="1">
        <v>26.0</v>
      </c>
      <c r="AH135" s="1">
        <v>12.0</v>
      </c>
      <c r="AI135" s="1">
        <v>12.0</v>
      </c>
      <c r="AJ135" s="1">
        <v>14.0</v>
      </c>
      <c r="AK135" s="1">
        <v>14.0</v>
      </c>
      <c r="AL135" s="1">
        <v>288.0</v>
      </c>
      <c r="AM135" s="1">
        <v>4.0</v>
      </c>
      <c r="AN135" s="1">
        <v>8.0</v>
      </c>
      <c r="AO135" s="1">
        <v>8.0</v>
      </c>
      <c r="AP135" s="1" t="s">
        <v>854</v>
      </c>
      <c r="AQ135" s="3" t="str">
        <f>HYPERLINK("https://icf.clappia.com/app/GMB253374/submission/QBI50750291/ICF247370-GMB253374-3f3h23hlgc8g00000000/SIG-20250630_1259a2b7l.jpeg", "SIG-20250630_1259a2b7l.jpeg")</f>
        <v>SIG-20250630_1259a2b7l.jpeg</v>
      </c>
      <c r="AR135" s="1" t="s">
        <v>855</v>
      </c>
      <c r="AS135" s="3" t="str">
        <f>HYPERLINK("https://icf.clappia.com/app/GMB253374/submission/QBI50750291/ICF247370-GMB253374-2l3o77if4l2c00000000/SIG-20250630_1259gmf64.jpeg", "SIG-20250630_1259gmf64.jpeg")</f>
        <v>SIG-20250630_1259gmf64.jpeg</v>
      </c>
      <c r="AT135" s="1" t="s">
        <v>856</v>
      </c>
      <c r="AU135" s="3" t="str">
        <f>HYPERLINK("https://icf.clappia.com/app/GMB253374/submission/QBI50750291/ICF247370-GMB253374-eogcf8fif2pc0000000/SIG-20250630_1259onn4i.jpeg", "SIG-20250630_1259onn4i.jpeg")</f>
        <v>SIG-20250630_1259onn4i.jpeg</v>
      </c>
      <c r="AV135" s="3" t="str">
        <f>HYPERLINK("https://www.google.com/maps/place/8.662992%2C-12.2063411", "8.662992,-12.2063411")</f>
        <v>8.662992,-12.2063411</v>
      </c>
    </row>
    <row r="136" ht="15.75" customHeight="1">
      <c r="A136" s="1" t="s">
        <v>857</v>
      </c>
      <c r="B136" s="1" t="s">
        <v>98</v>
      </c>
      <c r="C136" s="1" t="s">
        <v>858</v>
      </c>
      <c r="D136" s="1" t="s">
        <v>858</v>
      </c>
      <c r="E136" s="1" t="s">
        <v>859</v>
      </c>
      <c r="F136" s="1" t="s">
        <v>50</v>
      </c>
      <c r="G136" s="1">
        <v>100.0</v>
      </c>
      <c r="H136" s="1" t="s">
        <v>51</v>
      </c>
      <c r="I136" s="1">
        <v>42.0</v>
      </c>
      <c r="J136" s="1">
        <v>20.0</v>
      </c>
      <c r="K136" s="1">
        <v>13.0</v>
      </c>
      <c r="L136" s="1">
        <v>22.0</v>
      </c>
      <c r="M136" s="1">
        <v>11.0</v>
      </c>
      <c r="N136" s="1" t="s">
        <v>52</v>
      </c>
      <c r="O136" s="1">
        <v>45.0</v>
      </c>
      <c r="P136" s="1">
        <v>26.0</v>
      </c>
      <c r="Q136" s="1">
        <v>11.0</v>
      </c>
      <c r="R136" s="1">
        <v>19.0</v>
      </c>
      <c r="S136" s="1">
        <v>8.0</v>
      </c>
      <c r="T136" s="1" t="s">
        <v>53</v>
      </c>
      <c r="U136" s="1">
        <v>48.0</v>
      </c>
      <c r="V136" s="1">
        <v>20.0</v>
      </c>
      <c r="W136" s="1">
        <v>5.0</v>
      </c>
      <c r="X136" s="1">
        <v>28.0</v>
      </c>
      <c r="Y136" s="1">
        <v>16.0</v>
      </c>
      <c r="Z136" s="1" t="s">
        <v>54</v>
      </c>
      <c r="AA136" s="1">
        <v>23.0</v>
      </c>
      <c r="AB136" s="1">
        <v>13.0</v>
      </c>
      <c r="AC136" s="1">
        <v>12.0</v>
      </c>
      <c r="AD136" s="1">
        <v>10.0</v>
      </c>
      <c r="AE136" s="1">
        <v>9.0</v>
      </c>
      <c r="AF136" s="1" t="s">
        <v>56</v>
      </c>
      <c r="AG136" s="1">
        <v>22.0</v>
      </c>
      <c r="AH136" s="1">
        <v>12.0</v>
      </c>
      <c r="AI136" s="1">
        <v>5.0</v>
      </c>
      <c r="AJ136" s="1">
        <v>10.0</v>
      </c>
      <c r="AK136" s="1">
        <v>6.0</v>
      </c>
      <c r="AL136" s="1">
        <v>96.0</v>
      </c>
      <c r="AM136" s="1" t="s">
        <v>55</v>
      </c>
      <c r="AN136" s="1">
        <v>4.0</v>
      </c>
      <c r="AO136" s="1" t="s">
        <v>55</v>
      </c>
      <c r="AP136" s="1" t="s">
        <v>860</v>
      </c>
      <c r="AQ136" s="3" t="str">
        <f>HYPERLINK("https://icf.clappia.com/app/GMB253374/submission/MVD58319835/ICF247370-GMB253374-1532oe9h88bjm0000000/SIG-20250630_125245b06.jpeg", "SIG-20250630_125245b06.jpeg")</f>
        <v>SIG-20250630_125245b06.jpeg</v>
      </c>
      <c r="AR136" s="1" t="s">
        <v>861</v>
      </c>
      <c r="AS136" s="3" t="str">
        <f>HYPERLINK("https://icf.clappia.com/app/GMB253374/submission/MVD58319835/ICF247370-GMB253374-214jc2h7d22jg0000000/SIG-20250630_1254f7n7i.jpeg", "SIG-20250630_1254f7n7i.jpeg")</f>
        <v>SIG-20250630_1254f7n7i.jpeg</v>
      </c>
      <c r="AT136" s="1" t="s">
        <v>862</v>
      </c>
      <c r="AU136" s="3" t="str">
        <f>HYPERLINK("https://icf.clappia.com/app/GMB253374/submission/MVD58319835/ICF247370-GMB253374-57a28g6kn55a00000000/SIG-20250630_1256178am.jpeg", "SIG-20250630_1256178am.jpeg")</f>
        <v>SIG-20250630_1256178am.jpeg</v>
      </c>
      <c r="AV136" s="3" t="str">
        <f>HYPERLINK("https://www.google.com/maps/place/7.9344661%2C-11.7344097", "7.9344661,-11.7344097")</f>
        <v>7.9344661,-11.7344097</v>
      </c>
    </row>
    <row r="137" ht="15.75" customHeight="1">
      <c r="A137" s="1" t="s">
        <v>863</v>
      </c>
      <c r="B137" s="1" t="s">
        <v>207</v>
      </c>
      <c r="C137" s="1" t="s">
        <v>858</v>
      </c>
      <c r="D137" s="1" t="s">
        <v>858</v>
      </c>
      <c r="E137" s="1" t="s">
        <v>864</v>
      </c>
      <c r="F137" s="1" t="s">
        <v>50</v>
      </c>
      <c r="G137" s="1">
        <v>230.0</v>
      </c>
      <c r="H137" s="1" t="s">
        <v>51</v>
      </c>
      <c r="I137" s="1">
        <v>59.0</v>
      </c>
      <c r="J137" s="1">
        <v>27.0</v>
      </c>
      <c r="K137" s="1">
        <v>27.0</v>
      </c>
      <c r="L137" s="1">
        <v>32.0</v>
      </c>
      <c r="M137" s="1">
        <v>32.0</v>
      </c>
      <c r="N137" s="1" t="s">
        <v>52</v>
      </c>
      <c r="O137" s="1">
        <v>45.0</v>
      </c>
      <c r="P137" s="1">
        <v>20.0</v>
      </c>
      <c r="Q137" s="1">
        <v>20.0</v>
      </c>
      <c r="R137" s="1">
        <v>25.0</v>
      </c>
      <c r="S137" s="1">
        <v>25.0</v>
      </c>
      <c r="T137" s="1" t="s">
        <v>53</v>
      </c>
      <c r="U137" s="1">
        <v>57.0</v>
      </c>
      <c r="V137" s="1">
        <v>28.0</v>
      </c>
      <c r="W137" s="1">
        <v>28.0</v>
      </c>
      <c r="X137" s="1">
        <v>29.0</v>
      </c>
      <c r="Y137" s="1">
        <v>29.0</v>
      </c>
      <c r="Z137" s="1" t="s">
        <v>54</v>
      </c>
      <c r="AA137" s="1">
        <v>48.0</v>
      </c>
      <c r="AB137" s="1">
        <v>29.0</v>
      </c>
      <c r="AC137" s="1">
        <v>29.0</v>
      </c>
      <c r="AD137" s="1">
        <v>19.0</v>
      </c>
      <c r="AE137" s="1">
        <v>19.0</v>
      </c>
      <c r="AF137" s="1" t="s">
        <v>56</v>
      </c>
      <c r="AG137" s="1">
        <v>21.0</v>
      </c>
      <c r="AH137" s="1">
        <v>12.0</v>
      </c>
      <c r="AI137" s="1">
        <v>12.0</v>
      </c>
      <c r="AJ137" s="1">
        <v>9.0</v>
      </c>
      <c r="AK137" s="1">
        <v>9.0</v>
      </c>
      <c r="AL137" s="1">
        <v>230.0</v>
      </c>
      <c r="AM137" s="1" t="s">
        <v>55</v>
      </c>
      <c r="AN137" s="1" t="s">
        <v>55</v>
      </c>
      <c r="AO137" s="1" t="s">
        <v>55</v>
      </c>
      <c r="AP137" s="1" t="s">
        <v>865</v>
      </c>
      <c r="AQ137" s="3" t="str">
        <f>HYPERLINK("https://icf.clappia.com/app/GMB253374/submission/KGU46572619/ICF247370-GMB253374-k883ncdb5aac0000000/SIG-20250630_1301k43mc.jpeg", "SIG-20250630_1301k43mc.jpeg")</f>
        <v>SIG-20250630_1301k43mc.jpeg</v>
      </c>
      <c r="AR137" s="1" t="s">
        <v>866</v>
      </c>
      <c r="AS137" s="3" t="str">
        <f>HYPERLINK("https://icf.clappia.com/app/GMB253374/submission/KGU46572619/ICF247370-GMB253374-2h4kknl60f3a00000000/SIG-20250630_130112ljkk.jpeg", "SIG-20250630_130112ljkk.jpeg")</f>
        <v>SIG-20250630_130112ljkk.jpeg</v>
      </c>
      <c r="AT137" s="1" t="s">
        <v>867</v>
      </c>
      <c r="AU137" s="3" t="str">
        <f>HYPERLINK("https://icf.clappia.com/app/GMB253374/submission/KGU46572619/ICF247370-GMB253374-36ok9n0h0g8400000000/SIG-20250630_1300ce4id.jpeg", "SIG-20250630_1300ce4id.jpeg")</f>
        <v>SIG-20250630_1300ce4id.jpeg</v>
      </c>
      <c r="AV137" s="3" t="str">
        <f>HYPERLINK("https://www.google.com/maps/place/7.92454%2C-11.5124683", "7.92454,-11.5124683")</f>
        <v>7.92454,-11.5124683</v>
      </c>
    </row>
    <row r="138" ht="15.75" customHeight="1">
      <c r="A138" s="1" t="s">
        <v>868</v>
      </c>
      <c r="B138" s="1" t="s">
        <v>296</v>
      </c>
      <c r="C138" s="1" t="s">
        <v>869</v>
      </c>
      <c r="D138" s="1" t="s">
        <v>869</v>
      </c>
      <c r="E138" s="1" t="s">
        <v>870</v>
      </c>
      <c r="F138" s="1" t="s">
        <v>50</v>
      </c>
      <c r="G138" s="1">
        <v>350.0</v>
      </c>
      <c r="H138" s="1" t="s">
        <v>51</v>
      </c>
      <c r="I138" s="1">
        <v>104.0</v>
      </c>
      <c r="J138" s="1">
        <v>43.0</v>
      </c>
      <c r="K138" s="1">
        <v>42.0</v>
      </c>
      <c r="L138" s="1">
        <v>61.0</v>
      </c>
      <c r="M138" s="1">
        <v>59.0</v>
      </c>
      <c r="N138" s="1" t="s">
        <v>52</v>
      </c>
      <c r="O138" s="1">
        <v>57.0</v>
      </c>
      <c r="P138" s="1">
        <v>32.0</v>
      </c>
      <c r="Q138" s="1">
        <v>31.0</v>
      </c>
      <c r="R138" s="1">
        <v>25.0</v>
      </c>
      <c r="S138" s="1">
        <v>24.0</v>
      </c>
      <c r="T138" s="1" t="s">
        <v>53</v>
      </c>
      <c r="U138" s="1">
        <v>58.0</v>
      </c>
      <c r="V138" s="1">
        <v>30.0</v>
      </c>
      <c r="W138" s="1">
        <v>29.0</v>
      </c>
      <c r="X138" s="1">
        <v>28.0</v>
      </c>
      <c r="Y138" s="1">
        <v>28.0</v>
      </c>
      <c r="Z138" s="1" t="s">
        <v>54</v>
      </c>
      <c r="AA138" s="1">
        <v>50.0</v>
      </c>
      <c r="AB138" s="1">
        <v>24.0</v>
      </c>
      <c r="AC138" s="1">
        <v>24.0</v>
      </c>
      <c r="AD138" s="1">
        <v>26.0</v>
      </c>
      <c r="AE138" s="1">
        <v>25.0</v>
      </c>
      <c r="AF138" s="1" t="s">
        <v>56</v>
      </c>
      <c r="AG138" s="1">
        <v>45.0</v>
      </c>
      <c r="AH138" s="1">
        <v>20.0</v>
      </c>
      <c r="AI138" s="1">
        <v>20.0</v>
      </c>
      <c r="AJ138" s="1">
        <v>25.0</v>
      </c>
      <c r="AK138" s="1">
        <v>25.0</v>
      </c>
      <c r="AL138" s="1">
        <v>307.0</v>
      </c>
      <c r="AM138" s="1">
        <v>7.0</v>
      </c>
      <c r="AN138" s="1">
        <v>36.0</v>
      </c>
      <c r="AO138" s="1">
        <v>36.0</v>
      </c>
      <c r="AP138" s="1" t="s">
        <v>871</v>
      </c>
      <c r="AQ138" s="3" t="str">
        <f>HYPERLINK("https://icf.clappia.com/app/GMB253374/submission/BSC52653994/ICF247370-GMB253374-32haojdi40da00000000/SIG-20250630_1257o38fl.jpeg", "SIG-20250630_1257o38fl.jpeg")</f>
        <v>SIG-20250630_1257o38fl.jpeg</v>
      </c>
      <c r="AR138" s="1" t="s">
        <v>872</v>
      </c>
      <c r="AS138" s="3" t="str">
        <f>HYPERLINK("https://icf.clappia.com/app/GMB253374/submission/BSC52653994/ICF247370-GMB253374-32io3oj45a5m00000000/SIG-20250630_125812b4f0.jpeg", "SIG-20250630_125812b4f0.jpeg")</f>
        <v>SIG-20250630_125812b4f0.jpeg</v>
      </c>
      <c r="AT138" s="1" t="s">
        <v>873</v>
      </c>
      <c r="AU138" s="3" t="str">
        <f>HYPERLINK("https://icf.clappia.com/app/GMB253374/submission/BSC52653994/ICF247370-GMB253374-2n4g7cndcc4o00000000/SIG-20250630_125941d1e.jpeg", "SIG-20250630_125941d1e.jpeg")</f>
        <v>SIG-20250630_125941d1e.jpeg</v>
      </c>
      <c r="AV138" s="3" t="str">
        <f>HYPERLINK("https://www.google.com/maps/place/8.805244%2C-12.0395062", "8.805244,-12.0395062")</f>
        <v>8.805244,-12.0395062</v>
      </c>
    </row>
    <row r="139" ht="15.75" customHeight="1">
      <c r="A139" s="1" t="s">
        <v>874</v>
      </c>
      <c r="B139" s="1" t="s">
        <v>356</v>
      </c>
      <c r="C139" s="1" t="s">
        <v>869</v>
      </c>
      <c r="D139" s="1" t="s">
        <v>869</v>
      </c>
      <c r="E139" s="1" t="s">
        <v>875</v>
      </c>
      <c r="F139" s="1" t="s">
        <v>50</v>
      </c>
      <c r="G139" s="1">
        <v>359.0</v>
      </c>
      <c r="H139" s="1" t="s">
        <v>51</v>
      </c>
      <c r="I139" s="1">
        <v>34.0</v>
      </c>
      <c r="J139" s="1">
        <v>16.0</v>
      </c>
      <c r="K139" s="1">
        <v>16.0</v>
      </c>
      <c r="L139" s="1">
        <v>18.0</v>
      </c>
      <c r="M139" s="1">
        <v>18.0</v>
      </c>
      <c r="N139" s="1" t="s">
        <v>52</v>
      </c>
      <c r="O139" s="1">
        <v>60.0</v>
      </c>
      <c r="P139" s="1">
        <v>32.0</v>
      </c>
      <c r="Q139" s="1">
        <v>32.0</v>
      </c>
      <c r="R139" s="1">
        <v>28.0</v>
      </c>
      <c r="S139" s="1">
        <v>28.0</v>
      </c>
      <c r="T139" s="1" t="s">
        <v>53</v>
      </c>
      <c r="U139" s="1">
        <v>80.0</v>
      </c>
      <c r="V139" s="1">
        <v>36.0</v>
      </c>
      <c r="W139" s="1">
        <v>36.0</v>
      </c>
      <c r="X139" s="1">
        <v>44.0</v>
      </c>
      <c r="Y139" s="1">
        <v>44.0</v>
      </c>
      <c r="Z139" s="1" t="s">
        <v>54</v>
      </c>
      <c r="AA139" s="1">
        <v>61.0</v>
      </c>
      <c r="AB139" s="1">
        <v>28.0</v>
      </c>
      <c r="AC139" s="1">
        <v>28.0</v>
      </c>
      <c r="AD139" s="1">
        <v>33.0</v>
      </c>
      <c r="AE139" s="1">
        <v>33.0</v>
      </c>
      <c r="AF139" s="1" t="s">
        <v>56</v>
      </c>
      <c r="AG139" s="1">
        <v>60.0</v>
      </c>
      <c r="AH139" s="1">
        <v>20.0</v>
      </c>
      <c r="AI139" s="1">
        <v>20.0</v>
      </c>
      <c r="AJ139" s="1">
        <v>40.0</v>
      </c>
      <c r="AK139" s="1">
        <v>40.0</v>
      </c>
      <c r="AL139" s="1">
        <v>295.0</v>
      </c>
      <c r="AM139" s="1" t="s">
        <v>55</v>
      </c>
      <c r="AN139" s="1">
        <v>64.0</v>
      </c>
      <c r="AO139" s="1">
        <v>64.0</v>
      </c>
      <c r="AP139" s="1" t="s">
        <v>876</v>
      </c>
      <c r="AQ139" s="3" t="str">
        <f>HYPERLINK("https://icf.clappia.com/app/GMB253374/submission/TBN19221599/ICF247370-GMB253374-11l3125h698cg0000000/SIG-20250630_1255gjo47.jpeg", "SIG-20250630_1255gjo47.jpeg")</f>
        <v>SIG-20250630_1255gjo47.jpeg</v>
      </c>
      <c r="AR139" s="1" t="s">
        <v>877</v>
      </c>
      <c r="AS139" s="3" t="str">
        <f>HYPERLINK("https://icf.clappia.com/app/GMB253374/submission/TBN19221599/ICF247370-GMB253374-30l8d9kj7a6m00000000/SIG-20250630_1256gom61.jpeg", "SIG-20250630_1256gom61.jpeg")</f>
        <v>SIG-20250630_1256gom61.jpeg</v>
      </c>
      <c r="AT139" s="1" t="s">
        <v>878</v>
      </c>
      <c r="AU139" s="3" t="str">
        <f>HYPERLINK("https://icf.clappia.com/app/GMB253374/submission/TBN19221599/ICF247370-GMB253374-np8n4ho84gj80000000/SIG-20250630_1257ad6j5.jpeg", "SIG-20250630_1257ad6j5.jpeg")</f>
        <v>SIG-20250630_1257ad6j5.jpeg</v>
      </c>
      <c r="AV139" s="3" t="str">
        <f>HYPERLINK("https://www.google.com/maps/place/7.6525101%2C-11.9639366", "7.6525101,-11.9639366")</f>
        <v>7.6525101,-11.9639366</v>
      </c>
    </row>
    <row r="140" ht="15.75" customHeight="1">
      <c r="A140" s="1" t="s">
        <v>879</v>
      </c>
      <c r="B140" s="1" t="s">
        <v>98</v>
      </c>
      <c r="C140" s="1" t="s">
        <v>880</v>
      </c>
      <c r="D140" s="1" t="s">
        <v>880</v>
      </c>
      <c r="E140" s="1" t="s">
        <v>881</v>
      </c>
      <c r="F140" s="1" t="s">
        <v>50</v>
      </c>
      <c r="G140" s="1">
        <v>343.0</v>
      </c>
      <c r="H140" s="1" t="s">
        <v>51</v>
      </c>
      <c r="I140" s="1">
        <v>20.0</v>
      </c>
      <c r="J140" s="1" t="s">
        <v>64</v>
      </c>
      <c r="K140" s="1" t="s">
        <v>64</v>
      </c>
      <c r="L140" s="1">
        <v>11.0</v>
      </c>
      <c r="M140" s="1">
        <v>11.0</v>
      </c>
      <c r="N140" s="1" t="s">
        <v>52</v>
      </c>
      <c r="O140" s="1">
        <v>13.0</v>
      </c>
      <c r="P140" s="1">
        <v>5.0</v>
      </c>
      <c r="Q140" s="1">
        <v>5.0</v>
      </c>
      <c r="R140" s="1">
        <v>8.0</v>
      </c>
      <c r="S140" s="1">
        <v>8.0</v>
      </c>
      <c r="T140" s="1" t="s">
        <v>53</v>
      </c>
      <c r="U140" s="1">
        <v>19.0</v>
      </c>
      <c r="V140" s="1">
        <v>13.0</v>
      </c>
      <c r="W140" s="1">
        <v>13.0</v>
      </c>
      <c r="X140" s="1">
        <v>6.0</v>
      </c>
      <c r="Y140" s="1">
        <v>6.0</v>
      </c>
      <c r="Z140" s="1" t="s">
        <v>54</v>
      </c>
      <c r="AA140" s="1">
        <v>9.0</v>
      </c>
      <c r="AB140" s="1">
        <v>5.0</v>
      </c>
      <c r="AC140" s="1">
        <v>5.0</v>
      </c>
      <c r="AD140" s="1">
        <v>4.0</v>
      </c>
      <c r="AE140" s="1">
        <v>4.0</v>
      </c>
      <c r="AF140" s="1" t="s">
        <v>56</v>
      </c>
      <c r="AG140" s="1">
        <v>8.0</v>
      </c>
      <c r="AH140" s="1">
        <v>5.0</v>
      </c>
      <c r="AI140" s="1">
        <v>5.0</v>
      </c>
      <c r="AJ140" s="1">
        <v>3.0</v>
      </c>
      <c r="AK140" s="1">
        <v>3.0</v>
      </c>
      <c r="AL140" s="1">
        <v>69.0</v>
      </c>
      <c r="AM140" s="1">
        <v>9.0</v>
      </c>
      <c r="AN140" s="1">
        <v>265.0</v>
      </c>
      <c r="AO140" s="1">
        <v>187.0</v>
      </c>
      <c r="AP140" s="1" t="s">
        <v>882</v>
      </c>
      <c r="AQ140" s="3" t="str">
        <f>HYPERLINK("https://icf.clappia.com/app/GMB253374/submission/XTK84758885/ICF247370-GMB253374-5389i8974k8600000000/SIG-20250630_125312b1b3.jpeg", "SIG-20250630_125312b1b3.jpeg")</f>
        <v>SIG-20250630_125312b1b3.jpeg</v>
      </c>
      <c r="AR140" s="1" t="s">
        <v>883</v>
      </c>
      <c r="AS140" s="3" t="str">
        <f>HYPERLINK("https://icf.clappia.com/app/GMB253374/submission/XTK84758885/ICF247370-GMB253374-5en35fd8ff2k00000000/SIG-20250630_1254mml1b.jpeg", "SIG-20250630_1254mml1b.jpeg")</f>
        <v>SIG-20250630_1254mml1b.jpeg</v>
      </c>
      <c r="AT140" s="1" t="s">
        <v>884</v>
      </c>
      <c r="AU140" s="3" t="str">
        <f>HYPERLINK("https://icf.clappia.com/app/GMB253374/submission/XTK84758885/ICF247370-GMB253374-51ahmfo683k800000000/SIG-20250630_12564hlna.jpeg", "SIG-20250630_12564hlna.jpeg")</f>
        <v>SIG-20250630_12564hlna.jpeg</v>
      </c>
      <c r="AV140" s="3" t="str">
        <f>HYPERLINK("https://www.google.com/maps/place/7.9349984%2C-11.7368833", "7.9349984,-11.7368833")</f>
        <v>7.9349984,-11.7368833</v>
      </c>
    </row>
    <row r="141" ht="15.75" customHeight="1">
      <c r="A141" s="1" t="s">
        <v>885</v>
      </c>
      <c r="B141" s="1" t="s">
        <v>162</v>
      </c>
      <c r="C141" s="1" t="s">
        <v>880</v>
      </c>
      <c r="D141" s="1" t="s">
        <v>880</v>
      </c>
      <c r="E141" s="1" t="s">
        <v>886</v>
      </c>
      <c r="F141" s="1" t="s">
        <v>50</v>
      </c>
      <c r="G141" s="1">
        <v>150.0</v>
      </c>
      <c r="H141" s="1" t="s">
        <v>51</v>
      </c>
      <c r="I141" s="1">
        <v>59.0</v>
      </c>
      <c r="J141" s="1">
        <v>33.0</v>
      </c>
      <c r="K141" s="1">
        <v>33.0</v>
      </c>
      <c r="L141" s="1">
        <v>26.0</v>
      </c>
      <c r="M141" s="1">
        <v>26.0</v>
      </c>
      <c r="N141" s="1" t="s">
        <v>52</v>
      </c>
      <c r="O141" s="1">
        <v>39.0</v>
      </c>
      <c r="P141" s="1">
        <v>23.0</v>
      </c>
      <c r="Q141" s="1">
        <v>23.0</v>
      </c>
      <c r="R141" s="1">
        <v>16.0</v>
      </c>
      <c r="S141" s="1">
        <v>5.0</v>
      </c>
      <c r="T141" s="1" t="s">
        <v>53</v>
      </c>
      <c r="U141" s="1">
        <v>34.0</v>
      </c>
      <c r="V141" s="1">
        <v>21.0</v>
      </c>
      <c r="W141" s="1">
        <v>10.0</v>
      </c>
      <c r="X141" s="1">
        <v>13.0</v>
      </c>
      <c r="Y141" s="1">
        <v>5.0</v>
      </c>
      <c r="Z141" s="1" t="s">
        <v>54</v>
      </c>
      <c r="AA141" s="1">
        <v>42.0</v>
      </c>
      <c r="AB141" s="1">
        <v>20.0</v>
      </c>
      <c r="AC141" s="1">
        <v>8.0</v>
      </c>
      <c r="AD141" s="1">
        <v>22.0</v>
      </c>
      <c r="AE141" s="1">
        <v>9.0</v>
      </c>
      <c r="AF141" s="1" t="s">
        <v>56</v>
      </c>
      <c r="AG141" s="1">
        <v>36.0</v>
      </c>
      <c r="AH141" s="1">
        <v>19.0</v>
      </c>
      <c r="AI141" s="1">
        <v>17.0</v>
      </c>
      <c r="AJ141" s="1">
        <v>16.0</v>
      </c>
      <c r="AK141" s="1">
        <v>14.0</v>
      </c>
      <c r="AL141" s="1">
        <v>150.0</v>
      </c>
      <c r="AM141" s="1" t="s">
        <v>55</v>
      </c>
      <c r="AN141" s="1" t="s">
        <v>55</v>
      </c>
      <c r="AO141" s="1" t="s">
        <v>55</v>
      </c>
      <c r="AP141" s="1" t="s">
        <v>887</v>
      </c>
      <c r="AQ141" s="3" t="str">
        <f>HYPERLINK("https://icf.clappia.com/app/GMB253374/submission/QZW30658063/ICF247370-GMB253374-cg0n1ja9og9e0000000/SIG-20250630_1251123hdi.jpeg", "SIG-20250630_1251123hdi.jpeg")</f>
        <v>SIG-20250630_1251123hdi.jpeg</v>
      </c>
      <c r="AR141" s="1" t="s">
        <v>888</v>
      </c>
      <c r="AS141" s="3" t="str">
        <f>HYPERLINK("https://icf.clappia.com/app/GMB253374/submission/QZW30658063/ICF247370-GMB253374-1e558gd1i15ci0000000/SIG-20250630_1251181hhb.jpeg", "SIG-20250630_1251181hhb.jpeg")</f>
        <v>SIG-20250630_1251181hhb.jpeg</v>
      </c>
      <c r="AT141" s="1" t="s">
        <v>889</v>
      </c>
      <c r="AU141" s="3" t="str">
        <f>HYPERLINK("https://icf.clappia.com/app/GMB253374/submission/QZW30658063/ICF247370-GMB253374-4bh7i7l2pa9e00000000/SIG-20250630_125215p48k.jpeg", "SIG-20250630_125215p48k.jpeg")</f>
        <v>SIG-20250630_125215p48k.jpeg</v>
      </c>
      <c r="AV141" s="3" t="str">
        <f>HYPERLINK("https://www.google.com/maps/place/8.7352578%2C-11.9521033", "8.7352578,-11.9521033")</f>
        <v>8.7352578,-11.9521033</v>
      </c>
    </row>
    <row r="142" ht="15.75" customHeight="1">
      <c r="A142" s="1" t="s">
        <v>890</v>
      </c>
      <c r="B142" s="1" t="s">
        <v>236</v>
      </c>
      <c r="C142" s="1" t="s">
        <v>891</v>
      </c>
      <c r="D142" s="1" t="s">
        <v>891</v>
      </c>
      <c r="E142" s="1" t="s">
        <v>892</v>
      </c>
      <c r="F142" s="1" t="s">
        <v>50</v>
      </c>
      <c r="G142" s="1">
        <v>350.0</v>
      </c>
      <c r="H142" s="1" t="s">
        <v>51</v>
      </c>
      <c r="I142" s="1">
        <v>60.0</v>
      </c>
      <c r="J142" s="1">
        <v>35.0</v>
      </c>
      <c r="K142" s="1">
        <v>35.0</v>
      </c>
      <c r="L142" s="1">
        <v>25.0</v>
      </c>
      <c r="M142" s="1">
        <v>25.0</v>
      </c>
      <c r="N142" s="1" t="s">
        <v>52</v>
      </c>
      <c r="O142" s="1">
        <v>70.0</v>
      </c>
      <c r="P142" s="1">
        <v>40.0</v>
      </c>
      <c r="Q142" s="1">
        <v>40.0</v>
      </c>
      <c r="R142" s="1">
        <v>30.0</v>
      </c>
      <c r="S142" s="1">
        <v>30.0</v>
      </c>
      <c r="T142" s="1" t="s">
        <v>53</v>
      </c>
      <c r="U142" s="1">
        <v>45.0</v>
      </c>
      <c r="V142" s="1">
        <v>20.0</v>
      </c>
      <c r="W142" s="1">
        <v>20.0</v>
      </c>
      <c r="X142" s="1">
        <v>25.0</v>
      </c>
      <c r="Y142" s="1">
        <v>25.0</v>
      </c>
      <c r="Z142" s="1" t="s">
        <v>54</v>
      </c>
      <c r="AA142" s="1">
        <v>72.0</v>
      </c>
      <c r="AB142" s="1">
        <v>42.0</v>
      </c>
      <c r="AC142" s="1">
        <v>42.0</v>
      </c>
      <c r="AD142" s="1">
        <v>30.0</v>
      </c>
      <c r="AE142" s="1">
        <v>30.0</v>
      </c>
      <c r="AF142" s="1" t="s">
        <v>56</v>
      </c>
      <c r="AG142" s="1">
        <v>82.0</v>
      </c>
      <c r="AH142" s="1">
        <v>52.0</v>
      </c>
      <c r="AI142" s="1">
        <v>52.0</v>
      </c>
      <c r="AJ142" s="1">
        <v>30.0</v>
      </c>
      <c r="AK142" s="1">
        <v>30.0</v>
      </c>
      <c r="AL142" s="1">
        <v>329.0</v>
      </c>
      <c r="AM142" s="1" t="s">
        <v>55</v>
      </c>
      <c r="AN142" s="1">
        <v>21.0</v>
      </c>
      <c r="AO142" s="1">
        <v>21.0</v>
      </c>
      <c r="AP142" s="1" t="s">
        <v>893</v>
      </c>
      <c r="AQ142" s="3" t="str">
        <f>HYPERLINK("https://icf.clappia.com/app/GMB253374/submission/IDX95905470/ICF247370-GMB253374-jfne3nogm71i0000000/SIG-20250630_122713h8jl.jpeg", "SIG-20250630_122713h8jl.jpeg")</f>
        <v>SIG-20250630_122713h8jl.jpeg</v>
      </c>
      <c r="AR142" s="1" t="s">
        <v>894</v>
      </c>
      <c r="AS142" s="3" t="str">
        <f>HYPERLINK("https://icf.clappia.com/app/GMB253374/submission/IDX95905470/ICF247370-GMB253374-600bk2cj1be200000000/SIG-20250630_12401a1bid.jpeg", "SIG-20250630_12401a1bid.jpeg")</f>
        <v>SIG-20250630_12401a1bid.jpeg</v>
      </c>
      <c r="AT142" s="1" t="s">
        <v>895</v>
      </c>
      <c r="AU142" s="3" t="str">
        <f>HYPERLINK("https://icf.clappia.com/app/GMB253374/submission/IDX95905470/ICF247370-GMB253374-1elfil91dc3eo0000000/SIG-20250630_1246oe2m3.jpeg", "SIG-20250630_1246oe2m3.jpeg")</f>
        <v>SIG-20250630_1246oe2m3.jpeg</v>
      </c>
      <c r="AV142" s="3" t="str">
        <f>HYPERLINK("https://www.google.com/maps/place/7.8852287%2C-11.785319", "7.8852287,-11.785319")</f>
        <v>7.8852287,-11.785319</v>
      </c>
    </row>
    <row r="143" ht="15.75" customHeight="1">
      <c r="A143" s="1" t="s">
        <v>896</v>
      </c>
      <c r="B143" s="1" t="s">
        <v>207</v>
      </c>
      <c r="C143" s="1" t="s">
        <v>891</v>
      </c>
      <c r="D143" s="1" t="s">
        <v>891</v>
      </c>
      <c r="E143" s="1" t="s">
        <v>897</v>
      </c>
      <c r="F143" s="1" t="s">
        <v>50</v>
      </c>
      <c r="G143" s="1">
        <v>118.0</v>
      </c>
      <c r="H143" s="1" t="s">
        <v>51</v>
      </c>
      <c r="I143" s="1" t="s">
        <v>55</v>
      </c>
      <c r="J143" s="1" t="s">
        <v>55</v>
      </c>
      <c r="K143" s="1" t="s">
        <v>55</v>
      </c>
      <c r="L143" s="1" t="s">
        <v>55</v>
      </c>
      <c r="M143" s="1" t="s">
        <v>55</v>
      </c>
      <c r="N143" s="1" t="s">
        <v>52</v>
      </c>
      <c r="O143" s="1" t="s">
        <v>55</v>
      </c>
      <c r="P143" s="1" t="s">
        <v>55</v>
      </c>
      <c r="Q143" s="1" t="s">
        <v>55</v>
      </c>
      <c r="R143" s="1" t="s">
        <v>55</v>
      </c>
      <c r="S143" s="1" t="s">
        <v>55</v>
      </c>
      <c r="T143" s="1" t="s">
        <v>53</v>
      </c>
      <c r="U143" s="1" t="s">
        <v>55</v>
      </c>
      <c r="V143" s="1" t="s">
        <v>55</v>
      </c>
      <c r="W143" s="1" t="s">
        <v>55</v>
      </c>
      <c r="X143" s="1" t="s">
        <v>55</v>
      </c>
      <c r="Y143" s="1" t="s">
        <v>55</v>
      </c>
      <c r="Z143" s="1" t="s">
        <v>54</v>
      </c>
      <c r="AA143" s="1">
        <v>68.0</v>
      </c>
      <c r="AB143" s="1">
        <v>30.0</v>
      </c>
      <c r="AC143" s="1">
        <v>30.0</v>
      </c>
      <c r="AD143" s="1">
        <v>38.0</v>
      </c>
      <c r="AE143" s="1">
        <v>38.0</v>
      </c>
      <c r="AF143" s="1" t="s">
        <v>56</v>
      </c>
      <c r="AG143" s="1">
        <v>50.0</v>
      </c>
      <c r="AH143" s="1">
        <v>30.0</v>
      </c>
      <c r="AI143" s="1">
        <v>30.0</v>
      </c>
      <c r="AJ143" s="1">
        <v>20.0</v>
      </c>
      <c r="AK143" s="1">
        <v>20.0</v>
      </c>
      <c r="AL143" s="1">
        <v>118.0</v>
      </c>
      <c r="AM143" s="1" t="s">
        <v>55</v>
      </c>
      <c r="AN143" s="1" t="s">
        <v>55</v>
      </c>
      <c r="AO143" s="1" t="s">
        <v>55</v>
      </c>
      <c r="AP143" s="1" t="s">
        <v>898</v>
      </c>
      <c r="AQ143" s="3" t="str">
        <f>HYPERLINK("https://icf.clappia.com/app/GMB253374/submission/OVX58241833/ICF247370-GMB253374-1ji72e8ihb7ao0000000/SIG-20250630_125618c23p.jpeg", "SIG-20250630_125618c23p.jpeg")</f>
        <v>SIG-20250630_125618c23p.jpeg</v>
      </c>
      <c r="AR143" s="1" t="s">
        <v>899</v>
      </c>
      <c r="AS143" s="3" t="str">
        <f>HYPERLINK("https://icf.clappia.com/app/GMB253374/submission/OVX58241833/ICF247370-GMB253374-joffh4g3l8he0000000/SIG-20250630_1238107240.jpeg", "SIG-20250630_1238107240.jpeg")</f>
        <v>SIG-20250630_1238107240.jpeg</v>
      </c>
      <c r="AT143" s="1" t="s">
        <v>900</v>
      </c>
      <c r="AU143" s="3" t="str">
        <f>HYPERLINK("https://icf.clappia.com/app/GMB253374/submission/OVX58241833/ICF247370-GMB253374-643g77cmb12000000000/SIG-20250630_1239158ne4.jpeg", "SIG-20250630_1239158ne4.jpeg")</f>
        <v>SIG-20250630_1239158ne4.jpeg</v>
      </c>
      <c r="AV143" s="3" t="str">
        <f>HYPERLINK("https://www.google.com/maps/place/7.9282901%2C-11.4415451", "7.9282901,-11.4415451")</f>
        <v>7.9282901,-11.4415451</v>
      </c>
    </row>
    <row r="144" ht="15.75" customHeight="1">
      <c r="A144" s="1" t="s">
        <v>901</v>
      </c>
      <c r="B144" s="1" t="s">
        <v>162</v>
      </c>
      <c r="C144" s="1" t="s">
        <v>902</v>
      </c>
      <c r="D144" s="1" t="s">
        <v>902</v>
      </c>
      <c r="E144" s="1" t="s">
        <v>903</v>
      </c>
      <c r="F144" s="1" t="s">
        <v>121</v>
      </c>
      <c r="G144" s="1">
        <v>250.0</v>
      </c>
      <c r="H144" s="1" t="s">
        <v>51</v>
      </c>
      <c r="I144" s="1">
        <v>16.0</v>
      </c>
      <c r="J144" s="1">
        <v>8.0</v>
      </c>
      <c r="K144" s="1">
        <v>6.0</v>
      </c>
      <c r="L144" s="1">
        <v>8.0</v>
      </c>
      <c r="M144" s="1">
        <v>7.0</v>
      </c>
      <c r="N144" s="1" t="s">
        <v>52</v>
      </c>
      <c r="O144" s="1">
        <v>23.0</v>
      </c>
      <c r="P144" s="1">
        <v>10.0</v>
      </c>
      <c r="Q144" s="1">
        <v>8.0</v>
      </c>
      <c r="R144" s="1">
        <v>13.0</v>
      </c>
      <c r="S144" s="1">
        <v>11.0</v>
      </c>
      <c r="T144" s="1" t="s">
        <v>53</v>
      </c>
      <c r="U144" s="1">
        <v>25.0</v>
      </c>
      <c r="V144" s="1">
        <v>10.0</v>
      </c>
      <c r="W144" s="1">
        <v>9.0</v>
      </c>
      <c r="X144" s="1">
        <v>15.0</v>
      </c>
      <c r="Y144" s="1">
        <v>13.0</v>
      </c>
      <c r="Z144" s="1" t="s">
        <v>54</v>
      </c>
      <c r="AA144" s="1">
        <v>22.0</v>
      </c>
      <c r="AB144" s="1">
        <v>10.0</v>
      </c>
      <c r="AC144" s="1">
        <v>10.0</v>
      </c>
      <c r="AD144" s="1">
        <v>12.0</v>
      </c>
      <c r="AE144" s="1">
        <v>12.0</v>
      </c>
      <c r="AF144" s="1" t="s">
        <v>56</v>
      </c>
      <c r="AG144" s="1">
        <v>24.0</v>
      </c>
      <c r="AH144" s="1">
        <v>12.0</v>
      </c>
      <c r="AI144" s="1">
        <v>12.0</v>
      </c>
      <c r="AJ144" s="1">
        <v>12.0</v>
      </c>
      <c r="AK144" s="1">
        <v>12.0</v>
      </c>
      <c r="AL144" s="1">
        <v>100.0</v>
      </c>
      <c r="AM144" s="1">
        <v>10.0</v>
      </c>
      <c r="AN144" s="1">
        <v>140.0</v>
      </c>
      <c r="AO144" s="1">
        <v>140.0</v>
      </c>
      <c r="AP144" s="1" t="s">
        <v>904</v>
      </c>
      <c r="AQ144" s="3" t="str">
        <f>HYPERLINK("https://icf.clappia.com/app/GMB253374/submission/SSQ62048656/ICF247370-GMB253374-3iofi49m3f0c00000000/SIG-20250630_1223eokaf.jpeg", "SIG-20250630_1223eokaf.jpeg")</f>
        <v>SIG-20250630_1223eokaf.jpeg</v>
      </c>
      <c r="AR144" s="1" t="s">
        <v>905</v>
      </c>
      <c r="AS144" s="3" t="str">
        <f>HYPERLINK("https://icf.clappia.com/app/GMB253374/submission/SSQ62048656/ICF247370-GMB253374-1f5e5mc577l680000000/SIG-20250630_12543ke1g.jpeg", "SIG-20250630_12543ke1g.jpeg")</f>
        <v>SIG-20250630_12543ke1g.jpeg</v>
      </c>
      <c r="AT144" s="1" t="s">
        <v>906</v>
      </c>
      <c r="AU144" s="3" t="str">
        <f>HYPERLINK("https://icf.clappia.com/app/GMB253374/submission/SSQ62048656/ICF247370-GMB253374-5o5032d7beek00000000/SIG-20250630_123184f00.jpeg", "SIG-20250630_123184f00.jpeg")</f>
        <v>SIG-20250630_123184f00.jpeg</v>
      </c>
      <c r="AV144" s="3" t="str">
        <f>HYPERLINK("https://www.google.com/maps/place/8.88302%2C-12.0524038", "8.88302,-12.0524038")</f>
        <v>8.88302,-12.0524038</v>
      </c>
    </row>
    <row r="145" ht="15.75" customHeight="1">
      <c r="A145" s="1" t="s">
        <v>907</v>
      </c>
      <c r="B145" s="1" t="s">
        <v>450</v>
      </c>
      <c r="C145" s="1" t="s">
        <v>908</v>
      </c>
      <c r="D145" s="1" t="s">
        <v>908</v>
      </c>
      <c r="E145" s="1" t="s">
        <v>909</v>
      </c>
      <c r="F145" s="1" t="s">
        <v>50</v>
      </c>
      <c r="G145" s="1">
        <v>200.0</v>
      </c>
      <c r="H145" s="1" t="s">
        <v>51</v>
      </c>
      <c r="I145" s="1">
        <v>48.0</v>
      </c>
      <c r="J145" s="1">
        <v>25.0</v>
      </c>
      <c r="K145" s="1">
        <v>20.0</v>
      </c>
      <c r="L145" s="1">
        <v>23.0</v>
      </c>
      <c r="M145" s="1">
        <v>18.0</v>
      </c>
      <c r="N145" s="1" t="s">
        <v>52</v>
      </c>
      <c r="O145" s="1">
        <v>42.0</v>
      </c>
      <c r="P145" s="1">
        <v>20.0</v>
      </c>
      <c r="Q145" s="1">
        <v>18.0</v>
      </c>
      <c r="R145" s="1">
        <v>22.0</v>
      </c>
      <c r="S145" s="1">
        <v>20.0</v>
      </c>
      <c r="T145" s="1" t="s">
        <v>53</v>
      </c>
      <c r="U145" s="1">
        <v>63.0</v>
      </c>
      <c r="V145" s="1">
        <v>30.0</v>
      </c>
      <c r="W145" s="1">
        <v>26.0</v>
      </c>
      <c r="X145" s="1">
        <v>33.0</v>
      </c>
      <c r="Y145" s="1">
        <v>28.0</v>
      </c>
      <c r="Z145" s="1" t="s">
        <v>54</v>
      </c>
      <c r="AA145" s="1">
        <v>49.0</v>
      </c>
      <c r="AB145" s="1">
        <v>31.0</v>
      </c>
      <c r="AC145" s="1">
        <v>26.0</v>
      </c>
      <c r="AD145" s="1">
        <v>18.0</v>
      </c>
      <c r="AE145" s="1">
        <v>14.0</v>
      </c>
      <c r="AF145" s="1" t="s">
        <v>56</v>
      </c>
      <c r="AG145" s="1">
        <v>34.0</v>
      </c>
      <c r="AH145" s="1">
        <v>14.0</v>
      </c>
      <c r="AI145" s="1">
        <v>13.0</v>
      </c>
      <c r="AJ145" s="1">
        <v>20.0</v>
      </c>
      <c r="AK145" s="1">
        <v>13.0</v>
      </c>
      <c r="AL145" s="1">
        <v>196.0</v>
      </c>
      <c r="AM145" s="1" t="s">
        <v>55</v>
      </c>
      <c r="AN145" s="1">
        <v>4.0</v>
      </c>
      <c r="AO145" s="1">
        <v>4.0</v>
      </c>
      <c r="AP145" s="1" t="s">
        <v>910</v>
      </c>
      <c r="AQ145" s="3" t="str">
        <f>HYPERLINK("https://icf.clappia.com/app/GMB253374/submission/UYN84044846/ICF247370-GMB253374-4oiiojlegn2m00000000/SIG-20250630_1252aiiid.jpeg", "SIG-20250630_1252aiiid.jpeg")</f>
        <v>SIG-20250630_1252aiiid.jpeg</v>
      </c>
      <c r="AR145" s="1" t="s">
        <v>911</v>
      </c>
      <c r="AS145" s="3" t="str">
        <f>HYPERLINK("https://icf.clappia.com/app/GMB253374/submission/UYN84044846/ICF247370-GMB253374-3k2hki216hn400000000/SIG-20250630_1253l70o.jpeg", "SIG-20250630_1253l70o.jpeg")</f>
        <v>SIG-20250630_1253l70o.jpeg</v>
      </c>
      <c r="AT145" s="1" t="s">
        <v>912</v>
      </c>
      <c r="AU145" s="3" t="str">
        <f>HYPERLINK("https://icf.clappia.com/app/GMB253374/submission/UYN84044846/ICF247370-GMB253374-52ne5hadh46c00000000/SIG-20250630_125319f7ne.jpeg", "SIG-20250630_125319f7ne.jpeg")</f>
        <v>SIG-20250630_125319f7ne.jpeg</v>
      </c>
      <c r="AV145" s="3" t="str">
        <f>HYPERLINK("https://www.google.com/maps/place/9.1065167%2C-12.2079283", "9.1065167,-12.2079283")</f>
        <v>9.1065167,-12.2079283</v>
      </c>
    </row>
    <row r="146" ht="15.75" customHeight="1">
      <c r="A146" s="1" t="s">
        <v>913</v>
      </c>
      <c r="B146" s="1" t="s">
        <v>296</v>
      </c>
      <c r="C146" s="1" t="s">
        <v>914</v>
      </c>
      <c r="D146" s="1" t="s">
        <v>914</v>
      </c>
      <c r="E146" s="1" t="s">
        <v>915</v>
      </c>
      <c r="F146" s="1" t="s">
        <v>50</v>
      </c>
      <c r="G146" s="1">
        <v>300.0</v>
      </c>
      <c r="H146" s="1" t="s">
        <v>51</v>
      </c>
      <c r="I146" s="1">
        <v>90.0</v>
      </c>
      <c r="J146" s="1">
        <v>50.0</v>
      </c>
      <c r="K146" s="1">
        <v>50.0</v>
      </c>
      <c r="L146" s="1">
        <v>40.0</v>
      </c>
      <c r="M146" s="1">
        <v>40.0</v>
      </c>
      <c r="N146" s="1" t="s">
        <v>52</v>
      </c>
      <c r="O146" s="1">
        <v>45.0</v>
      </c>
      <c r="P146" s="1">
        <v>20.0</v>
      </c>
      <c r="Q146" s="1">
        <v>20.0</v>
      </c>
      <c r="R146" s="1">
        <v>25.0</v>
      </c>
      <c r="S146" s="1">
        <v>25.0</v>
      </c>
      <c r="T146" s="1" t="s">
        <v>53</v>
      </c>
      <c r="U146" s="1">
        <v>59.0</v>
      </c>
      <c r="V146" s="1">
        <v>29.0</v>
      </c>
      <c r="W146" s="1">
        <v>29.0</v>
      </c>
      <c r="X146" s="1">
        <v>30.0</v>
      </c>
      <c r="Y146" s="1">
        <v>30.0</v>
      </c>
      <c r="Z146" s="1" t="s">
        <v>54</v>
      </c>
      <c r="AA146" s="1">
        <v>56.0</v>
      </c>
      <c r="AB146" s="1">
        <v>27.0</v>
      </c>
      <c r="AC146" s="1">
        <v>27.0</v>
      </c>
      <c r="AD146" s="1">
        <v>29.0</v>
      </c>
      <c r="AE146" s="1">
        <v>29.0</v>
      </c>
      <c r="AF146" s="1" t="s">
        <v>56</v>
      </c>
      <c r="AG146" s="1">
        <v>47.0</v>
      </c>
      <c r="AH146" s="1">
        <v>26.0</v>
      </c>
      <c r="AI146" s="1">
        <v>26.0</v>
      </c>
      <c r="AJ146" s="1">
        <v>21.0</v>
      </c>
      <c r="AK146" s="1">
        <v>21.0</v>
      </c>
      <c r="AL146" s="1">
        <v>297.0</v>
      </c>
      <c r="AM146" s="1" t="s">
        <v>55</v>
      </c>
      <c r="AN146" s="1">
        <v>3.0</v>
      </c>
      <c r="AO146" s="1">
        <v>3.0</v>
      </c>
      <c r="AP146" s="1" t="s">
        <v>916</v>
      </c>
      <c r="AQ146" s="3" t="str">
        <f>HYPERLINK("https://icf.clappia.com/app/GMB253374/submission/QXL23486274/ICF247370-GMB253374-23c18c601m1600000000/SIG-20250630_1247mag6l.jpeg", "SIG-20250630_1247mag6l.jpeg")</f>
        <v>SIG-20250630_1247mag6l.jpeg</v>
      </c>
      <c r="AR146" s="1" t="s">
        <v>917</v>
      </c>
      <c r="AS146" s="3" t="str">
        <f>HYPERLINK("https://icf.clappia.com/app/GMB253374/submission/QXL23486274/ICF247370-GMB253374-1m8mg2a0k4k320000000/SIG-20250630_124919on30.jpeg", "SIG-20250630_124919on30.jpeg")</f>
        <v>SIG-20250630_124919on30.jpeg</v>
      </c>
      <c r="AT146" s="1" t="s">
        <v>918</v>
      </c>
      <c r="AU146" s="3" t="str">
        <f>HYPERLINK("https://icf.clappia.com/app/GMB253374/submission/QXL23486274/ICF247370-GMB253374-30aih899c1g600000000/SIG-20250630_1251hd8op.jpeg", "SIG-20250630_1251hd8op.jpeg")</f>
        <v>SIG-20250630_1251hd8op.jpeg</v>
      </c>
      <c r="AV146" s="3" t="str">
        <f>HYPERLINK("https://www.google.com/maps/place/8.7924683%2C-12.0593633", "8.7924683,-12.0593633")</f>
        <v>8.7924683,-12.0593633</v>
      </c>
    </row>
    <row r="147" ht="15.75" customHeight="1">
      <c r="A147" s="1" t="s">
        <v>919</v>
      </c>
      <c r="B147" s="1" t="s">
        <v>162</v>
      </c>
      <c r="C147" s="1" t="s">
        <v>914</v>
      </c>
      <c r="D147" s="1" t="s">
        <v>914</v>
      </c>
      <c r="E147" s="1" t="s">
        <v>920</v>
      </c>
      <c r="F147" s="1" t="s">
        <v>50</v>
      </c>
      <c r="G147" s="1">
        <v>316.0</v>
      </c>
      <c r="H147" s="1" t="s">
        <v>51</v>
      </c>
      <c r="I147" s="1">
        <v>119.0</v>
      </c>
      <c r="J147" s="1">
        <v>60.0</v>
      </c>
      <c r="K147" s="1">
        <v>60.0</v>
      </c>
      <c r="L147" s="1">
        <v>59.0</v>
      </c>
      <c r="M147" s="1">
        <v>59.0</v>
      </c>
      <c r="N147" s="1" t="s">
        <v>52</v>
      </c>
      <c r="O147" s="1">
        <v>40.0</v>
      </c>
      <c r="P147" s="1">
        <v>18.0</v>
      </c>
      <c r="Q147" s="1">
        <v>18.0</v>
      </c>
      <c r="R147" s="1">
        <v>22.0</v>
      </c>
      <c r="S147" s="1">
        <v>22.0</v>
      </c>
      <c r="T147" s="1" t="s">
        <v>53</v>
      </c>
      <c r="U147" s="1">
        <v>49.0</v>
      </c>
      <c r="V147" s="1">
        <v>24.0</v>
      </c>
      <c r="W147" s="1">
        <v>24.0</v>
      </c>
      <c r="X147" s="1">
        <v>25.0</v>
      </c>
      <c r="Y147" s="1">
        <v>25.0</v>
      </c>
      <c r="Z147" s="1" t="s">
        <v>54</v>
      </c>
      <c r="AA147" s="1">
        <v>39.0</v>
      </c>
      <c r="AB147" s="1">
        <v>19.0</v>
      </c>
      <c r="AC147" s="1">
        <v>19.0</v>
      </c>
      <c r="AD147" s="1">
        <v>20.0</v>
      </c>
      <c r="AE147" s="1">
        <v>20.0</v>
      </c>
      <c r="AF147" s="1" t="s">
        <v>56</v>
      </c>
      <c r="AG147" s="1">
        <v>69.0</v>
      </c>
      <c r="AH147" s="1">
        <v>36.0</v>
      </c>
      <c r="AI147" s="1">
        <v>36.0</v>
      </c>
      <c r="AJ147" s="1">
        <v>33.0</v>
      </c>
      <c r="AK147" s="1">
        <v>33.0</v>
      </c>
      <c r="AL147" s="1">
        <v>316.0</v>
      </c>
      <c r="AM147" s="1" t="s">
        <v>55</v>
      </c>
      <c r="AN147" s="1" t="s">
        <v>55</v>
      </c>
      <c r="AO147" s="1" t="s">
        <v>55</v>
      </c>
      <c r="AP147" s="1" t="s">
        <v>921</v>
      </c>
      <c r="AQ147" s="3" t="str">
        <f>HYPERLINK("https://icf.clappia.com/app/GMB253374/submission/YZJ00603504/ICF247370-GMB253374-20i94n04ae4ic0000000/SIG-20250630_12495hde0.jpeg", "SIG-20250630_12495hde0.jpeg")</f>
        <v>SIG-20250630_12495hde0.jpeg</v>
      </c>
      <c r="AR147" s="1" t="s">
        <v>922</v>
      </c>
      <c r="AS147" s="3" t="str">
        <f>HYPERLINK("https://icf.clappia.com/app/GMB253374/submission/YZJ00603504/ICF247370-GMB253374-49m6hoo7mb8m00000000/SIG-20250630_12502ai5l.jpeg", "SIG-20250630_12502ai5l.jpeg")</f>
        <v>SIG-20250630_12502ai5l.jpeg</v>
      </c>
      <c r="AT147" s="1" t="s">
        <v>923</v>
      </c>
      <c r="AU147" s="3" t="str">
        <f>HYPERLINK("https://icf.clappia.com/app/GMB253374/submission/YZJ00603504/ICF247370-GMB253374-93l2opap8dhe0000000/SIG-20250630_1250a8729.jpeg", "SIG-20250630_1250a8729.jpeg")</f>
        <v>SIG-20250630_1250a8729.jpeg</v>
      </c>
      <c r="AV147" s="3" t="str">
        <f>HYPERLINK("https://www.google.com/maps/place/8.1071017%2C-11.5599618", "8.1071017,-11.5599618")</f>
        <v>8.1071017,-11.5599618</v>
      </c>
    </row>
    <row r="148" ht="15.75" customHeight="1">
      <c r="A148" s="1" t="s">
        <v>924</v>
      </c>
      <c r="B148" s="1" t="s">
        <v>98</v>
      </c>
      <c r="C148" s="1" t="s">
        <v>914</v>
      </c>
      <c r="D148" s="1" t="s">
        <v>914</v>
      </c>
      <c r="E148" s="1" t="s">
        <v>925</v>
      </c>
      <c r="F148" s="1" t="s">
        <v>50</v>
      </c>
      <c r="G148" s="1">
        <v>150.0</v>
      </c>
      <c r="H148" s="1" t="s">
        <v>51</v>
      </c>
      <c r="I148" s="1">
        <v>22.0</v>
      </c>
      <c r="J148" s="1">
        <v>8.0</v>
      </c>
      <c r="K148" s="1">
        <v>8.0</v>
      </c>
      <c r="L148" s="1">
        <v>14.0</v>
      </c>
      <c r="M148" s="1">
        <v>14.0</v>
      </c>
      <c r="N148" s="1" t="s">
        <v>52</v>
      </c>
      <c r="O148" s="1">
        <v>23.0</v>
      </c>
      <c r="P148" s="1">
        <v>12.0</v>
      </c>
      <c r="Q148" s="1">
        <v>12.0</v>
      </c>
      <c r="R148" s="1">
        <v>11.0</v>
      </c>
      <c r="S148" s="1">
        <v>11.0</v>
      </c>
      <c r="T148" s="1" t="s">
        <v>53</v>
      </c>
      <c r="U148" s="1">
        <v>22.0</v>
      </c>
      <c r="V148" s="1">
        <v>12.0</v>
      </c>
      <c r="W148" s="1">
        <v>12.0</v>
      </c>
      <c r="X148" s="1">
        <v>10.0</v>
      </c>
      <c r="Y148" s="1">
        <v>10.0</v>
      </c>
      <c r="Z148" s="1" t="s">
        <v>54</v>
      </c>
      <c r="AA148" s="1">
        <v>25.0</v>
      </c>
      <c r="AB148" s="1">
        <v>16.0</v>
      </c>
      <c r="AC148" s="1">
        <v>16.0</v>
      </c>
      <c r="AD148" s="1">
        <v>9.0</v>
      </c>
      <c r="AE148" s="1">
        <v>9.0</v>
      </c>
      <c r="AF148" s="1" t="s">
        <v>56</v>
      </c>
      <c r="AG148" s="1">
        <v>44.0</v>
      </c>
      <c r="AH148" s="1">
        <v>20.0</v>
      </c>
      <c r="AI148" s="1">
        <v>20.0</v>
      </c>
      <c r="AJ148" s="1">
        <v>24.0</v>
      </c>
      <c r="AK148" s="1">
        <v>24.0</v>
      </c>
      <c r="AL148" s="1">
        <v>136.0</v>
      </c>
      <c r="AM148" s="1" t="s">
        <v>55</v>
      </c>
      <c r="AN148" s="1">
        <v>14.0</v>
      </c>
      <c r="AO148" s="1">
        <v>14.0</v>
      </c>
      <c r="AP148" s="1" t="s">
        <v>926</v>
      </c>
      <c r="AQ148" s="3" t="str">
        <f>HYPERLINK("https://icf.clappia.com/app/GMB253374/submission/XWW71743808/ICF247370-GMB253374-c85m9b6c205e0000000/SIG-20250630_1224hep0p.jpeg", "SIG-20250630_1224hep0p.jpeg")</f>
        <v>SIG-20250630_1224hep0p.jpeg</v>
      </c>
      <c r="AR148" s="1" t="s">
        <v>927</v>
      </c>
      <c r="AS148" s="3" t="str">
        <f>HYPERLINK("https://icf.clappia.com/app/GMB253374/submission/XWW71743808/ICF247370-GMB253374-ah9e3mo7m5f40000000/SIG-20250630_122568egl.jpeg", "SIG-20250630_122568egl.jpeg")</f>
        <v>SIG-20250630_122568egl.jpeg</v>
      </c>
      <c r="AT148" s="1" t="s">
        <v>928</v>
      </c>
      <c r="AU148" s="3" t="str">
        <f>HYPERLINK("https://icf.clappia.com/app/GMB253374/submission/XWW71743808/ICF247370-GMB253374-3bpjnjkogk4000000000/SIG-20250630_12271acl8n.jpeg", "SIG-20250630_12271acl8n.jpeg")</f>
        <v>SIG-20250630_12271acl8n.jpeg</v>
      </c>
      <c r="AV148" s="3" t="str">
        <f>HYPERLINK("https://www.google.com/maps/place/7.9577307%2C-11.741897", "7.9577307,-11.741897")</f>
        <v>7.9577307,-11.741897</v>
      </c>
    </row>
    <row r="149" ht="15.75" customHeight="1">
      <c r="A149" s="1" t="s">
        <v>929</v>
      </c>
      <c r="B149" s="1" t="s">
        <v>162</v>
      </c>
      <c r="C149" s="1" t="s">
        <v>930</v>
      </c>
      <c r="D149" s="1" t="s">
        <v>930</v>
      </c>
      <c r="E149" s="1" t="s">
        <v>931</v>
      </c>
      <c r="F149" s="1" t="s">
        <v>121</v>
      </c>
      <c r="G149" s="1">
        <v>250.0</v>
      </c>
      <c r="H149" s="1" t="s">
        <v>51</v>
      </c>
      <c r="I149" s="1">
        <v>69.0</v>
      </c>
      <c r="J149" s="1">
        <v>31.0</v>
      </c>
      <c r="K149" s="1">
        <v>29.0</v>
      </c>
      <c r="L149" s="1">
        <v>38.0</v>
      </c>
      <c r="M149" s="1">
        <v>36.0</v>
      </c>
      <c r="N149" s="1" t="s">
        <v>52</v>
      </c>
      <c r="O149" s="1">
        <v>38.0</v>
      </c>
      <c r="P149" s="1">
        <v>13.0</v>
      </c>
      <c r="Q149" s="1">
        <v>13.0</v>
      </c>
      <c r="R149" s="1">
        <v>25.0</v>
      </c>
      <c r="S149" s="1">
        <v>24.0</v>
      </c>
      <c r="T149" s="1" t="s">
        <v>53</v>
      </c>
      <c r="U149" s="1">
        <v>42.0</v>
      </c>
      <c r="V149" s="1">
        <v>18.0</v>
      </c>
      <c r="W149" s="1">
        <v>18.0</v>
      </c>
      <c r="X149" s="1">
        <v>24.0</v>
      </c>
      <c r="Y149" s="1">
        <v>22.0</v>
      </c>
      <c r="Z149" s="1" t="s">
        <v>54</v>
      </c>
      <c r="AA149" s="1">
        <v>42.0</v>
      </c>
      <c r="AB149" s="1">
        <v>22.0</v>
      </c>
      <c r="AC149" s="1">
        <v>21.0</v>
      </c>
      <c r="AD149" s="1">
        <v>20.0</v>
      </c>
      <c r="AE149" s="1">
        <v>19.0</v>
      </c>
      <c r="AF149" s="1" t="s">
        <v>56</v>
      </c>
      <c r="AG149" s="1">
        <v>31.0</v>
      </c>
      <c r="AH149" s="1">
        <v>17.0</v>
      </c>
      <c r="AI149" s="1">
        <v>14.0</v>
      </c>
      <c r="AJ149" s="1">
        <v>14.0</v>
      </c>
      <c r="AK149" s="1">
        <v>13.0</v>
      </c>
      <c r="AL149" s="1">
        <v>209.0</v>
      </c>
      <c r="AM149" s="1" t="s">
        <v>55</v>
      </c>
      <c r="AN149" s="1">
        <v>41.0</v>
      </c>
      <c r="AO149" s="1">
        <v>41.0</v>
      </c>
      <c r="AP149" s="1" t="s">
        <v>932</v>
      </c>
      <c r="AQ149" s="3" t="str">
        <f>HYPERLINK("https://icf.clappia.com/app/GMB253374/submission/HFJ22794410/ICF247370-GMB253374-663j8noche7200000000/SIG-20250630_124919oo8o.jpeg", "SIG-20250630_124919oo8o.jpeg")</f>
        <v>SIG-20250630_124919oo8o.jpeg</v>
      </c>
      <c r="AR149" s="1" t="s">
        <v>933</v>
      </c>
      <c r="AS149" s="3" t="str">
        <f>HYPERLINK("https://icf.clappia.com/app/GMB253374/submission/HFJ22794410/ICF247370-GMB253374-43pa2io1bh9m00000000/SIG-20250630_124913ema1.jpeg", "SIG-20250630_124913ema1.jpeg")</f>
        <v>SIG-20250630_124913ema1.jpeg</v>
      </c>
      <c r="AT149" s="1" t="s">
        <v>934</v>
      </c>
      <c r="AU149" s="3" t="str">
        <f>HYPERLINK("https://icf.clappia.com/app/GMB253374/submission/HFJ22794410/ICF247370-GMB253374-17diad2i3m1280000000/SIG-20250630_1249go9d2.jpeg", "SIG-20250630_1249go9d2.jpeg")</f>
        <v>SIG-20250630_1249go9d2.jpeg</v>
      </c>
      <c r="AV149" s="3" t="str">
        <f>HYPERLINK("https://www.google.com/maps/place/8.9147217%2C-12.0330667", "8.9147217,-12.0330667")</f>
        <v>8.9147217,-12.0330667</v>
      </c>
    </row>
    <row r="150" ht="15.75" customHeight="1">
      <c r="A150" s="1" t="s">
        <v>935</v>
      </c>
      <c r="B150" s="1" t="s">
        <v>111</v>
      </c>
      <c r="C150" s="1" t="s">
        <v>936</v>
      </c>
      <c r="D150" s="1" t="s">
        <v>937</v>
      </c>
      <c r="E150" s="1" t="s">
        <v>938</v>
      </c>
      <c r="F150" s="1" t="s">
        <v>50</v>
      </c>
      <c r="G150" s="1">
        <v>157.0</v>
      </c>
      <c r="H150" s="1" t="s">
        <v>51</v>
      </c>
      <c r="I150" s="1">
        <v>49.0</v>
      </c>
      <c r="J150" s="1">
        <v>18.0</v>
      </c>
      <c r="K150" s="1">
        <v>6.0</v>
      </c>
      <c r="L150" s="1">
        <v>31.0</v>
      </c>
      <c r="M150" s="1">
        <v>14.0</v>
      </c>
      <c r="N150" s="1" t="s">
        <v>52</v>
      </c>
      <c r="O150" s="1">
        <v>71.0</v>
      </c>
      <c r="P150" s="1">
        <v>32.0</v>
      </c>
      <c r="Q150" s="1">
        <v>16.0</v>
      </c>
      <c r="R150" s="1">
        <v>39.0</v>
      </c>
      <c r="S150" s="1">
        <v>21.0</v>
      </c>
      <c r="T150" s="1" t="s">
        <v>53</v>
      </c>
      <c r="U150" s="1">
        <v>44.0</v>
      </c>
      <c r="V150" s="1">
        <v>14.0</v>
      </c>
      <c r="W150" s="1">
        <v>14.0</v>
      </c>
      <c r="X150" s="1">
        <v>30.0</v>
      </c>
      <c r="Y150" s="1">
        <v>24.0</v>
      </c>
      <c r="Z150" s="1" t="s">
        <v>54</v>
      </c>
      <c r="AA150" s="1">
        <v>44.0</v>
      </c>
      <c r="AB150" s="1">
        <v>21.0</v>
      </c>
      <c r="AC150" s="1">
        <v>20.0</v>
      </c>
      <c r="AD150" s="1">
        <v>23.0</v>
      </c>
      <c r="AE150" s="1">
        <v>20.0</v>
      </c>
      <c r="AF150" s="1" t="s">
        <v>56</v>
      </c>
      <c r="AG150" s="1">
        <v>43.0</v>
      </c>
      <c r="AH150" s="1">
        <v>13.0</v>
      </c>
      <c r="AI150" s="1">
        <v>12.0</v>
      </c>
      <c r="AJ150" s="1">
        <v>30.0</v>
      </c>
      <c r="AK150" s="1">
        <v>10.0</v>
      </c>
      <c r="AL150" s="1">
        <v>157.0</v>
      </c>
      <c r="AM150" s="1" t="s">
        <v>55</v>
      </c>
      <c r="AN150" s="1" t="s">
        <v>55</v>
      </c>
      <c r="AO150" s="1" t="s">
        <v>55</v>
      </c>
      <c r="AP150" s="1" t="s">
        <v>939</v>
      </c>
      <c r="AQ150" s="3" t="str">
        <f>HYPERLINK("https://icf.clappia.com/app/GMB253374/submission/XEY73100732/ICF247370-GMB253374-2moa8eppjj6o00000000/SIG-20250630_122918jff4.jpeg", "SIG-20250630_122918jff4.jpeg")</f>
        <v>SIG-20250630_122918jff4.jpeg</v>
      </c>
      <c r="AR150" s="1" t="s">
        <v>940</v>
      </c>
      <c r="AS150" s="3" t="str">
        <f>HYPERLINK("https://icf.clappia.com/app/GMB253374/submission/XEY73100732/ICF247370-GMB253374-5bjob1n9i3le00000000/SIG-20250630_1229132gk2.jpeg", "SIG-20250630_1229132gk2.jpeg")</f>
        <v>SIG-20250630_1229132gk2.jpeg</v>
      </c>
      <c r="AT150" s="1" t="s">
        <v>941</v>
      </c>
      <c r="AU150" s="3" t="str">
        <f>HYPERLINK("https://icf.clappia.com/app/GMB253374/submission/XEY73100732/ICF247370-GMB253374-1oad6i854deee0000000/SIG-20250630_1242mkdnd.jpeg", "SIG-20250630_1242mkdnd.jpeg")</f>
        <v>SIG-20250630_1242mkdnd.jpeg</v>
      </c>
      <c r="AV150" s="3" t="str">
        <f>HYPERLINK("https://www.google.com/maps/place/7.9332386%2C-11.7187503", "7.9332386,-11.7187503")</f>
        <v>7.9332386,-11.7187503</v>
      </c>
    </row>
    <row r="151" ht="15.75" customHeight="1">
      <c r="A151" s="1" t="s">
        <v>942</v>
      </c>
      <c r="B151" s="1" t="s">
        <v>169</v>
      </c>
      <c r="C151" s="1" t="s">
        <v>937</v>
      </c>
      <c r="D151" s="1" t="s">
        <v>937</v>
      </c>
      <c r="E151" s="1" t="s">
        <v>943</v>
      </c>
      <c r="F151" s="1" t="s">
        <v>121</v>
      </c>
      <c r="G151" s="1">
        <v>100.0</v>
      </c>
      <c r="H151" s="1" t="s">
        <v>51</v>
      </c>
      <c r="I151" s="1">
        <v>26.0</v>
      </c>
      <c r="J151" s="1">
        <v>13.0</v>
      </c>
      <c r="K151" s="1">
        <v>12.0</v>
      </c>
      <c r="L151" s="1">
        <v>13.0</v>
      </c>
      <c r="M151" s="1">
        <v>8.0</v>
      </c>
      <c r="N151" s="1" t="s">
        <v>52</v>
      </c>
      <c r="O151" s="1">
        <v>13.0</v>
      </c>
      <c r="P151" s="1">
        <v>9.0</v>
      </c>
      <c r="Q151" s="1">
        <v>9.0</v>
      </c>
      <c r="R151" s="1">
        <v>4.0</v>
      </c>
      <c r="S151" s="1">
        <v>4.0</v>
      </c>
      <c r="T151" s="1" t="s">
        <v>53</v>
      </c>
      <c r="U151" s="1">
        <v>11.0</v>
      </c>
      <c r="V151" s="1">
        <v>5.0</v>
      </c>
      <c r="W151" s="1">
        <v>5.0</v>
      </c>
      <c r="X151" s="1">
        <v>6.0</v>
      </c>
      <c r="Y151" s="1">
        <v>6.0</v>
      </c>
      <c r="Z151" s="1" t="s">
        <v>54</v>
      </c>
      <c r="AA151" s="1">
        <v>8.0</v>
      </c>
      <c r="AB151" s="1">
        <v>3.0</v>
      </c>
      <c r="AC151" s="1">
        <v>3.0</v>
      </c>
      <c r="AD151" s="1">
        <v>5.0</v>
      </c>
      <c r="AE151" s="1">
        <v>5.0</v>
      </c>
      <c r="AF151" s="1" t="s">
        <v>56</v>
      </c>
      <c r="AG151" s="1">
        <v>11.0</v>
      </c>
      <c r="AH151" s="1">
        <v>6.0</v>
      </c>
      <c r="AI151" s="1">
        <v>5.0</v>
      </c>
      <c r="AJ151" s="1">
        <v>5.0</v>
      </c>
      <c r="AK151" s="1">
        <v>3.0</v>
      </c>
      <c r="AL151" s="1">
        <v>60.0</v>
      </c>
      <c r="AM151" s="1" t="s">
        <v>55</v>
      </c>
      <c r="AN151" s="1">
        <v>40.0</v>
      </c>
      <c r="AO151" s="1">
        <v>40.0</v>
      </c>
      <c r="AP151" s="1" t="s">
        <v>232</v>
      </c>
      <c r="AQ151" s="3" t="str">
        <f>HYPERLINK("https://icf.clappia.com/app/GMB253374/submission/YRY11174129/ICF247370-GMB253374-6abe5fghf4e000000000/SIG-20250630_12465d5ap.jpeg", "SIG-20250630_12465d5ap.jpeg")</f>
        <v>SIG-20250630_12465d5ap.jpeg</v>
      </c>
      <c r="AR151" s="1" t="s">
        <v>233</v>
      </c>
      <c r="AS151" s="3" t="str">
        <f>HYPERLINK("https://icf.clappia.com/app/GMB253374/submission/YRY11174129/ICF247370-GMB253374-19cofeng3d21m0000000/SIG-20250630_1247e78l6.jpeg", "SIG-20250630_1247e78l6.jpeg")</f>
        <v>SIG-20250630_1247e78l6.jpeg</v>
      </c>
      <c r="AT151" s="1" t="s">
        <v>234</v>
      </c>
      <c r="AU151" s="3" t="str">
        <f>HYPERLINK("https://icf.clappia.com/app/GMB253374/submission/YRY11174129/ICF247370-GMB253374-1i4go88d5jf8c0000000/SIG-20250630_1247db7de.jpeg", "SIG-20250630_1247db7de.jpeg")</f>
        <v>SIG-20250630_1247db7de.jpeg</v>
      </c>
      <c r="AV151" s="3" t="str">
        <f>HYPERLINK("https://www.google.com/maps/place/8.8682749%2C-12.0316671", "8.8682749,-12.0316671")</f>
        <v>8.8682749,-12.0316671</v>
      </c>
    </row>
    <row r="152" ht="15.75" customHeight="1">
      <c r="A152" s="1" t="s">
        <v>944</v>
      </c>
      <c r="B152" s="1" t="s">
        <v>214</v>
      </c>
      <c r="C152" s="1" t="s">
        <v>945</v>
      </c>
      <c r="D152" s="1" t="s">
        <v>945</v>
      </c>
      <c r="E152" s="1" t="s">
        <v>946</v>
      </c>
      <c r="F152" s="1" t="s">
        <v>50</v>
      </c>
      <c r="G152" s="1">
        <v>300.0</v>
      </c>
      <c r="H152" s="1" t="s">
        <v>51</v>
      </c>
      <c r="I152" s="1">
        <v>70.0</v>
      </c>
      <c r="J152" s="1">
        <v>36.0</v>
      </c>
      <c r="K152" s="1">
        <v>34.0</v>
      </c>
      <c r="L152" s="1">
        <v>34.0</v>
      </c>
      <c r="M152" s="1">
        <v>32.0</v>
      </c>
      <c r="N152" s="1" t="s">
        <v>52</v>
      </c>
      <c r="O152" s="1">
        <v>62.0</v>
      </c>
      <c r="P152" s="1">
        <v>30.0</v>
      </c>
      <c r="Q152" s="1">
        <v>30.0</v>
      </c>
      <c r="R152" s="1">
        <v>32.0</v>
      </c>
      <c r="S152" s="1">
        <v>30.0</v>
      </c>
      <c r="T152" s="1" t="s">
        <v>53</v>
      </c>
      <c r="U152" s="1">
        <v>52.0</v>
      </c>
      <c r="V152" s="1">
        <v>27.0</v>
      </c>
      <c r="W152" s="1">
        <v>27.0</v>
      </c>
      <c r="X152" s="1">
        <v>25.0</v>
      </c>
      <c r="Y152" s="1">
        <v>25.0</v>
      </c>
      <c r="Z152" s="1" t="s">
        <v>54</v>
      </c>
      <c r="AA152" s="1">
        <v>55.0</v>
      </c>
      <c r="AB152" s="1">
        <v>27.0</v>
      </c>
      <c r="AC152" s="1">
        <v>26.0</v>
      </c>
      <c r="AD152" s="1">
        <v>28.0</v>
      </c>
      <c r="AE152" s="1">
        <v>28.0</v>
      </c>
      <c r="AF152" s="1" t="s">
        <v>56</v>
      </c>
      <c r="AG152" s="1">
        <v>45.0</v>
      </c>
      <c r="AH152" s="1">
        <v>25.0</v>
      </c>
      <c r="AI152" s="1">
        <v>23.0</v>
      </c>
      <c r="AJ152" s="1">
        <v>20.0</v>
      </c>
      <c r="AK152" s="1">
        <v>19.0</v>
      </c>
      <c r="AL152" s="1">
        <v>274.0</v>
      </c>
      <c r="AM152" s="1">
        <v>10.0</v>
      </c>
      <c r="AN152" s="1">
        <v>16.0</v>
      </c>
      <c r="AO152" s="1">
        <v>16.0</v>
      </c>
      <c r="AP152" s="1" t="s">
        <v>947</v>
      </c>
      <c r="AQ152" s="3" t="str">
        <f>HYPERLINK("https://icf.clappia.com/app/GMB253374/submission/XCN67989682/ICF247370-GMB253374-68bhj8gbbmn200000000/SIG-20250630_1243keia5.jpeg", "SIG-20250630_1243keia5.jpeg")</f>
        <v>SIG-20250630_1243keia5.jpeg</v>
      </c>
      <c r="AR152" s="1" t="s">
        <v>948</v>
      </c>
      <c r="AS152" s="3" t="str">
        <f>HYPERLINK("https://icf.clappia.com/app/GMB253374/submission/XCN67989682/ICF247370-GMB253374-2054cndd5m8c80000000/SIG-20250630_1244mgc4k.jpeg", "SIG-20250630_1244mgc4k.jpeg")</f>
        <v>SIG-20250630_1244mgc4k.jpeg</v>
      </c>
      <c r="AT152" s="1" t="s">
        <v>949</v>
      </c>
      <c r="AU152" s="3" t="str">
        <f>HYPERLINK("https://icf.clappia.com/app/GMB253374/submission/XCN67989682/ICF247370-GMB253374-34h43j9c3fk400000000/SIG-20250630_124426i8d.jpeg", "SIG-20250630_124426i8d.jpeg")</f>
        <v>SIG-20250630_124426i8d.jpeg</v>
      </c>
      <c r="AV152" s="3" t="str">
        <f>HYPERLINK("https://www.google.com/maps/place/9.06745%2C-11.9543233", "9.06745,-11.9543233")</f>
        <v>9.06745,-11.9543233</v>
      </c>
    </row>
    <row r="153" ht="15.75" customHeight="1">
      <c r="A153" s="1" t="s">
        <v>950</v>
      </c>
      <c r="B153" s="1" t="s">
        <v>207</v>
      </c>
      <c r="C153" s="1" t="s">
        <v>936</v>
      </c>
      <c r="D153" s="1" t="s">
        <v>936</v>
      </c>
      <c r="E153" s="1" t="s">
        <v>951</v>
      </c>
      <c r="F153" s="1" t="s">
        <v>50</v>
      </c>
      <c r="G153" s="1">
        <v>300.0</v>
      </c>
      <c r="H153" s="1" t="s">
        <v>51</v>
      </c>
      <c r="I153" s="1">
        <v>200.0</v>
      </c>
      <c r="J153" s="1">
        <v>40.0</v>
      </c>
      <c r="K153" s="1">
        <v>40.0</v>
      </c>
      <c r="L153" s="1">
        <v>50.0</v>
      </c>
      <c r="M153" s="1">
        <v>50.0</v>
      </c>
      <c r="N153" s="1" t="s">
        <v>52</v>
      </c>
      <c r="O153" s="1">
        <v>60.0</v>
      </c>
      <c r="P153" s="1">
        <v>25.0</v>
      </c>
      <c r="Q153" s="1">
        <v>25.0</v>
      </c>
      <c r="R153" s="1">
        <v>35.0</v>
      </c>
      <c r="S153" s="1">
        <v>35.0</v>
      </c>
      <c r="T153" s="1" t="s">
        <v>53</v>
      </c>
      <c r="U153" s="1">
        <v>50.0</v>
      </c>
      <c r="V153" s="1">
        <v>20.0</v>
      </c>
      <c r="W153" s="1">
        <v>20.0</v>
      </c>
      <c r="X153" s="1">
        <v>30.0</v>
      </c>
      <c r="Y153" s="1">
        <v>30.0</v>
      </c>
      <c r="Z153" s="1" t="s">
        <v>54</v>
      </c>
      <c r="AA153" s="1" t="s">
        <v>55</v>
      </c>
      <c r="AB153" s="1" t="s">
        <v>55</v>
      </c>
      <c r="AC153" s="1" t="s">
        <v>55</v>
      </c>
      <c r="AD153" s="1" t="s">
        <v>55</v>
      </c>
      <c r="AE153" s="1" t="s">
        <v>55</v>
      </c>
      <c r="AF153" s="1" t="s">
        <v>56</v>
      </c>
      <c r="AG153" s="1" t="s">
        <v>55</v>
      </c>
      <c r="AH153" s="1" t="s">
        <v>55</v>
      </c>
      <c r="AI153" s="1" t="s">
        <v>55</v>
      </c>
      <c r="AJ153" s="1" t="s">
        <v>55</v>
      </c>
      <c r="AK153" s="1" t="s">
        <v>55</v>
      </c>
      <c r="AL153" s="1">
        <v>200.0</v>
      </c>
      <c r="AM153" s="1" t="s">
        <v>55</v>
      </c>
      <c r="AN153" s="1">
        <v>100.0</v>
      </c>
      <c r="AO153" s="1" t="s">
        <v>55</v>
      </c>
      <c r="AP153" s="1" t="s">
        <v>952</v>
      </c>
      <c r="AQ153" s="3" t="str">
        <f>HYPERLINK("https://icf.clappia.com/app/GMB253374/submission/ZOM52930135/ICF247370-GMB253374-4laimd2bifg600000000/SIG-20250630_1242ffng.jpeg", "SIG-20250630_1242ffng.jpeg")</f>
        <v>SIG-20250630_1242ffng.jpeg</v>
      </c>
      <c r="AR153" s="1" t="s">
        <v>953</v>
      </c>
      <c r="AS153" s="3" t="str">
        <f>HYPERLINK("https://icf.clappia.com/app/GMB253374/submission/ZOM52930135/ICF247370-GMB253374-3mm4mlbcjc6000000000/SIG-20250630_1241131518.jpeg", "SIG-20250630_1241131518.jpeg")</f>
        <v>SIG-20250630_1241131518.jpeg</v>
      </c>
      <c r="AT153" s="1" t="s">
        <v>954</v>
      </c>
      <c r="AU153" s="3" t="str">
        <f>HYPERLINK("https://icf.clappia.com/app/GMB253374/submission/ZOM52930135/ICF247370-GMB253374-5bhlkkkkbg4000000000/SIG-20250630_1242ie0f7.jpeg", "SIG-20250630_1242ie0f7.jpeg")</f>
        <v>SIG-20250630_1242ie0f7.jpeg</v>
      </c>
      <c r="AV153" s="3" t="str">
        <f>HYPERLINK("https://www.google.com/maps/place/7.9286051%2C-11.4422549", "7.9286051,-11.4422549")</f>
        <v>7.9286051,-11.4422549</v>
      </c>
    </row>
    <row r="154" ht="15.75" customHeight="1">
      <c r="A154" s="1" t="s">
        <v>955</v>
      </c>
      <c r="B154" s="1" t="s">
        <v>188</v>
      </c>
      <c r="C154" s="1" t="s">
        <v>956</v>
      </c>
      <c r="D154" s="1" t="s">
        <v>956</v>
      </c>
      <c r="E154" s="1" t="s">
        <v>957</v>
      </c>
      <c r="F154" s="1" t="s">
        <v>50</v>
      </c>
      <c r="G154" s="1">
        <v>150.0</v>
      </c>
      <c r="H154" s="1" t="s">
        <v>51</v>
      </c>
      <c r="I154" s="1">
        <v>16.0</v>
      </c>
      <c r="J154" s="1">
        <v>9.0</v>
      </c>
      <c r="K154" s="1">
        <v>9.0</v>
      </c>
      <c r="L154" s="1">
        <v>7.0</v>
      </c>
      <c r="M154" s="1">
        <v>7.0</v>
      </c>
      <c r="N154" s="1" t="s">
        <v>52</v>
      </c>
      <c r="O154" s="1">
        <v>10.0</v>
      </c>
      <c r="P154" s="1">
        <v>3.0</v>
      </c>
      <c r="Q154" s="1">
        <v>3.0</v>
      </c>
      <c r="R154" s="1">
        <v>3.0</v>
      </c>
      <c r="S154" s="1">
        <v>3.0</v>
      </c>
      <c r="T154" s="1" t="s">
        <v>53</v>
      </c>
      <c r="U154" s="1">
        <v>5.0</v>
      </c>
      <c r="V154" s="1">
        <v>4.0</v>
      </c>
      <c r="W154" s="1">
        <v>4.0</v>
      </c>
      <c r="X154" s="1">
        <v>1.0</v>
      </c>
      <c r="Y154" s="1">
        <v>1.0</v>
      </c>
      <c r="Z154" s="1" t="s">
        <v>54</v>
      </c>
      <c r="AA154" s="1">
        <v>8.0</v>
      </c>
      <c r="AB154" s="1">
        <v>6.0</v>
      </c>
      <c r="AC154" s="1">
        <v>6.0</v>
      </c>
      <c r="AD154" s="1">
        <v>2.0</v>
      </c>
      <c r="AE154" s="1">
        <v>2.0</v>
      </c>
      <c r="AF154" s="1" t="s">
        <v>56</v>
      </c>
      <c r="AG154" s="1">
        <v>8.0</v>
      </c>
      <c r="AH154" s="1" t="s">
        <v>55</v>
      </c>
      <c r="AI154" s="1" t="s">
        <v>55</v>
      </c>
      <c r="AJ154" s="1">
        <v>2.0</v>
      </c>
      <c r="AK154" s="1">
        <v>2.0</v>
      </c>
      <c r="AL154" s="1">
        <v>37.0</v>
      </c>
      <c r="AM154" s="1">
        <v>10.0</v>
      </c>
      <c r="AN154" s="1">
        <v>103.0</v>
      </c>
      <c r="AO154" s="1">
        <v>103.0</v>
      </c>
      <c r="AP154" s="1" t="s">
        <v>958</v>
      </c>
      <c r="AQ154" s="3" t="str">
        <f>HYPERLINK("https://icf.clappia.com/app/GMB253374/submission/TSG59452380/ICF247370-GMB253374-5n13mibbghmo00000000/SIG-20250630_1233h43le.jpeg", "SIG-20250630_1233h43le.jpeg")</f>
        <v>SIG-20250630_1233h43le.jpeg</v>
      </c>
      <c r="AR154" s="1" t="s">
        <v>959</v>
      </c>
      <c r="AS154" s="3" t="str">
        <f>HYPERLINK("https://icf.clappia.com/app/GMB253374/submission/TSG59452380/ICF247370-GMB253374-25km4lekp47gk0000000/SIG-20250630_12348k427.jpeg", "SIG-20250630_12348k427.jpeg")</f>
        <v>SIG-20250630_12348k427.jpeg</v>
      </c>
      <c r="AT154" s="1" t="s">
        <v>960</v>
      </c>
      <c r="AU154" s="3" t="str">
        <f>HYPERLINK("https://icf.clappia.com/app/GMB253374/submission/TSG59452380/ICF247370-GMB253374-9073pdafdl280000000/SIG-20250630_12362841n.jpeg", "SIG-20250630_12362841n.jpeg")</f>
        <v>SIG-20250630_12362841n.jpeg</v>
      </c>
      <c r="AV154" s="3" t="str">
        <f>HYPERLINK("https://www.google.com/maps/place/8.0708742%2C-11.8202222", "8.0708742,-11.8202222")</f>
        <v>8.0708742,-11.8202222</v>
      </c>
    </row>
    <row r="155" ht="15.75" customHeight="1">
      <c r="A155" s="1" t="s">
        <v>961</v>
      </c>
      <c r="B155" s="1" t="s">
        <v>169</v>
      </c>
      <c r="C155" s="1" t="s">
        <v>551</v>
      </c>
      <c r="D155" s="1" t="s">
        <v>551</v>
      </c>
      <c r="E155" s="1" t="s">
        <v>962</v>
      </c>
      <c r="F155" s="1" t="s">
        <v>121</v>
      </c>
      <c r="G155" s="1">
        <v>150.0</v>
      </c>
      <c r="H155" s="1" t="s">
        <v>51</v>
      </c>
      <c r="I155" s="1">
        <v>26.0</v>
      </c>
      <c r="J155" s="1">
        <v>13.0</v>
      </c>
      <c r="K155" s="1">
        <v>10.0</v>
      </c>
      <c r="L155" s="1">
        <v>13.0</v>
      </c>
      <c r="M155" s="1">
        <v>6.0</v>
      </c>
      <c r="N155" s="1" t="s">
        <v>52</v>
      </c>
      <c r="O155" s="1">
        <v>19.0</v>
      </c>
      <c r="P155" s="1">
        <v>10.0</v>
      </c>
      <c r="Q155" s="1">
        <v>9.0</v>
      </c>
      <c r="R155" s="1">
        <v>9.0</v>
      </c>
      <c r="S155" s="1">
        <v>8.0</v>
      </c>
      <c r="T155" s="1" t="s">
        <v>53</v>
      </c>
      <c r="U155" s="1">
        <v>16.0</v>
      </c>
      <c r="V155" s="1">
        <v>5.0</v>
      </c>
      <c r="W155" s="1">
        <v>4.0</v>
      </c>
      <c r="X155" s="1">
        <v>11.0</v>
      </c>
      <c r="Y155" s="1">
        <v>9.0</v>
      </c>
      <c r="Z155" s="1" t="s">
        <v>54</v>
      </c>
      <c r="AA155" s="1">
        <v>19.0</v>
      </c>
      <c r="AB155" s="1">
        <v>12.0</v>
      </c>
      <c r="AC155" s="1">
        <v>11.0</v>
      </c>
      <c r="AD155" s="1">
        <v>7.0</v>
      </c>
      <c r="AE155" s="1">
        <v>4.0</v>
      </c>
      <c r="AF155" s="1" t="s">
        <v>56</v>
      </c>
      <c r="AG155" s="1">
        <v>13.0</v>
      </c>
      <c r="AH155" s="1">
        <v>4.0</v>
      </c>
      <c r="AI155" s="1">
        <v>4.0</v>
      </c>
      <c r="AJ155" s="1">
        <v>9.0</v>
      </c>
      <c r="AK155" s="1">
        <v>8.0</v>
      </c>
      <c r="AL155" s="1">
        <v>73.0</v>
      </c>
      <c r="AM155" s="1" t="s">
        <v>55</v>
      </c>
      <c r="AN155" s="1">
        <v>77.0</v>
      </c>
      <c r="AO155" s="1">
        <v>77.0</v>
      </c>
      <c r="AP155" s="1" t="s">
        <v>963</v>
      </c>
      <c r="AQ155" s="3" t="str">
        <f>HYPERLINK("https://icf.clappia.com/app/GMB253374/submission/XWH86274748/ICF247370-GMB253374-10ljep126bci40000000/SIG-20250630_12178c2ha.jpeg", "SIG-20250630_12178c2ha.jpeg")</f>
        <v>SIG-20250630_12178c2ha.jpeg</v>
      </c>
      <c r="AR155" s="1" t="s">
        <v>964</v>
      </c>
      <c r="AS155" s="3" t="str">
        <f>HYPERLINK("https://icf.clappia.com/app/GMB253374/submission/XWH86274748/ICF247370-GMB253374-64bbfoihohaa00000000/SIG-20250630_1234118c52.jpeg", "SIG-20250630_1234118c52.jpeg")</f>
        <v>SIG-20250630_1234118c52.jpeg</v>
      </c>
      <c r="AT155" s="1" t="s">
        <v>965</v>
      </c>
      <c r="AU155" s="3" t="str">
        <f>HYPERLINK("https://icf.clappia.com/app/GMB253374/submission/XWH86274748/ICF247370-GMB253374-4o86a66an3ok0000000/SIG-20250630_123382gj0.jpeg", "SIG-20250630_123382gj0.jpeg")</f>
        <v>SIG-20250630_123382gj0.jpeg</v>
      </c>
      <c r="AV155" s="3" t="str">
        <f>HYPERLINK("https://www.google.com/maps/place/8.87828%2C-12.0496783", "8.87828,-12.0496783")</f>
        <v>8.87828,-12.0496783</v>
      </c>
    </row>
    <row r="156" ht="15.75" customHeight="1">
      <c r="A156" s="1" t="s">
        <v>966</v>
      </c>
      <c r="B156" s="1" t="s">
        <v>98</v>
      </c>
      <c r="C156" s="1" t="s">
        <v>967</v>
      </c>
      <c r="D156" s="1" t="s">
        <v>967</v>
      </c>
      <c r="E156" s="1" t="s">
        <v>968</v>
      </c>
      <c r="F156" s="1" t="s">
        <v>50</v>
      </c>
      <c r="G156" s="1">
        <v>400.0</v>
      </c>
      <c r="H156" s="1" t="s">
        <v>51</v>
      </c>
      <c r="I156" s="1">
        <v>126.0</v>
      </c>
      <c r="J156" s="1" t="s">
        <v>55</v>
      </c>
      <c r="K156" s="1" t="s">
        <v>55</v>
      </c>
      <c r="L156" s="1">
        <v>126.0</v>
      </c>
      <c r="M156" s="1">
        <v>71.0</v>
      </c>
      <c r="N156" s="1" t="s">
        <v>52</v>
      </c>
      <c r="O156" s="1">
        <v>91.0</v>
      </c>
      <c r="P156" s="1" t="s">
        <v>55</v>
      </c>
      <c r="Q156" s="1" t="s">
        <v>55</v>
      </c>
      <c r="R156" s="1">
        <v>91.0</v>
      </c>
      <c r="S156" s="1">
        <v>58.0</v>
      </c>
      <c r="T156" s="1" t="s">
        <v>53</v>
      </c>
      <c r="U156" s="1">
        <v>79.0</v>
      </c>
      <c r="V156" s="1" t="s">
        <v>55</v>
      </c>
      <c r="W156" s="1" t="s">
        <v>55</v>
      </c>
      <c r="X156" s="1">
        <v>79.0</v>
      </c>
      <c r="Y156" s="1">
        <v>71.0</v>
      </c>
      <c r="Z156" s="1" t="s">
        <v>54</v>
      </c>
      <c r="AA156" s="1">
        <v>103.0</v>
      </c>
      <c r="AB156" s="1" t="s">
        <v>55</v>
      </c>
      <c r="AC156" s="1" t="s">
        <v>55</v>
      </c>
      <c r="AD156" s="1">
        <v>103.0</v>
      </c>
      <c r="AE156" s="1">
        <v>90.0</v>
      </c>
      <c r="AF156" s="1" t="s">
        <v>56</v>
      </c>
      <c r="AG156" s="1">
        <v>84.0</v>
      </c>
      <c r="AH156" s="1" t="s">
        <v>55</v>
      </c>
      <c r="AI156" s="1" t="s">
        <v>55</v>
      </c>
      <c r="AJ156" s="1">
        <v>84.0</v>
      </c>
      <c r="AK156" s="1">
        <v>74.0</v>
      </c>
      <c r="AL156" s="1">
        <v>364.0</v>
      </c>
      <c r="AM156" s="1">
        <v>10.0</v>
      </c>
      <c r="AN156" s="1">
        <v>26.0</v>
      </c>
      <c r="AO156" s="1">
        <v>16.0</v>
      </c>
      <c r="AP156" s="1" t="s">
        <v>969</v>
      </c>
      <c r="AQ156" s="3" t="str">
        <f>HYPERLINK("https://icf.clappia.com/app/GMB253374/submission/CCE58524124/ICF247370-GMB253374-4oa0hanp0dog00000000/SIG-20250630_122317efd7.jpeg", "SIG-20250630_122317efd7.jpeg")</f>
        <v>SIG-20250630_122317efd7.jpeg</v>
      </c>
      <c r="AR156" s="1" t="s">
        <v>970</v>
      </c>
      <c r="AS156" s="3" t="str">
        <f>HYPERLINK("https://icf.clappia.com/app/GMB253374/submission/CCE58524124/ICF247370-GMB253374-40fga2dkf50c0000000/SIG-20250630_122416afj9.jpeg", "SIG-20250630_122416afj9.jpeg")</f>
        <v>SIG-20250630_122416afj9.jpeg</v>
      </c>
      <c r="AT156" s="1" t="s">
        <v>971</v>
      </c>
      <c r="AU156" s="3" t="str">
        <f>HYPERLINK("https://icf.clappia.com/app/GMB253374/submission/CCE58524124/ICF247370-GMB253374-2kkpgn7gj48800000000/SIG-20250630_1229gh00p.jpeg", "SIG-20250630_1229gh00p.jpeg")</f>
        <v>SIG-20250630_1229gh00p.jpeg</v>
      </c>
      <c r="AV156" s="3" t="str">
        <f>HYPERLINK("https://www.google.com/maps/place/7.9538312%2C-11.7354775", "7.9538312,-11.7354775")</f>
        <v>7.9538312,-11.7354775</v>
      </c>
    </row>
    <row r="157" ht="15.75" customHeight="1">
      <c r="A157" s="1" t="s">
        <v>972</v>
      </c>
      <c r="B157" s="1" t="s">
        <v>98</v>
      </c>
      <c r="C157" s="1" t="s">
        <v>973</v>
      </c>
      <c r="D157" s="1" t="s">
        <v>973</v>
      </c>
      <c r="E157" s="1" t="s">
        <v>974</v>
      </c>
      <c r="F157" s="1" t="s">
        <v>50</v>
      </c>
      <c r="G157" s="1">
        <v>169.0</v>
      </c>
      <c r="H157" s="1" t="s">
        <v>51</v>
      </c>
      <c r="I157" s="1">
        <v>53.0</v>
      </c>
      <c r="J157" s="1">
        <v>30.0</v>
      </c>
      <c r="K157" s="1">
        <v>26.0</v>
      </c>
      <c r="L157" s="1">
        <v>23.0</v>
      </c>
      <c r="M157" s="1">
        <v>20.0</v>
      </c>
      <c r="N157" s="1" t="s">
        <v>52</v>
      </c>
      <c r="O157" s="1">
        <v>44.0</v>
      </c>
      <c r="P157" s="1">
        <v>20.0</v>
      </c>
      <c r="Q157" s="1">
        <v>16.0</v>
      </c>
      <c r="R157" s="1">
        <v>24.0</v>
      </c>
      <c r="S157" s="1">
        <v>23.0</v>
      </c>
      <c r="T157" s="1" t="s">
        <v>53</v>
      </c>
      <c r="U157" s="1">
        <v>39.0</v>
      </c>
      <c r="V157" s="1">
        <v>13.0</v>
      </c>
      <c r="W157" s="1">
        <v>13.0</v>
      </c>
      <c r="X157" s="1">
        <v>26.0</v>
      </c>
      <c r="Y157" s="1">
        <v>25.0</v>
      </c>
      <c r="Z157" s="1" t="s">
        <v>54</v>
      </c>
      <c r="AA157" s="1">
        <v>24.0</v>
      </c>
      <c r="AB157" s="1">
        <v>8.0</v>
      </c>
      <c r="AC157" s="1">
        <v>7.0</v>
      </c>
      <c r="AD157" s="1">
        <v>16.0</v>
      </c>
      <c r="AE157" s="1">
        <v>16.0</v>
      </c>
      <c r="AF157" s="1" t="s">
        <v>56</v>
      </c>
      <c r="AG157" s="1">
        <v>29.0</v>
      </c>
      <c r="AH157" s="1">
        <v>21.0</v>
      </c>
      <c r="AI157" s="1">
        <v>15.0</v>
      </c>
      <c r="AJ157" s="1">
        <v>8.0</v>
      </c>
      <c r="AK157" s="1">
        <v>8.0</v>
      </c>
      <c r="AL157" s="1">
        <v>169.0</v>
      </c>
      <c r="AM157" s="1" t="s">
        <v>55</v>
      </c>
      <c r="AN157" s="1" t="s">
        <v>55</v>
      </c>
      <c r="AO157" s="1" t="s">
        <v>55</v>
      </c>
      <c r="AP157" s="1" t="s">
        <v>975</v>
      </c>
      <c r="AQ157" s="3" t="str">
        <f>HYPERLINK("https://icf.clappia.com/app/GMB253374/submission/WDK81865760/ICF247370-GMB253374-n7gckgm0op280000000/SIG-20250630_122816mi6l.jpeg", "SIG-20250630_122816mi6l.jpeg")</f>
        <v>SIG-20250630_122816mi6l.jpeg</v>
      </c>
      <c r="AR157" s="1" t="s">
        <v>976</v>
      </c>
      <c r="AS157" s="3" t="str">
        <f>HYPERLINK("https://icf.clappia.com/app/GMB253374/submission/WDK81865760/ICF247370-GMB253374-l0of98361d840000000/SIG-20250630_1228160cgm.jpeg", "SIG-20250630_1228160cgm.jpeg")</f>
        <v>SIG-20250630_1228160cgm.jpeg</v>
      </c>
      <c r="AT157" s="1" t="s">
        <v>977</v>
      </c>
      <c r="AU157" s="3" t="str">
        <f>HYPERLINK("https://icf.clappia.com/app/GMB253374/submission/WDK81865760/ICF247370-GMB253374-1najdggm5fmii0000000/SIG-20250630_12311300ag.jpeg", "SIG-20250630_12311300ag.jpeg")</f>
        <v>SIG-20250630_12311300ag.jpeg</v>
      </c>
      <c r="AV157" s="3" t="str">
        <f>HYPERLINK("https://www.google.com/maps/place/7.9368267%2C-11.74965", "7.9368267,-11.74965")</f>
        <v>7.9368267,-11.74965</v>
      </c>
    </row>
    <row r="158" ht="15.75" customHeight="1">
      <c r="A158" s="1" t="s">
        <v>978</v>
      </c>
      <c r="B158" s="1" t="s">
        <v>979</v>
      </c>
      <c r="C158" s="1" t="s">
        <v>980</v>
      </c>
      <c r="D158" s="1" t="s">
        <v>980</v>
      </c>
      <c r="E158" s="1" t="s">
        <v>981</v>
      </c>
      <c r="F158" s="1" t="s">
        <v>50</v>
      </c>
      <c r="G158" s="1">
        <v>300.0</v>
      </c>
      <c r="H158" s="1" t="s">
        <v>51</v>
      </c>
      <c r="I158" s="1">
        <v>63.0</v>
      </c>
      <c r="J158" s="1">
        <v>41.0</v>
      </c>
      <c r="K158" s="1">
        <v>41.0</v>
      </c>
      <c r="L158" s="1">
        <v>22.0</v>
      </c>
      <c r="M158" s="1">
        <v>22.0</v>
      </c>
      <c r="N158" s="1" t="s">
        <v>52</v>
      </c>
      <c r="O158" s="1">
        <v>48.0</v>
      </c>
      <c r="P158" s="1">
        <v>34.0</v>
      </c>
      <c r="Q158" s="1">
        <v>34.0</v>
      </c>
      <c r="R158" s="1">
        <v>14.0</v>
      </c>
      <c r="S158" s="1">
        <v>14.0</v>
      </c>
      <c r="T158" s="1" t="s">
        <v>53</v>
      </c>
      <c r="U158" s="1">
        <v>57.0</v>
      </c>
      <c r="V158" s="1">
        <v>25.0</v>
      </c>
      <c r="W158" s="1">
        <v>25.0</v>
      </c>
      <c r="X158" s="1">
        <v>32.0</v>
      </c>
      <c r="Y158" s="1">
        <v>32.0</v>
      </c>
      <c r="Z158" s="1" t="s">
        <v>54</v>
      </c>
      <c r="AA158" s="1">
        <v>55.0</v>
      </c>
      <c r="AB158" s="1">
        <v>25.0</v>
      </c>
      <c r="AC158" s="1">
        <v>25.0</v>
      </c>
      <c r="AD158" s="1">
        <v>30.0</v>
      </c>
      <c r="AE158" s="1">
        <v>30.0</v>
      </c>
      <c r="AF158" s="1" t="s">
        <v>56</v>
      </c>
      <c r="AG158" s="1">
        <v>47.0</v>
      </c>
      <c r="AH158" s="1">
        <v>25.0</v>
      </c>
      <c r="AI158" s="1">
        <v>25.0</v>
      </c>
      <c r="AJ158" s="1">
        <v>22.0</v>
      </c>
      <c r="AK158" s="1">
        <v>22.0</v>
      </c>
      <c r="AL158" s="1">
        <v>270.0</v>
      </c>
      <c r="AM158" s="1" t="s">
        <v>55</v>
      </c>
      <c r="AN158" s="1">
        <v>30.0</v>
      </c>
      <c r="AO158" s="1">
        <v>30.0</v>
      </c>
      <c r="AP158" s="1" t="s">
        <v>982</v>
      </c>
      <c r="AQ158" s="3" t="str">
        <f>HYPERLINK("https://icf.clappia.com/app/GMB253374/submission/HVD62101551/ICF247370-GMB253374-a9e9m99lopbm0000000/SIG-20250630_12237kn7a.jpeg", "SIG-20250630_12237kn7a.jpeg")</f>
        <v>SIG-20250630_12237kn7a.jpeg</v>
      </c>
      <c r="AR158" s="1" t="s">
        <v>983</v>
      </c>
      <c r="AS158" s="3" t="str">
        <f>HYPERLINK("https://icf.clappia.com/app/GMB253374/submission/HVD62101551/ICF247370-GMB253374-4cj5j22ca81c00000000/SIG-20250630_1223npeep.jpeg", "SIG-20250630_1223npeep.jpeg")</f>
        <v>SIG-20250630_1223npeep.jpeg</v>
      </c>
      <c r="AT158" s="1" t="s">
        <v>984</v>
      </c>
      <c r="AU158" s="3" t="str">
        <f>HYPERLINK("https://icf.clappia.com/app/GMB253374/submission/HVD62101551/ICF247370-GMB253374-k4djjn5f1hjm0000000/SIG-20250630_12285o5jh.jpeg", "SIG-20250630_12285o5jh.jpeg")</f>
        <v>SIG-20250630_12285o5jh.jpeg</v>
      </c>
      <c r="AV158" s="3" t="str">
        <f>HYPERLINK("https://www.google.com/maps/place/8.9515667%2C-12.224055", "8.9515667,-12.224055")</f>
        <v>8.9515667,-12.224055</v>
      </c>
    </row>
    <row r="159" ht="15.75" customHeight="1">
      <c r="A159" s="1" t="s">
        <v>985</v>
      </c>
      <c r="B159" s="1" t="s">
        <v>111</v>
      </c>
      <c r="C159" s="1" t="s">
        <v>986</v>
      </c>
      <c r="D159" s="1" t="s">
        <v>986</v>
      </c>
      <c r="E159" s="1" t="s">
        <v>987</v>
      </c>
      <c r="F159" s="1" t="s">
        <v>121</v>
      </c>
      <c r="G159" s="1">
        <v>66.0</v>
      </c>
      <c r="H159" s="1" t="s">
        <v>51</v>
      </c>
      <c r="I159" s="1">
        <v>10.0</v>
      </c>
      <c r="J159" s="1">
        <v>5.0</v>
      </c>
      <c r="K159" s="1">
        <v>5.0</v>
      </c>
      <c r="L159" s="1">
        <v>5.0</v>
      </c>
      <c r="M159" s="1">
        <v>5.0</v>
      </c>
      <c r="N159" s="1" t="s">
        <v>52</v>
      </c>
      <c r="O159" s="1">
        <v>13.0</v>
      </c>
      <c r="P159" s="1">
        <v>9.0</v>
      </c>
      <c r="Q159" s="1">
        <v>4.0</v>
      </c>
      <c r="R159" s="1">
        <v>4.0</v>
      </c>
      <c r="S159" s="1">
        <v>1.0</v>
      </c>
      <c r="T159" s="1" t="s">
        <v>53</v>
      </c>
      <c r="U159" s="1">
        <v>7.0</v>
      </c>
      <c r="V159" s="1">
        <v>4.0</v>
      </c>
      <c r="W159" s="1">
        <v>1.0</v>
      </c>
      <c r="X159" s="1">
        <v>3.0</v>
      </c>
      <c r="Y159" s="1">
        <v>2.0</v>
      </c>
      <c r="Z159" s="1" t="s">
        <v>54</v>
      </c>
      <c r="AA159" s="1">
        <v>7.0</v>
      </c>
      <c r="AB159" s="1">
        <v>3.0</v>
      </c>
      <c r="AC159" s="1">
        <v>2.0</v>
      </c>
      <c r="AD159" s="1">
        <v>4.0</v>
      </c>
      <c r="AE159" s="1">
        <v>3.0</v>
      </c>
      <c r="AF159" s="1" t="s">
        <v>56</v>
      </c>
      <c r="AG159" s="1">
        <v>5.0</v>
      </c>
      <c r="AH159" s="1">
        <v>1.0</v>
      </c>
      <c r="AI159" s="1">
        <v>1.0</v>
      </c>
      <c r="AJ159" s="1">
        <v>4.0</v>
      </c>
      <c r="AK159" s="1" t="s">
        <v>55</v>
      </c>
      <c r="AL159" s="1">
        <v>24.0</v>
      </c>
      <c r="AM159" s="1">
        <v>10.0</v>
      </c>
      <c r="AN159" s="1">
        <v>32.0</v>
      </c>
      <c r="AO159" s="1">
        <v>32.0</v>
      </c>
      <c r="AP159" s="1" t="s">
        <v>988</v>
      </c>
      <c r="AQ159" s="3" t="str">
        <f>HYPERLINK("https://icf.clappia.com/app/GMB253374/submission/UAL61708653/ICF247370-GMB253374-1jdkne8e4jkn20000000/SIG-20250630_121310l4l.jpeg", "SIG-20250630_121310l4l.jpeg")</f>
        <v>SIG-20250630_121310l4l.jpeg</v>
      </c>
      <c r="AR159" s="1" t="s">
        <v>989</v>
      </c>
      <c r="AS159" s="3" t="str">
        <f>HYPERLINK("https://icf.clappia.com/app/GMB253374/submission/UAL61708653/ICF247370-GMB253374-61cf5ee396km000000/SIG-20250630_121416b0fd.jpeg", "SIG-20250630_121416b0fd.jpeg")</f>
        <v>SIG-20250630_121416b0fd.jpeg</v>
      </c>
      <c r="AT159" s="1" t="s">
        <v>990</v>
      </c>
      <c r="AU159" s="3" t="str">
        <f>HYPERLINK("https://icf.clappia.com/app/GMB253374/submission/UAL61708653/ICF247370-GMB253374-675bdd3l86n600000000/SIG-20250630_1218mmll9.jpeg", "SIG-20250630_1218mmll9.jpeg")</f>
        <v>SIG-20250630_1218mmll9.jpeg</v>
      </c>
      <c r="AV159" s="3" t="str">
        <f>HYPERLINK("https://www.google.com/maps/place/7.9474455%2C-11.6825576", "7.9474455,-11.6825576")</f>
        <v>7.9474455,-11.6825576</v>
      </c>
    </row>
    <row r="160" ht="15.75" customHeight="1">
      <c r="A160" s="1" t="s">
        <v>991</v>
      </c>
      <c r="B160" s="1" t="s">
        <v>46</v>
      </c>
      <c r="C160" s="1" t="s">
        <v>992</v>
      </c>
      <c r="D160" s="1" t="s">
        <v>992</v>
      </c>
      <c r="E160" s="1" t="s">
        <v>993</v>
      </c>
      <c r="F160" s="1" t="s">
        <v>50</v>
      </c>
      <c r="G160" s="1">
        <v>150.0</v>
      </c>
      <c r="H160" s="1" t="s">
        <v>51</v>
      </c>
      <c r="I160" s="1">
        <v>68.0</v>
      </c>
      <c r="J160" s="1">
        <v>35.0</v>
      </c>
      <c r="K160" s="1">
        <v>25.0</v>
      </c>
      <c r="L160" s="1">
        <v>33.0</v>
      </c>
      <c r="M160" s="1">
        <v>24.0</v>
      </c>
      <c r="N160" s="1" t="s">
        <v>52</v>
      </c>
      <c r="O160" s="1">
        <v>60.0</v>
      </c>
      <c r="P160" s="1">
        <v>31.0</v>
      </c>
      <c r="Q160" s="1">
        <v>20.0</v>
      </c>
      <c r="R160" s="1">
        <v>29.0</v>
      </c>
      <c r="S160" s="1">
        <v>18.0</v>
      </c>
      <c r="T160" s="1" t="s">
        <v>53</v>
      </c>
      <c r="U160" s="1">
        <v>53.0</v>
      </c>
      <c r="V160" s="1">
        <v>28.0</v>
      </c>
      <c r="W160" s="1">
        <v>18.0</v>
      </c>
      <c r="X160" s="1">
        <v>25.0</v>
      </c>
      <c r="Y160" s="1">
        <v>16.0</v>
      </c>
      <c r="Z160" s="1" t="s">
        <v>54</v>
      </c>
      <c r="AA160" s="1">
        <v>44.0</v>
      </c>
      <c r="AB160" s="1">
        <v>25.0</v>
      </c>
      <c r="AC160" s="1">
        <v>8.0</v>
      </c>
      <c r="AD160" s="1">
        <v>19.0</v>
      </c>
      <c r="AE160" s="1">
        <v>4.0</v>
      </c>
      <c r="AF160" s="1" t="s">
        <v>56</v>
      </c>
      <c r="AG160" s="1">
        <v>34.0</v>
      </c>
      <c r="AH160" s="1">
        <v>18.0</v>
      </c>
      <c r="AI160" s="1">
        <v>10.0</v>
      </c>
      <c r="AJ160" s="1">
        <v>16.0</v>
      </c>
      <c r="AK160" s="1">
        <v>7.0</v>
      </c>
      <c r="AL160" s="1">
        <v>150.0</v>
      </c>
      <c r="AM160" s="1" t="s">
        <v>55</v>
      </c>
      <c r="AN160" s="1" t="s">
        <v>55</v>
      </c>
      <c r="AO160" s="1" t="s">
        <v>55</v>
      </c>
      <c r="AP160" s="1" t="s">
        <v>994</v>
      </c>
      <c r="AQ160" s="3" t="str">
        <f>HYPERLINK("https://icf.clappia.com/app/GMB253374/submission/ZFJ65860817/ICF247370-GMB253374-24861f4ja20480000000/SIG-20250630_1213pke54.jpeg", "SIG-20250630_1213pke54.jpeg")</f>
        <v>SIG-20250630_1213pke54.jpeg</v>
      </c>
      <c r="AR160" s="1" t="s">
        <v>995</v>
      </c>
      <c r="AS160" s="3" t="str">
        <f>HYPERLINK("https://icf.clappia.com/app/GMB253374/submission/ZFJ65860817/ICF247370-GMB253374-2m4b5opaaohi00000000/SIG-20250630_1214ge8ka.jpeg", "SIG-20250630_1214ge8ka.jpeg")</f>
        <v>SIG-20250630_1214ge8ka.jpeg</v>
      </c>
      <c r="AT160" s="1" t="s">
        <v>996</v>
      </c>
      <c r="AU160" s="3" t="str">
        <f>HYPERLINK("https://icf.clappia.com/app/GMB253374/submission/ZFJ65860817/ICF247370-GMB253374-llchfk3c47520000000/SIG-20250630_121715fikh.jpeg", "SIG-20250630_121715fikh.jpeg")</f>
        <v>SIG-20250630_121715fikh.jpeg</v>
      </c>
      <c r="AV160" s="3" t="str">
        <f>HYPERLINK("https://www.google.com/maps/place/7.439225%2C-11.8886374", "7.439225,-11.8886374")</f>
        <v>7.439225,-11.8886374</v>
      </c>
    </row>
    <row r="161" ht="15.75" customHeight="1">
      <c r="A161" s="1" t="s">
        <v>997</v>
      </c>
      <c r="B161" s="1" t="s">
        <v>162</v>
      </c>
      <c r="C161" s="1" t="s">
        <v>998</v>
      </c>
      <c r="D161" s="1" t="s">
        <v>998</v>
      </c>
      <c r="E161" s="1" t="s">
        <v>999</v>
      </c>
      <c r="F161" s="1" t="s">
        <v>121</v>
      </c>
      <c r="G161" s="1">
        <v>150.0</v>
      </c>
      <c r="H161" s="1" t="s">
        <v>51</v>
      </c>
      <c r="I161" s="1">
        <v>43.0</v>
      </c>
      <c r="J161" s="1">
        <v>25.0</v>
      </c>
      <c r="K161" s="1">
        <v>19.0</v>
      </c>
      <c r="L161" s="1">
        <v>18.0</v>
      </c>
      <c r="M161" s="1">
        <v>16.0</v>
      </c>
      <c r="N161" s="1" t="s">
        <v>52</v>
      </c>
      <c r="O161" s="1">
        <v>34.0</v>
      </c>
      <c r="P161" s="1">
        <v>18.0</v>
      </c>
      <c r="Q161" s="1">
        <v>18.0</v>
      </c>
      <c r="R161" s="1">
        <v>16.0</v>
      </c>
      <c r="S161" s="1">
        <v>16.0</v>
      </c>
      <c r="T161" s="1" t="s">
        <v>53</v>
      </c>
      <c r="U161" s="1">
        <v>18.0</v>
      </c>
      <c r="V161" s="1">
        <v>7.0</v>
      </c>
      <c r="W161" s="1">
        <v>7.0</v>
      </c>
      <c r="X161" s="1">
        <v>11.0</v>
      </c>
      <c r="Y161" s="1">
        <v>11.0</v>
      </c>
      <c r="Z161" s="1" t="s">
        <v>54</v>
      </c>
      <c r="AA161" s="1">
        <v>6.0</v>
      </c>
      <c r="AB161" s="1">
        <v>2.0</v>
      </c>
      <c r="AC161" s="1">
        <v>2.0</v>
      </c>
      <c r="AD161" s="1">
        <v>4.0</v>
      </c>
      <c r="AE161" s="1">
        <v>3.0</v>
      </c>
      <c r="AF161" s="1" t="s">
        <v>56</v>
      </c>
      <c r="AG161" s="1">
        <v>14.0</v>
      </c>
      <c r="AH161" s="1">
        <v>7.0</v>
      </c>
      <c r="AI161" s="1">
        <v>7.0</v>
      </c>
      <c r="AJ161" s="1">
        <v>7.0</v>
      </c>
      <c r="AK161" s="1">
        <v>6.0</v>
      </c>
      <c r="AL161" s="1">
        <v>105.0</v>
      </c>
      <c r="AM161" s="1">
        <v>10.0</v>
      </c>
      <c r="AN161" s="1">
        <v>35.0</v>
      </c>
      <c r="AO161" s="1">
        <v>35.0</v>
      </c>
      <c r="AP161" s="1" t="s">
        <v>1000</v>
      </c>
      <c r="AQ161" s="3" t="str">
        <f>HYPERLINK("https://icf.clappia.com/app/GMB253374/submission/SSQ62369537/ICF247370-GMB253374-i4i8b5n5aohe0000000/SIG-20250630_1100dggje.jpeg", "SIG-20250630_1100dggje.jpeg")</f>
        <v>SIG-20250630_1100dggje.jpeg</v>
      </c>
      <c r="AR161" s="1" t="s">
        <v>1001</v>
      </c>
      <c r="AS161" s="3" t="str">
        <f>HYPERLINK("https://icf.clappia.com/app/GMB253374/submission/SSQ62369537/ICF247370-GMB253374-3ld3mi7jld1c00000000/SIG-20250630_11001n815.jpeg", "SIG-20250630_11001n815.jpeg")</f>
        <v>SIG-20250630_11001n815.jpeg</v>
      </c>
      <c r="AT161" s="1" t="s">
        <v>1002</v>
      </c>
      <c r="AU161" s="3" t="str">
        <f>HYPERLINK("https://icf.clappia.com/app/GMB253374/submission/SSQ62369537/ICF247370-GMB253374-4o2lapkae6oa00000000/SIG-20250630_1101e2ph8.jpeg", "SIG-20250630_1101e2ph8.jpeg")</f>
        <v>SIG-20250630_1101e2ph8.jpeg</v>
      </c>
      <c r="AV161" s="3" t="str">
        <f>HYPERLINK("https://www.google.com/maps/place/9.0299533%2C-12.15762", "9.0299533,-12.15762")</f>
        <v>9.0299533,-12.15762</v>
      </c>
    </row>
    <row r="162" ht="15.75" customHeight="1">
      <c r="A162" s="1" t="s">
        <v>1003</v>
      </c>
      <c r="B162" s="1" t="s">
        <v>188</v>
      </c>
      <c r="C162" s="1" t="s">
        <v>1004</v>
      </c>
      <c r="D162" s="1" t="s">
        <v>1004</v>
      </c>
      <c r="E162" s="1" t="s">
        <v>1005</v>
      </c>
      <c r="F162" s="1" t="s">
        <v>50</v>
      </c>
      <c r="G162" s="1">
        <v>76.0</v>
      </c>
      <c r="H162" s="1" t="s">
        <v>51</v>
      </c>
      <c r="I162" s="1">
        <v>17.0</v>
      </c>
      <c r="J162" s="1">
        <v>8.0</v>
      </c>
      <c r="K162" s="1">
        <v>8.0</v>
      </c>
      <c r="L162" s="1">
        <v>9.0</v>
      </c>
      <c r="M162" s="1">
        <v>9.0</v>
      </c>
      <c r="N162" s="1" t="s">
        <v>52</v>
      </c>
      <c r="O162" s="1">
        <v>23.0</v>
      </c>
      <c r="P162" s="1">
        <v>13.0</v>
      </c>
      <c r="Q162" s="1">
        <v>13.0</v>
      </c>
      <c r="R162" s="1">
        <v>10.0</v>
      </c>
      <c r="S162" s="1">
        <v>10.0</v>
      </c>
      <c r="T162" s="1" t="s">
        <v>53</v>
      </c>
      <c r="U162" s="1">
        <v>12.0</v>
      </c>
      <c r="V162" s="1">
        <v>7.0</v>
      </c>
      <c r="W162" s="1">
        <v>7.0</v>
      </c>
      <c r="X162" s="1">
        <v>5.0</v>
      </c>
      <c r="Y162" s="1">
        <v>5.0</v>
      </c>
      <c r="Z162" s="1" t="s">
        <v>54</v>
      </c>
      <c r="AA162" s="1">
        <v>13.0</v>
      </c>
      <c r="AB162" s="1">
        <v>5.0</v>
      </c>
      <c r="AC162" s="1">
        <v>5.0</v>
      </c>
      <c r="AD162" s="1">
        <v>8.0</v>
      </c>
      <c r="AE162" s="1">
        <v>8.0</v>
      </c>
      <c r="AF162" s="1" t="s">
        <v>56</v>
      </c>
      <c r="AG162" s="1">
        <v>11.0</v>
      </c>
      <c r="AH162" s="1">
        <v>6.0</v>
      </c>
      <c r="AI162" s="1">
        <v>6.0</v>
      </c>
      <c r="AJ162" s="1">
        <v>5.0</v>
      </c>
      <c r="AK162" s="1">
        <v>5.0</v>
      </c>
      <c r="AL162" s="1">
        <v>76.0</v>
      </c>
      <c r="AM162" s="1" t="s">
        <v>55</v>
      </c>
      <c r="AN162" s="1" t="s">
        <v>55</v>
      </c>
      <c r="AO162" s="1" t="s">
        <v>55</v>
      </c>
      <c r="AP162" s="1" t="s">
        <v>1006</v>
      </c>
      <c r="AQ162" s="3" t="str">
        <f>HYPERLINK("https://icf.clappia.com/app/GMB253374/submission/DEW52932994/ICF247370-GMB253374-2olb2684maic00000000/SIG-20250630_09517f36l.jpeg", "SIG-20250630_09517f36l.jpeg")</f>
        <v>SIG-20250630_09517f36l.jpeg</v>
      </c>
      <c r="AR162" s="1" t="s">
        <v>1007</v>
      </c>
      <c r="AS162" s="3" t="str">
        <f>HYPERLINK("https://icf.clappia.com/app/GMB253374/submission/DEW52932994/ICF247370-GMB253374-42jod7eipb7000000000/SIG-20250630_0952e4o0f.jpeg", "SIG-20250630_0952e4o0f.jpeg")</f>
        <v>SIG-20250630_0952e4o0f.jpeg</v>
      </c>
      <c r="AT162" s="1" t="s">
        <v>1008</v>
      </c>
      <c r="AU162" s="3" t="str">
        <f>HYPERLINK("https://icf.clappia.com/app/GMB253374/submission/DEW52932994/ICF247370-GMB253374-48c7om0c6hpm00000000/SIG-20250630_110610o59p.jpeg", "SIG-20250630_110610o59p.jpeg")</f>
        <v>SIG-20250630_110610o59p.jpeg</v>
      </c>
      <c r="AV162" s="3" t="str">
        <f>HYPERLINK("https://www.google.com/maps/place/7.991295%2C-11.86878", "7.991295,-11.86878")</f>
        <v>7.991295,-11.86878</v>
      </c>
    </row>
    <row r="163" ht="15.75" customHeight="1">
      <c r="A163" s="1" t="s">
        <v>1009</v>
      </c>
      <c r="B163" s="1" t="s">
        <v>320</v>
      </c>
      <c r="C163" s="1" t="s">
        <v>1010</v>
      </c>
      <c r="D163" s="1" t="s">
        <v>1010</v>
      </c>
      <c r="E163" s="1" t="s">
        <v>1011</v>
      </c>
      <c r="F163" s="1" t="s">
        <v>50</v>
      </c>
      <c r="G163" s="1">
        <v>165.0</v>
      </c>
      <c r="H163" s="1" t="s">
        <v>51</v>
      </c>
      <c r="I163" s="1">
        <v>60.0</v>
      </c>
      <c r="J163" s="1">
        <v>35.0</v>
      </c>
      <c r="K163" s="1">
        <v>31.0</v>
      </c>
      <c r="L163" s="1">
        <v>25.0</v>
      </c>
      <c r="M163" s="1">
        <v>18.0</v>
      </c>
      <c r="N163" s="1" t="s">
        <v>52</v>
      </c>
      <c r="O163" s="1">
        <v>36.0</v>
      </c>
      <c r="P163" s="1">
        <v>19.0</v>
      </c>
      <c r="Q163" s="1">
        <v>15.0</v>
      </c>
      <c r="R163" s="1">
        <v>17.0</v>
      </c>
      <c r="S163" s="1">
        <v>7.0</v>
      </c>
      <c r="T163" s="1" t="s">
        <v>53</v>
      </c>
      <c r="U163" s="1">
        <v>47.0</v>
      </c>
      <c r="V163" s="1">
        <v>25.0</v>
      </c>
      <c r="W163" s="1">
        <v>15.0</v>
      </c>
      <c r="X163" s="1">
        <v>22.0</v>
      </c>
      <c r="Y163" s="1">
        <v>22.0</v>
      </c>
      <c r="Z163" s="1" t="s">
        <v>54</v>
      </c>
      <c r="AA163" s="1">
        <v>32.0</v>
      </c>
      <c r="AB163" s="1">
        <v>16.0</v>
      </c>
      <c r="AC163" s="1">
        <v>14.0</v>
      </c>
      <c r="AD163" s="1">
        <v>16.0</v>
      </c>
      <c r="AE163" s="1">
        <v>14.0</v>
      </c>
      <c r="AF163" s="1" t="s">
        <v>56</v>
      </c>
      <c r="AG163" s="1">
        <v>13.0</v>
      </c>
      <c r="AH163" s="1">
        <v>5.0</v>
      </c>
      <c r="AI163" s="1">
        <v>5.0</v>
      </c>
      <c r="AJ163" s="1">
        <v>8.0</v>
      </c>
      <c r="AK163" s="1">
        <v>8.0</v>
      </c>
      <c r="AL163" s="1">
        <v>149.0</v>
      </c>
      <c r="AM163" s="1" t="s">
        <v>55</v>
      </c>
      <c r="AN163" s="1">
        <v>16.0</v>
      </c>
      <c r="AO163" s="1">
        <v>16.0</v>
      </c>
      <c r="AP163" s="1" t="s">
        <v>1012</v>
      </c>
      <c r="AQ163" s="3" t="str">
        <f>HYPERLINK("https://icf.clappia.com/app/GMB253374/submission/LVH98427672/ICF247370-GMB253374-5n7816hdmhg400000000/SIG-20250630_12018pnc6.jpeg", "SIG-20250630_12018pnc6.jpeg")</f>
        <v>SIG-20250630_12018pnc6.jpeg</v>
      </c>
      <c r="AR163" s="1" t="s">
        <v>1013</v>
      </c>
      <c r="AS163" s="3" t="str">
        <f>HYPERLINK("https://icf.clappia.com/app/GMB253374/submission/LVH98427672/ICF247370-GMB253374-3af9ppd4629600000000/SIG-20250630_1204jak1f.jpeg", "SIG-20250630_1204jak1f.jpeg")</f>
        <v>SIG-20250630_1204jak1f.jpeg</v>
      </c>
      <c r="AT163" s="1" t="s">
        <v>1014</v>
      </c>
      <c r="AU163" s="3" t="str">
        <f>HYPERLINK("https://icf.clappia.com/app/GMB253374/submission/LVH98427672/ICF247370-GMB253374-5cp7o9c7m10800000000/SIG-20250630_120610h455.jpeg", "SIG-20250630_120610h455.jpeg")</f>
        <v>SIG-20250630_120610h455.jpeg</v>
      </c>
      <c r="AV163" s="3" t="str">
        <f>HYPERLINK("https://www.google.com/maps/place/9.0177183%2C-12.0442283", "9.0177183,-12.0442283")</f>
        <v>9.0177183,-12.0442283</v>
      </c>
    </row>
    <row r="164" ht="15.75" customHeight="1">
      <c r="A164" s="1" t="s">
        <v>1015</v>
      </c>
      <c r="B164" s="1" t="s">
        <v>388</v>
      </c>
      <c r="C164" s="1" t="s">
        <v>1010</v>
      </c>
      <c r="D164" s="1" t="s">
        <v>1010</v>
      </c>
      <c r="E164" s="1" t="s">
        <v>1016</v>
      </c>
      <c r="F164" s="1" t="s">
        <v>50</v>
      </c>
      <c r="G164" s="1">
        <v>200.0</v>
      </c>
      <c r="H164" s="1" t="s">
        <v>51</v>
      </c>
      <c r="I164" s="1">
        <v>55.0</v>
      </c>
      <c r="J164" s="1">
        <v>25.0</v>
      </c>
      <c r="K164" s="1">
        <v>14.0</v>
      </c>
      <c r="L164" s="1">
        <v>30.0</v>
      </c>
      <c r="M164" s="1">
        <v>18.0</v>
      </c>
      <c r="N164" s="1" t="s">
        <v>52</v>
      </c>
      <c r="O164" s="1">
        <v>50.0</v>
      </c>
      <c r="P164" s="1">
        <v>20.0</v>
      </c>
      <c r="Q164" s="1">
        <v>10.0</v>
      </c>
      <c r="R164" s="1">
        <v>30.0</v>
      </c>
      <c r="S164" s="1">
        <v>10.0</v>
      </c>
      <c r="T164" s="1" t="s">
        <v>53</v>
      </c>
      <c r="U164" s="1">
        <v>37.0</v>
      </c>
      <c r="V164" s="1">
        <v>27.0</v>
      </c>
      <c r="W164" s="1">
        <v>7.0</v>
      </c>
      <c r="X164" s="1">
        <v>10.0</v>
      </c>
      <c r="Y164" s="1">
        <v>6.0</v>
      </c>
      <c r="Z164" s="1" t="s">
        <v>54</v>
      </c>
      <c r="AA164" s="1">
        <v>20.0</v>
      </c>
      <c r="AB164" s="1">
        <v>8.0</v>
      </c>
      <c r="AC164" s="1">
        <v>5.0</v>
      </c>
      <c r="AD164" s="1">
        <v>12.0</v>
      </c>
      <c r="AE164" s="1">
        <v>9.0</v>
      </c>
      <c r="AF164" s="1" t="s">
        <v>56</v>
      </c>
      <c r="AG164" s="1">
        <v>15.0</v>
      </c>
      <c r="AH164" s="1">
        <v>7.0</v>
      </c>
      <c r="AI164" s="1">
        <v>5.0</v>
      </c>
      <c r="AJ164" s="1">
        <v>8.0</v>
      </c>
      <c r="AK164" s="1">
        <v>6.0</v>
      </c>
      <c r="AL164" s="1">
        <v>90.0</v>
      </c>
      <c r="AM164" s="1">
        <v>10.0</v>
      </c>
      <c r="AN164" s="1">
        <v>100.0</v>
      </c>
      <c r="AO164" s="1">
        <v>100.0</v>
      </c>
      <c r="AP164" s="1" t="s">
        <v>1017</v>
      </c>
      <c r="AQ164" s="3" t="str">
        <f>HYPERLINK("https://icf.clappia.com/app/GMB253374/submission/UOJ36407166/ICF247370-GMB253374-3j3604emc1a200000000/SIG-20250630_115914go2b.jpeg", "SIG-20250630_115914go2b.jpeg")</f>
        <v>SIG-20250630_115914go2b.jpeg</v>
      </c>
      <c r="AR164" s="1" t="s">
        <v>1018</v>
      </c>
      <c r="AS164" s="3" t="str">
        <f>HYPERLINK("https://icf.clappia.com/app/GMB253374/submission/UOJ36407166/ICF247370-GMB253374-52j8lpkaejk000000000/SIG-20250630_1159c86na.jpeg", "SIG-20250630_1159c86na.jpeg")</f>
        <v>SIG-20250630_1159c86na.jpeg</v>
      </c>
      <c r="AT164" s="1" t="s">
        <v>1019</v>
      </c>
      <c r="AU164" s="3" t="str">
        <f>HYPERLINK("https://icf.clappia.com/app/GMB253374/submission/UOJ36407166/ICF247370-GMB253374-672j4daf89k800000000/SIG-20250630_12069841l.jpeg", "SIG-20250630_12069841l.jpeg")</f>
        <v>SIG-20250630_12069841l.jpeg</v>
      </c>
      <c r="AV164" s="3" t="str">
        <f>HYPERLINK("https://www.google.com/maps/place/8.87714%2C-12.0952533", "8.87714,-12.0952533")</f>
        <v>8.87714,-12.0952533</v>
      </c>
    </row>
    <row r="165" ht="15.75" customHeight="1">
      <c r="A165" s="1" t="s">
        <v>1020</v>
      </c>
      <c r="B165" s="1" t="s">
        <v>236</v>
      </c>
      <c r="C165" s="1" t="s">
        <v>1021</v>
      </c>
      <c r="D165" s="1" t="s">
        <v>1021</v>
      </c>
      <c r="E165" s="1" t="s">
        <v>1022</v>
      </c>
      <c r="F165" s="1" t="s">
        <v>50</v>
      </c>
      <c r="G165" s="1">
        <v>154.0</v>
      </c>
      <c r="H165" s="1" t="s">
        <v>51</v>
      </c>
      <c r="I165" s="1">
        <v>43.0</v>
      </c>
      <c r="J165" s="1">
        <v>20.0</v>
      </c>
      <c r="K165" s="1">
        <v>20.0</v>
      </c>
      <c r="L165" s="1">
        <v>23.0</v>
      </c>
      <c r="M165" s="1">
        <v>23.0</v>
      </c>
      <c r="N165" s="1" t="s">
        <v>52</v>
      </c>
      <c r="O165" s="1">
        <v>35.0</v>
      </c>
      <c r="P165" s="1">
        <v>17.0</v>
      </c>
      <c r="Q165" s="1">
        <v>17.0</v>
      </c>
      <c r="R165" s="1">
        <v>18.0</v>
      </c>
      <c r="S165" s="1">
        <v>18.0</v>
      </c>
      <c r="T165" s="1" t="s">
        <v>53</v>
      </c>
      <c r="U165" s="1">
        <v>32.0</v>
      </c>
      <c r="V165" s="1">
        <v>12.0</v>
      </c>
      <c r="W165" s="1">
        <v>12.0</v>
      </c>
      <c r="X165" s="1">
        <v>20.0</v>
      </c>
      <c r="Y165" s="1">
        <v>20.0</v>
      </c>
      <c r="Z165" s="1" t="s">
        <v>54</v>
      </c>
      <c r="AA165" s="1">
        <v>24.0</v>
      </c>
      <c r="AB165" s="1">
        <v>10.0</v>
      </c>
      <c r="AC165" s="1">
        <v>10.0</v>
      </c>
      <c r="AD165" s="1">
        <v>14.0</v>
      </c>
      <c r="AE165" s="1">
        <v>14.0</v>
      </c>
      <c r="AF165" s="1" t="s">
        <v>56</v>
      </c>
      <c r="AG165" s="1">
        <v>20.0</v>
      </c>
      <c r="AH165" s="1">
        <v>10.0</v>
      </c>
      <c r="AI165" s="1">
        <v>10.0</v>
      </c>
      <c r="AJ165" s="1">
        <v>10.0</v>
      </c>
      <c r="AK165" s="1">
        <v>10.0</v>
      </c>
      <c r="AL165" s="1">
        <v>154.0</v>
      </c>
      <c r="AM165" s="1" t="s">
        <v>55</v>
      </c>
      <c r="AN165" s="1" t="s">
        <v>55</v>
      </c>
      <c r="AO165" s="1" t="s">
        <v>55</v>
      </c>
      <c r="AP165" s="1" t="s">
        <v>1023</v>
      </c>
      <c r="AQ165" s="3" t="str">
        <f>HYPERLINK("https://icf.clappia.com/app/GMB253374/submission/IAB95995918/ICF247370-GMB253374-3fj48po403b400000000/SIG-20250630_1039aaoii.jpeg", "SIG-20250630_1039aaoii.jpeg")</f>
        <v>SIG-20250630_1039aaoii.jpeg</v>
      </c>
      <c r="AR165" s="1" t="s">
        <v>1024</v>
      </c>
      <c r="AS165" s="3" t="str">
        <f>HYPERLINK("https://icf.clappia.com/app/GMB253374/submission/IAB95995918/ICF247370-GMB253374-hkla5cg5p81e0000000/SIG-20250630_1039dfh8g.jpeg", "SIG-20250630_1039dfh8g.jpeg")</f>
        <v>SIG-20250630_1039dfh8g.jpeg</v>
      </c>
      <c r="AT165" s="1" t="s">
        <v>1025</v>
      </c>
      <c r="AU165" s="3" t="str">
        <f>HYPERLINK("https://icf.clappia.com/app/GMB253374/submission/IAB95995918/ICF247370-GMB253374-26l4p83c7p43a0000000/SIG-20250630_1042akkeb.jpeg", "SIG-20250630_1042akkeb.jpeg")</f>
        <v>SIG-20250630_1042akkeb.jpeg</v>
      </c>
      <c r="AV165" s="3" t="str">
        <f>HYPERLINK("https://www.google.com/maps/place/7.86584%2C-11.706605", "7.86584,-11.706605")</f>
        <v>7.86584,-11.706605</v>
      </c>
    </row>
    <row r="166" ht="15.75" customHeight="1">
      <c r="A166" s="1" t="s">
        <v>1026</v>
      </c>
      <c r="B166" s="1" t="s">
        <v>236</v>
      </c>
      <c r="C166" s="1" t="s">
        <v>1027</v>
      </c>
      <c r="D166" s="1" t="s">
        <v>1027</v>
      </c>
      <c r="E166" s="1" t="s">
        <v>1028</v>
      </c>
      <c r="F166" s="1" t="s">
        <v>121</v>
      </c>
      <c r="G166" s="1">
        <v>140.0</v>
      </c>
      <c r="H166" s="1" t="s">
        <v>51</v>
      </c>
      <c r="I166" s="1">
        <v>25.0</v>
      </c>
      <c r="J166" s="1">
        <v>12.0</v>
      </c>
      <c r="K166" s="1">
        <v>12.0</v>
      </c>
      <c r="L166" s="1">
        <v>13.0</v>
      </c>
      <c r="M166" s="1">
        <v>13.0</v>
      </c>
      <c r="N166" s="1" t="s">
        <v>52</v>
      </c>
      <c r="O166" s="1">
        <v>35.0</v>
      </c>
      <c r="P166" s="1">
        <v>20.0</v>
      </c>
      <c r="Q166" s="1">
        <v>20.0</v>
      </c>
      <c r="R166" s="1">
        <v>15.0</v>
      </c>
      <c r="S166" s="1">
        <v>15.0</v>
      </c>
      <c r="T166" s="1" t="s">
        <v>53</v>
      </c>
      <c r="U166" s="1">
        <v>30.0</v>
      </c>
      <c r="V166" s="1">
        <v>10.0</v>
      </c>
      <c r="W166" s="1">
        <v>10.0</v>
      </c>
      <c r="X166" s="1">
        <v>20.0</v>
      </c>
      <c r="Y166" s="1">
        <v>20.0</v>
      </c>
      <c r="Z166" s="1" t="s">
        <v>54</v>
      </c>
      <c r="AA166" s="1">
        <v>25.0</v>
      </c>
      <c r="AB166" s="1">
        <v>15.0</v>
      </c>
      <c r="AC166" s="1">
        <v>15.0</v>
      </c>
      <c r="AD166" s="1">
        <v>10.0</v>
      </c>
      <c r="AE166" s="1">
        <v>10.0</v>
      </c>
      <c r="AF166" s="1" t="s">
        <v>56</v>
      </c>
      <c r="AG166" s="1">
        <v>25.0</v>
      </c>
      <c r="AH166" s="1">
        <v>15.0</v>
      </c>
      <c r="AI166" s="1">
        <v>15.0</v>
      </c>
      <c r="AJ166" s="1">
        <v>10.0</v>
      </c>
      <c r="AK166" s="1">
        <v>10.0</v>
      </c>
      <c r="AL166" s="1">
        <v>140.0</v>
      </c>
      <c r="AM166" s="1" t="s">
        <v>55</v>
      </c>
      <c r="AN166" s="1" t="s">
        <v>55</v>
      </c>
      <c r="AO166" s="1" t="s">
        <v>55</v>
      </c>
      <c r="AP166" s="1" t="s">
        <v>1029</v>
      </c>
      <c r="AQ166" s="3" t="str">
        <f>HYPERLINK("https://icf.clappia.com/app/GMB253374/submission/TAR58962652/ICF247370-GMB253374-1lggc8mcai4pg0000000/SIG-20250630_10413g23f.jpeg", "SIG-20250630_10413g23f.jpeg")</f>
        <v>SIG-20250630_10413g23f.jpeg</v>
      </c>
      <c r="AR166" s="1" t="s">
        <v>1030</v>
      </c>
      <c r="AS166" s="3" t="str">
        <f>HYPERLINK("https://icf.clappia.com/app/GMB253374/submission/TAR58962652/ICF247370-GMB253374-i8io46fhom0o0000000/SIG-20250630_1041jh982.jpeg", "SIG-20250630_1041jh982.jpeg")</f>
        <v>SIG-20250630_1041jh982.jpeg</v>
      </c>
      <c r="AT166" s="1" t="s">
        <v>1031</v>
      </c>
      <c r="AU166" s="3" t="str">
        <f>HYPERLINK("https://icf.clappia.com/app/GMB253374/submission/TAR58962652/ICF247370-GMB253374-60i8omd7nde000000000/SIG-20250630_1049gapi4.jpeg", "SIG-20250630_1049gapi4.jpeg")</f>
        <v>SIG-20250630_1049gapi4.jpeg</v>
      </c>
      <c r="AV166" s="3" t="str">
        <f>HYPERLINK("https://www.google.com/maps/place/7.9609283%2C-11.7685717", "7.9609283,-11.7685717")</f>
        <v>7.9609283,-11.7685717</v>
      </c>
    </row>
    <row r="167" ht="15.75" customHeight="1">
      <c r="A167" s="1" t="s">
        <v>1032</v>
      </c>
      <c r="B167" s="1" t="s">
        <v>236</v>
      </c>
      <c r="C167" s="1" t="s">
        <v>1027</v>
      </c>
      <c r="D167" s="1" t="s">
        <v>1027</v>
      </c>
      <c r="E167" s="1" t="s">
        <v>1033</v>
      </c>
      <c r="F167" s="1" t="s">
        <v>50</v>
      </c>
      <c r="G167" s="1">
        <v>260.0</v>
      </c>
      <c r="H167" s="1" t="s">
        <v>51</v>
      </c>
      <c r="I167" s="1">
        <v>64.0</v>
      </c>
      <c r="J167" s="1">
        <v>34.0</v>
      </c>
      <c r="K167" s="1">
        <v>31.0</v>
      </c>
      <c r="L167" s="1">
        <v>30.0</v>
      </c>
      <c r="M167" s="1">
        <v>30.0</v>
      </c>
      <c r="N167" s="1" t="s">
        <v>52</v>
      </c>
      <c r="O167" s="1">
        <v>52.0</v>
      </c>
      <c r="P167" s="1">
        <v>28.0</v>
      </c>
      <c r="Q167" s="1">
        <v>26.0</v>
      </c>
      <c r="R167" s="1">
        <v>24.0</v>
      </c>
      <c r="S167" s="1">
        <v>23.0</v>
      </c>
      <c r="T167" s="1" t="s">
        <v>53</v>
      </c>
      <c r="U167" s="1">
        <v>46.0</v>
      </c>
      <c r="V167" s="1">
        <v>22.0</v>
      </c>
      <c r="W167" s="1">
        <v>13.0</v>
      </c>
      <c r="X167" s="1">
        <v>24.0</v>
      </c>
      <c r="Y167" s="1">
        <v>17.0</v>
      </c>
      <c r="Z167" s="1" t="s">
        <v>54</v>
      </c>
      <c r="AA167" s="1">
        <v>41.0</v>
      </c>
      <c r="AB167" s="1">
        <v>21.0</v>
      </c>
      <c r="AC167" s="1">
        <v>20.0</v>
      </c>
      <c r="AD167" s="1">
        <v>20.0</v>
      </c>
      <c r="AE167" s="1">
        <v>16.0</v>
      </c>
      <c r="AF167" s="1" t="s">
        <v>56</v>
      </c>
      <c r="AG167" s="1">
        <v>42.0</v>
      </c>
      <c r="AH167" s="1">
        <v>25.0</v>
      </c>
      <c r="AI167" s="1">
        <v>20.0</v>
      </c>
      <c r="AJ167" s="1">
        <v>17.0</v>
      </c>
      <c r="AK167" s="1">
        <v>14.0</v>
      </c>
      <c r="AL167" s="1">
        <v>210.0</v>
      </c>
      <c r="AM167" s="1" t="s">
        <v>55</v>
      </c>
      <c r="AN167" s="1">
        <v>50.0</v>
      </c>
      <c r="AO167" s="1">
        <v>50.0</v>
      </c>
      <c r="AP167" s="1" t="s">
        <v>1034</v>
      </c>
      <c r="AQ167" s="3" t="str">
        <f>HYPERLINK("https://icf.clappia.com/app/GMB253374/submission/BXE49992194/ICF247370-GMB253374-plidmbg0k4bo0000000/SIG-20250630_1157enlld.jpeg", "SIG-20250630_1157enlld.jpeg")</f>
        <v>SIG-20250630_1157enlld.jpeg</v>
      </c>
      <c r="AR167" s="1" t="s">
        <v>1035</v>
      </c>
      <c r="AS167" s="3" t="str">
        <f>HYPERLINK("https://icf.clappia.com/app/GMB253374/submission/BXE49992194/ICF247370-GMB253374-cf2hc92595200000000/SIG-20250630_1159bgb32.jpeg", "SIG-20250630_1159bgb32.jpeg")</f>
        <v>SIG-20250630_1159bgb32.jpeg</v>
      </c>
      <c r="AT167" s="1" t="s">
        <v>1036</v>
      </c>
      <c r="AU167" s="3" t="str">
        <f>HYPERLINK("https://icf.clappia.com/app/GMB253374/submission/BXE49992194/ICF247370-GMB253374-19m08pp4ggaf20000000/SIG-20250630_115918pkad.jpeg", "SIG-20250630_115918pkad.jpeg")</f>
        <v>SIG-20250630_115918pkad.jpeg</v>
      </c>
      <c r="AV167" s="3" t="str">
        <f>HYPERLINK("https://www.google.com/maps/place/7.8651519%2C-11.7043539", "7.8651519,-11.7043539")</f>
        <v>7.8651519,-11.7043539</v>
      </c>
    </row>
    <row r="168" ht="15.75" customHeight="1">
      <c r="A168" s="1" t="s">
        <v>1037</v>
      </c>
      <c r="B168" s="1" t="s">
        <v>450</v>
      </c>
      <c r="C168" s="1" t="s">
        <v>1027</v>
      </c>
      <c r="D168" s="1" t="s">
        <v>1027</v>
      </c>
      <c r="E168" s="1" t="s">
        <v>1038</v>
      </c>
      <c r="F168" s="1" t="s">
        <v>50</v>
      </c>
      <c r="G168" s="1">
        <v>150.0</v>
      </c>
      <c r="H168" s="1" t="s">
        <v>51</v>
      </c>
      <c r="I168" s="1">
        <v>57.0</v>
      </c>
      <c r="J168" s="1">
        <v>23.0</v>
      </c>
      <c r="K168" s="1">
        <v>10.0</v>
      </c>
      <c r="L168" s="1">
        <v>34.0</v>
      </c>
      <c r="M168" s="1">
        <v>17.0</v>
      </c>
      <c r="N168" s="1" t="s">
        <v>52</v>
      </c>
      <c r="O168" s="1">
        <v>41.0</v>
      </c>
      <c r="P168" s="1">
        <v>24.0</v>
      </c>
      <c r="Q168" s="1">
        <v>16.0</v>
      </c>
      <c r="R168" s="1">
        <v>17.0</v>
      </c>
      <c r="S168" s="1">
        <v>6.0</v>
      </c>
      <c r="T168" s="1" t="s">
        <v>53</v>
      </c>
      <c r="U168" s="1">
        <v>49.0</v>
      </c>
      <c r="V168" s="1">
        <v>20.0</v>
      </c>
      <c r="W168" s="1">
        <v>11.0</v>
      </c>
      <c r="X168" s="1">
        <v>29.0</v>
      </c>
      <c r="Y168" s="1">
        <v>24.0</v>
      </c>
      <c r="Z168" s="1" t="s">
        <v>54</v>
      </c>
      <c r="AA168" s="1">
        <v>56.0</v>
      </c>
      <c r="AB168" s="1">
        <v>24.0</v>
      </c>
      <c r="AC168" s="1">
        <v>10.0</v>
      </c>
      <c r="AD168" s="1">
        <v>30.0</v>
      </c>
      <c r="AE168" s="1">
        <v>15.0</v>
      </c>
      <c r="AF168" s="1" t="s">
        <v>56</v>
      </c>
      <c r="AG168" s="1">
        <v>50.0</v>
      </c>
      <c r="AH168" s="1">
        <v>24.0</v>
      </c>
      <c r="AI168" s="1">
        <v>20.0</v>
      </c>
      <c r="AJ168" s="1">
        <v>26.0</v>
      </c>
      <c r="AK168" s="1">
        <v>21.0</v>
      </c>
      <c r="AL168" s="1">
        <v>150.0</v>
      </c>
      <c r="AM168" s="1" t="s">
        <v>55</v>
      </c>
      <c r="AN168" s="1" t="s">
        <v>55</v>
      </c>
      <c r="AO168" s="1" t="s">
        <v>55</v>
      </c>
      <c r="AP168" s="1" t="s">
        <v>1039</v>
      </c>
      <c r="AQ168" s="3" t="str">
        <f>HYPERLINK("https://icf.clappia.com/app/GMB253374/submission/MTO06577109/ICF247370-GMB253374-3f50f3g3hdj200000000/SIG-20250630_1149pi68a.jpeg", "SIG-20250630_1149pi68a.jpeg")</f>
        <v>SIG-20250630_1149pi68a.jpeg</v>
      </c>
      <c r="AR168" s="1" t="s">
        <v>1040</v>
      </c>
      <c r="AS168" s="3" t="str">
        <f>HYPERLINK("https://icf.clappia.com/app/GMB253374/submission/MTO06577109/ICF247370-GMB253374-2ki8eanf4j9i00000000/SIG-20250630_1149378f5.jpeg", "SIG-20250630_1149378f5.jpeg")</f>
        <v>SIG-20250630_1149378f5.jpeg</v>
      </c>
      <c r="AT168" s="1" t="s">
        <v>1041</v>
      </c>
      <c r="AU168" s="3" t="str">
        <f>HYPERLINK("https://icf.clappia.com/app/GMB253374/submission/MTO06577109/ICF247370-GMB253374-1ncfl02hn6iak0000000/SIG-20250630_115649ohi.jpeg", "SIG-20250630_115649ohi.jpeg")</f>
        <v>SIG-20250630_115649ohi.jpeg</v>
      </c>
      <c r="AV168" s="3" t="str">
        <f>HYPERLINK("https://www.google.com/maps/place/9.1071179%2C-12.2052686", "9.1071179,-12.2052686")</f>
        <v>9.1071179,-12.2052686</v>
      </c>
    </row>
    <row r="169" ht="15.75" customHeight="1">
      <c r="A169" s="1" t="s">
        <v>1042</v>
      </c>
      <c r="B169" s="1" t="s">
        <v>169</v>
      </c>
      <c r="C169" s="1" t="s">
        <v>1043</v>
      </c>
      <c r="D169" s="1" t="s">
        <v>1043</v>
      </c>
      <c r="E169" s="1" t="s">
        <v>1044</v>
      </c>
      <c r="F169" s="1" t="s">
        <v>50</v>
      </c>
      <c r="G169" s="1">
        <v>168.0</v>
      </c>
      <c r="H169" s="1" t="s">
        <v>51</v>
      </c>
      <c r="I169" s="1">
        <v>28.0</v>
      </c>
      <c r="J169" s="1">
        <v>11.0</v>
      </c>
      <c r="K169" s="1">
        <v>11.0</v>
      </c>
      <c r="L169" s="1">
        <v>17.0</v>
      </c>
      <c r="M169" s="1">
        <v>17.0</v>
      </c>
      <c r="N169" s="1" t="s">
        <v>52</v>
      </c>
      <c r="O169" s="1">
        <v>27.0</v>
      </c>
      <c r="P169" s="1">
        <v>11.0</v>
      </c>
      <c r="Q169" s="1">
        <v>11.0</v>
      </c>
      <c r="R169" s="1">
        <v>16.0</v>
      </c>
      <c r="S169" s="1">
        <v>16.0</v>
      </c>
      <c r="T169" s="1" t="s">
        <v>53</v>
      </c>
      <c r="U169" s="1">
        <v>20.0</v>
      </c>
      <c r="V169" s="1">
        <v>8.0</v>
      </c>
      <c r="W169" s="1">
        <v>8.0</v>
      </c>
      <c r="X169" s="1">
        <v>12.0</v>
      </c>
      <c r="Y169" s="1">
        <v>12.0</v>
      </c>
      <c r="Z169" s="1" t="s">
        <v>54</v>
      </c>
      <c r="AA169" s="1">
        <v>28.0</v>
      </c>
      <c r="AB169" s="1">
        <v>12.0</v>
      </c>
      <c r="AC169" s="1">
        <v>12.0</v>
      </c>
      <c r="AD169" s="1">
        <v>16.0</v>
      </c>
      <c r="AE169" s="1">
        <v>16.0</v>
      </c>
      <c r="AF169" s="1" t="s">
        <v>56</v>
      </c>
      <c r="AG169" s="1">
        <v>17.0</v>
      </c>
      <c r="AH169" s="1">
        <v>9.0</v>
      </c>
      <c r="AI169" s="1">
        <v>9.0</v>
      </c>
      <c r="AJ169" s="1">
        <v>8.0</v>
      </c>
      <c r="AK169" s="1">
        <v>8.0</v>
      </c>
      <c r="AL169" s="1">
        <v>120.0</v>
      </c>
      <c r="AM169" s="1" t="s">
        <v>55</v>
      </c>
      <c r="AN169" s="1">
        <v>48.0</v>
      </c>
      <c r="AO169" s="1">
        <v>48.0</v>
      </c>
      <c r="AP169" s="1" t="s">
        <v>1045</v>
      </c>
      <c r="AQ169" s="3" t="str">
        <f>HYPERLINK("https://icf.clappia.com/app/GMB253374/submission/DGJ92740467/ICF247370-GMB253374-1b98454of51360000000/SIG-20250630_11521glop.jpeg", "SIG-20250630_11521glop.jpeg")</f>
        <v>SIG-20250630_11521glop.jpeg</v>
      </c>
      <c r="AR169" s="1" t="s">
        <v>1046</v>
      </c>
      <c r="AS169" s="3" t="str">
        <f>HYPERLINK("https://icf.clappia.com/app/GMB253374/submission/DGJ92740467/ICF247370-GMB253374-4oobk5k6na0c00000000/SIG-20250630_11521a3i8k.jpeg", "SIG-20250630_11521a3i8k.jpeg")</f>
        <v>SIG-20250630_11521a3i8k.jpeg</v>
      </c>
      <c r="AT169" s="1" t="s">
        <v>1047</v>
      </c>
      <c r="AU169" s="3" t="str">
        <f>HYPERLINK("https://icf.clappia.com/app/GMB253374/submission/DGJ92740467/ICF247370-GMB253374-1104ofcibjiog0000000/SIG-20250630_115496i2o.jpeg", "SIG-20250630_115496i2o.jpeg")</f>
        <v>SIG-20250630_115496i2o.jpeg</v>
      </c>
      <c r="AV169" s="3" t="str">
        <f>HYPERLINK("https://www.google.com/maps/place/8.8917917%2C-12.0475767", "8.8917917,-12.0475767")</f>
        <v>8.8917917,-12.0475767</v>
      </c>
    </row>
    <row r="170" ht="15.75" customHeight="1">
      <c r="A170" s="1" t="s">
        <v>1048</v>
      </c>
      <c r="B170" s="1" t="s">
        <v>98</v>
      </c>
      <c r="C170" s="1" t="s">
        <v>1043</v>
      </c>
      <c r="D170" s="1" t="s">
        <v>1043</v>
      </c>
      <c r="E170" s="1" t="s">
        <v>1049</v>
      </c>
      <c r="F170" s="1" t="s">
        <v>50</v>
      </c>
      <c r="G170" s="1">
        <v>87.0</v>
      </c>
      <c r="H170" s="1" t="s">
        <v>51</v>
      </c>
      <c r="I170" s="1">
        <v>34.0</v>
      </c>
      <c r="J170" s="1">
        <v>16.0</v>
      </c>
      <c r="K170" s="1">
        <v>16.0</v>
      </c>
      <c r="L170" s="1">
        <v>18.0</v>
      </c>
      <c r="M170" s="1">
        <v>18.0</v>
      </c>
      <c r="N170" s="1" t="s">
        <v>52</v>
      </c>
      <c r="O170" s="1">
        <v>13.0</v>
      </c>
      <c r="P170" s="1">
        <v>6.0</v>
      </c>
      <c r="Q170" s="1">
        <v>6.0</v>
      </c>
      <c r="R170" s="1">
        <v>7.0</v>
      </c>
      <c r="S170" s="1">
        <v>7.0</v>
      </c>
      <c r="T170" s="1" t="s">
        <v>53</v>
      </c>
      <c r="U170" s="1">
        <v>13.0</v>
      </c>
      <c r="V170" s="1">
        <v>5.0</v>
      </c>
      <c r="W170" s="1">
        <v>5.0</v>
      </c>
      <c r="X170" s="1">
        <v>8.0</v>
      </c>
      <c r="Y170" s="1">
        <v>8.0</v>
      </c>
      <c r="Z170" s="1" t="s">
        <v>54</v>
      </c>
      <c r="AA170" s="1">
        <v>11.0</v>
      </c>
      <c r="AB170" s="1">
        <v>5.0</v>
      </c>
      <c r="AC170" s="1">
        <v>5.0</v>
      </c>
      <c r="AD170" s="1">
        <v>6.0</v>
      </c>
      <c r="AE170" s="1">
        <v>6.0</v>
      </c>
      <c r="AF170" s="1" t="s">
        <v>56</v>
      </c>
      <c r="AG170" s="1">
        <v>10.0</v>
      </c>
      <c r="AH170" s="1">
        <v>4.0</v>
      </c>
      <c r="AI170" s="1">
        <v>4.0</v>
      </c>
      <c r="AJ170" s="1">
        <v>6.0</v>
      </c>
      <c r="AK170" s="1">
        <v>6.0</v>
      </c>
      <c r="AL170" s="1">
        <v>81.0</v>
      </c>
      <c r="AM170" s="1">
        <v>6.0</v>
      </c>
      <c r="AN170" s="1" t="s">
        <v>55</v>
      </c>
      <c r="AO170" s="1" t="s">
        <v>55</v>
      </c>
      <c r="AP170" s="1" t="s">
        <v>1050</v>
      </c>
      <c r="AQ170" s="3" t="str">
        <f>HYPERLINK("https://icf.clappia.com/app/GMB253374/submission/XPO38892450/ICF247370-GMB253374-5c1elfigc1p600000000/SIG-20250630_114715ej06.jpeg", "SIG-20250630_114715ej06.jpeg")</f>
        <v>SIG-20250630_114715ej06.jpeg</v>
      </c>
      <c r="AR170" s="1" t="s">
        <v>1051</v>
      </c>
      <c r="AS170" s="3" t="str">
        <f>HYPERLINK("https://icf.clappia.com/app/GMB253374/submission/XPO38892450/ICF247370-GMB253374-1a6ko9f7ff1ok0000000/SIG-20250630_115413c4gd.jpeg", "SIG-20250630_115413c4gd.jpeg")</f>
        <v>SIG-20250630_115413c4gd.jpeg</v>
      </c>
      <c r="AT170" s="1" t="s">
        <v>1052</v>
      </c>
      <c r="AU170" s="3" t="str">
        <f>HYPERLINK("https://icf.clappia.com/app/GMB253374/submission/XPO38892450/ICF247370-GMB253374-420pe1d9g1f200000000/SIG-20250630_1155n31k.jpeg", "SIG-20250630_1155n31k.jpeg")</f>
        <v>SIG-20250630_1155n31k.jpeg</v>
      </c>
      <c r="AV170" s="3" t="str">
        <f>HYPERLINK("https://www.google.com/maps/place/7.9505082%2C-11.7487157", "7.9505082,-11.7487157")</f>
        <v>7.9505082,-11.7487157</v>
      </c>
    </row>
    <row r="171" ht="15.75" customHeight="1">
      <c r="A171" s="1" t="s">
        <v>1053</v>
      </c>
      <c r="B171" s="1" t="s">
        <v>111</v>
      </c>
      <c r="C171" s="1" t="s">
        <v>1054</v>
      </c>
      <c r="D171" s="1" t="s">
        <v>1054</v>
      </c>
      <c r="E171" s="1" t="s">
        <v>1055</v>
      </c>
      <c r="F171" s="1" t="s">
        <v>50</v>
      </c>
      <c r="G171" s="1">
        <v>42.0</v>
      </c>
      <c r="H171" s="1" t="s">
        <v>51</v>
      </c>
      <c r="I171" s="1">
        <v>10.0</v>
      </c>
      <c r="J171" s="1">
        <v>6.0</v>
      </c>
      <c r="K171" s="1">
        <v>5.0</v>
      </c>
      <c r="L171" s="1">
        <v>4.0</v>
      </c>
      <c r="M171" s="1">
        <v>3.0</v>
      </c>
      <c r="N171" s="1" t="s">
        <v>52</v>
      </c>
      <c r="O171" s="1">
        <v>8.0</v>
      </c>
      <c r="P171" s="1">
        <v>2.0</v>
      </c>
      <c r="Q171" s="1">
        <v>1.0</v>
      </c>
      <c r="R171" s="1">
        <v>6.0</v>
      </c>
      <c r="S171" s="1">
        <v>3.0</v>
      </c>
      <c r="T171" s="1" t="s">
        <v>53</v>
      </c>
      <c r="U171" s="1">
        <v>8.0</v>
      </c>
      <c r="V171" s="1">
        <v>5.0</v>
      </c>
      <c r="W171" s="1">
        <v>3.0</v>
      </c>
      <c r="X171" s="1">
        <v>3.0</v>
      </c>
      <c r="Y171" s="1">
        <v>3.0</v>
      </c>
      <c r="Z171" s="1" t="s">
        <v>54</v>
      </c>
      <c r="AA171" s="1">
        <v>7.0</v>
      </c>
      <c r="AB171" s="1">
        <v>3.0</v>
      </c>
      <c r="AC171" s="1">
        <v>3.0</v>
      </c>
      <c r="AD171" s="1">
        <v>4.0</v>
      </c>
      <c r="AE171" s="1">
        <v>4.0</v>
      </c>
      <c r="AF171" s="1" t="s">
        <v>56</v>
      </c>
      <c r="AG171" s="1">
        <v>9.0</v>
      </c>
      <c r="AH171" s="1">
        <v>2.0</v>
      </c>
      <c r="AI171" s="1" t="s">
        <v>55</v>
      </c>
      <c r="AJ171" s="1">
        <v>7.0</v>
      </c>
      <c r="AK171" s="1">
        <v>2.0</v>
      </c>
      <c r="AL171" s="1">
        <v>27.0</v>
      </c>
      <c r="AM171" s="1">
        <v>2.0</v>
      </c>
      <c r="AN171" s="1">
        <v>13.0</v>
      </c>
      <c r="AO171" s="1">
        <v>13.0</v>
      </c>
      <c r="AP171" s="1" t="s">
        <v>1056</v>
      </c>
      <c r="AQ171" s="3" t="str">
        <f>HYPERLINK("https://icf.clappia.com/app/GMB253374/submission/OII57933828/ICF247370-GMB253374-4l3ibflni5lc00000000/SIG-20250630_1152akae9.jpeg", "SIG-20250630_1152akae9.jpeg")</f>
        <v>SIG-20250630_1152akae9.jpeg</v>
      </c>
      <c r="AR171" s="1" t="s">
        <v>1057</v>
      </c>
      <c r="AS171" s="3" t="str">
        <f>HYPERLINK("https://icf.clappia.com/app/GMB253374/submission/OII57933828/ICF247370-GMB253374-5f0n060hgaco00000000/SIG-20250630_115331ho5.jpeg", "SIG-20250630_115331ho5.jpeg")</f>
        <v>SIG-20250630_115331ho5.jpeg</v>
      </c>
      <c r="AT171" s="1" t="s">
        <v>1058</v>
      </c>
      <c r="AU171" s="3" t="str">
        <f>HYPERLINK("https://icf.clappia.com/app/GMB253374/submission/OII57933828/ICF247370-GMB253374-6a626n8354mg00000000/SIG-20250630_1153jlp1c.jpeg", "SIG-20250630_1153jlp1c.jpeg")</f>
        <v>SIG-20250630_1153jlp1c.jpeg</v>
      </c>
      <c r="AV171" s="3" t="str">
        <f>HYPERLINK("https://www.google.com/maps/place/7.9946399%2C-11.7707201", "7.9946399,-11.7707201")</f>
        <v>7.9946399,-11.7707201</v>
      </c>
    </row>
    <row r="172" ht="15.75" customHeight="1">
      <c r="A172" s="1" t="s">
        <v>1059</v>
      </c>
      <c r="B172" s="1" t="s">
        <v>162</v>
      </c>
      <c r="C172" s="1" t="s">
        <v>1060</v>
      </c>
      <c r="D172" s="1" t="s">
        <v>1060</v>
      </c>
      <c r="E172" s="1" t="s">
        <v>1061</v>
      </c>
      <c r="F172" s="1" t="s">
        <v>50</v>
      </c>
      <c r="G172" s="1">
        <v>98.0</v>
      </c>
      <c r="H172" s="1" t="s">
        <v>51</v>
      </c>
      <c r="I172" s="1">
        <v>20.0</v>
      </c>
      <c r="J172" s="1">
        <v>12.0</v>
      </c>
      <c r="K172" s="1">
        <v>6.0</v>
      </c>
      <c r="L172" s="1">
        <v>8.0</v>
      </c>
      <c r="M172" s="1">
        <v>3.0</v>
      </c>
      <c r="N172" s="1" t="s">
        <v>52</v>
      </c>
      <c r="O172" s="1">
        <v>20.0</v>
      </c>
      <c r="P172" s="1">
        <v>10.0</v>
      </c>
      <c r="Q172" s="1">
        <v>4.0</v>
      </c>
      <c r="R172" s="1">
        <v>10.0</v>
      </c>
      <c r="S172" s="1">
        <v>4.0</v>
      </c>
      <c r="T172" s="1" t="s">
        <v>53</v>
      </c>
      <c r="U172" s="1">
        <v>19.0</v>
      </c>
      <c r="V172" s="1">
        <v>10.0</v>
      </c>
      <c r="W172" s="1">
        <v>4.0</v>
      </c>
      <c r="X172" s="1">
        <v>9.0</v>
      </c>
      <c r="Y172" s="1">
        <v>3.0</v>
      </c>
      <c r="Z172" s="1" t="s">
        <v>54</v>
      </c>
      <c r="AA172" s="1">
        <v>15.0</v>
      </c>
      <c r="AB172" s="1">
        <v>7.0</v>
      </c>
      <c r="AC172" s="1">
        <v>6.0</v>
      </c>
      <c r="AD172" s="1">
        <v>8.0</v>
      </c>
      <c r="AE172" s="1">
        <v>6.0</v>
      </c>
      <c r="AF172" s="1" t="s">
        <v>56</v>
      </c>
      <c r="AG172" s="1">
        <v>19.0</v>
      </c>
      <c r="AH172" s="1">
        <v>15.0</v>
      </c>
      <c r="AI172" s="1">
        <v>3.0</v>
      </c>
      <c r="AJ172" s="1">
        <v>4.0</v>
      </c>
      <c r="AK172" s="1">
        <v>1.0</v>
      </c>
      <c r="AL172" s="1">
        <v>40.0</v>
      </c>
      <c r="AM172" s="1">
        <v>2.0</v>
      </c>
      <c r="AN172" s="1">
        <v>56.0</v>
      </c>
      <c r="AO172" s="1">
        <v>56.0</v>
      </c>
      <c r="AP172" s="1" t="s">
        <v>1062</v>
      </c>
      <c r="AQ172" s="3" t="str">
        <f>HYPERLINK("https://icf.clappia.com/app/GMB253374/submission/FOF95163005/ICF247370-GMB253374-5e661fo9fl6600000000/SIG-20250630_1148j7nce.jpeg", "SIG-20250630_1148j7nce.jpeg")</f>
        <v>SIG-20250630_1148j7nce.jpeg</v>
      </c>
      <c r="AR172" s="1" t="s">
        <v>1063</v>
      </c>
      <c r="AS172" s="3" t="str">
        <f>HYPERLINK("https://icf.clappia.com/app/GMB253374/submission/FOF95163005/ICF247370-GMB253374-d700e46ej77c0000000/SIG-20250630_11481311ad.jpeg", "SIG-20250630_11481311ad.jpeg")</f>
        <v>SIG-20250630_11481311ad.jpeg</v>
      </c>
      <c r="AT172" s="1" t="s">
        <v>1064</v>
      </c>
      <c r="AU172" s="3" t="str">
        <f>HYPERLINK("https://icf.clappia.com/app/GMB253374/submission/FOF95163005/ICF247370-GMB253374-i4936cf8hmco0000000/SIG-20250630_1149nn42n.jpeg", "SIG-20250630_1149nn42n.jpeg")</f>
        <v>SIG-20250630_1149nn42n.jpeg</v>
      </c>
      <c r="AV172" s="3" t="str">
        <f t="shared" ref="AV172:AV173" si="1">HYPERLINK("https://www.google.com/maps/place/8.8042684%2C-12.2832285", "8.8042684,-12.2832285")</f>
        <v>8.8042684,-12.2832285</v>
      </c>
    </row>
    <row r="173" ht="15.75" customHeight="1">
      <c r="A173" s="1" t="s">
        <v>1065</v>
      </c>
      <c r="B173" s="1" t="s">
        <v>296</v>
      </c>
      <c r="C173" s="1" t="s">
        <v>1060</v>
      </c>
      <c r="D173" s="1" t="s">
        <v>1060</v>
      </c>
      <c r="E173" s="1" t="s">
        <v>1066</v>
      </c>
      <c r="F173" s="1" t="s">
        <v>50</v>
      </c>
      <c r="G173" s="1">
        <v>100.0</v>
      </c>
      <c r="H173" s="1" t="s">
        <v>51</v>
      </c>
      <c r="I173" s="1">
        <v>29.0</v>
      </c>
      <c r="J173" s="1">
        <v>15.0</v>
      </c>
      <c r="K173" s="1">
        <v>15.0</v>
      </c>
      <c r="L173" s="1">
        <v>14.0</v>
      </c>
      <c r="M173" s="1">
        <v>14.0</v>
      </c>
      <c r="N173" s="1" t="s">
        <v>52</v>
      </c>
      <c r="O173" s="1">
        <v>28.0</v>
      </c>
      <c r="P173" s="1">
        <v>15.0</v>
      </c>
      <c r="Q173" s="1">
        <v>15.0</v>
      </c>
      <c r="R173" s="1">
        <v>13.0</v>
      </c>
      <c r="S173" s="1">
        <v>13.0</v>
      </c>
      <c r="T173" s="1" t="s">
        <v>53</v>
      </c>
      <c r="U173" s="1">
        <v>14.0</v>
      </c>
      <c r="V173" s="1">
        <v>7.0</v>
      </c>
      <c r="W173" s="1">
        <v>7.0</v>
      </c>
      <c r="X173" s="1">
        <v>7.0</v>
      </c>
      <c r="Y173" s="1">
        <v>7.0</v>
      </c>
      <c r="Z173" s="1" t="s">
        <v>54</v>
      </c>
      <c r="AA173" s="1">
        <v>9.0</v>
      </c>
      <c r="AB173" s="1">
        <v>5.0</v>
      </c>
      <c r="AC173" s="1">
        <v>5.0</v>
      </c>
      <c r="AD173" s="1">
        <v>4.0</v>
      </c>
      <c r="AE173" s="1">
        <v>4.0</v>
      </c>
      <c r="AF173" s="1" t="s">
        <v>56</v>
      </c>
      <c r="AG173" s="1">
        <v>20.0</v>
      </c>
      <c r="AH173" s="1">
        <v>10.0</v>
      </c>
      <c r="AI173" s="1">
        <v>10.0</v>
      </c>
      <c r="AJ173" s="1">
        <v>10.0</v>
      </c>
      <c r="AK173" s="1">
        <v>10.0</v>
      </c>
      <c r="AL173" s="1">
        <v>100.0</v>
      </c>
      <c r="AM173" s="1" t="s">
        <v>55</v>
      </c>
      <c r="AN173" s="1" t="s">
        <v>55</v>
      </c>
      <c r="AO173" s="1" t="s">
        <v>55</v>
      </c>
      <c r="AP173" s="1" t="s">
        <v>1067</v>
      </c>
      <c r="AQ173" s="3" t="str">
        <f>HYPERLINK("https://icf.clappia.com/app/GMB253374/submission/PWC02903528/ICF247370-GMB253374-3o0bph3mll7e00000000/SIG-20250630_1144eo63l.jpeg", "SIG-20250630_1144eo63l.jpeg")</f>
        <v>SIG-20250630_1144eo63l.jpeg</v>
      </c>
      <c r="AR173" s="1" t="s">
        <v>1068</v>
      </c>
      <c r="AS173" s="3" t="str">
        <f>HYPERLINK("https://icf.clappia.com/app/GMB253374/submission/PWC02903528/ICF247370-GMB253374-21ogd7g68aj520000000/SIG-20250630_114517kg4j.jpeg", "SIG-20250630_114517kg4j.jpeg")</f>
        <v>SIG-20250630_114517kg4j.jpeg</v>
      </c>
      <c r="AT173" s="1" t="s">
        <v>1069</v>
      </c>
      <c r="AU173" s="3" t="str">
        <f>HYPERLINK("https://icf.clappia.com/app/GMB253374/submission/PWC02903528/ICF247370-GMB253374-461nf7k12mci00000000/SIG-20250630_114818jdec.jpeg", "SIG-20250630_114818jdec.jpeg")</f>
        <v>SIG-20250630_114818jdec.jpeg</v>
      </c>
      <c r="AV173" s="3" t="str">
        <f t="shared" si="1"/>
        <v>8.8042684,-12.2832285</v>
      </c>
    </row>
    <row r="174" ht="15.75" customHeight="1">
      <c r="A174" s="1" t="s">
        <v>1070</v>
      </c>
      <c r="B174" s="1" t="s">
        <v>111</v>
      </c>
      <c r="C174" s="1" t="s">
        <v>1071</v>
      </c>
      <c r="D174" s="1" t="s">
        <v>1071</v>
      </c>
      <c r="E174" s="1" t="s">
        <v>1072</v>
      </c>
      <c r="F174" s="1" t="s">
        <v>50</v>
      </c>
      <c r="G174" s="1">
        <v>273.0</v>
      </c>
      <c r="H174" s="1" t="s">
        <v>51</v>
      </c>
      <c r="I174" s="1">
        <v>100.0</v>
      </c>
      <c r="J174" s="1">
        <v>50.0</v>
      </c>
      <c r="K174" s="1">
        <v>50.0</v>
      </c>
      <c r="L174" s="1">
        <v>50.0</v>
      </c>
      <c r="M174" s="1">
        <v>50.0</v>
      </c>
      <c r="N174" s="1" t="s">
        <v>52</v>
      </c>
      <c r="O174" s="1">
        <v>50.0</v>
      </c>
      <c r="P174" s="1">
        <v>24.0</v>
      </c>
      <c r="Q174" s="1">
        <v>24.0</v>
      </c>
      <c r="R174" s="1">
        <v>26.0</v>
      </c>
      <c r="S174" s="1">
        <v>26.0</v>
      </c>
      <c r="T174" s="1" t="s">
        <v>53</v>
      </c>
      <c r="U174" s="1">
        <v>40.0</v>
      </c>
      <c r="V174" s="1">
        <v>14.0</v>
      </c>
      <c r="W174" s="1">
        <v>14.0</v>
      </c>
      <c r="X174" s="1">
        <v>26.0</v>
      </c>
      <c r="Y174" s="1">
        <v>26.0</v>
      </c>
      <c r="Z174" s="1" t="s">
        <v>54</v>
      </c>
      <c r="AA174" s="1">
        <v>43.0</v>
      </c>
      <c r="AB174" s="1">
        <v>19.0</v>
      </c>
      <c r="AC174" s="1">
        <v>19.0</v>
      </c>
      <c r="AD174" s="1">
        <v>24.0</v>
      </c>
      <c r="AE174" s="1">
        <v>24.0</v>
      </c>
      <c r="AF174" s="1" t="s">
        <v>56</v>
      </c>
      <c r="AG174" s="1">
        <v>40.0</v>
      </c>
      <c r="AH174" s="1">
        <v>22.0</v>
      </c>
      <c r="AI174" s="1">
        <v>22.0</v>
      </c>
      <c r="AJ174" s="1">
        <v>18.0</v>
      </c>
      <c r="AK174" s="1">
        <v>18.0</v>
      </c>
      <c r="AL174" s="1">
        <v>273.0</v>
      </c>
      <c r="AM174" s="1" t="s">
        <v>55</v>
      </c>
      <c r="AN174" s="1" t="s">
        <v>55</v>
      </c>
      <c r="AO174" s="1" t="s">
        <v>55</v>
      </c>
      <c r="AP174" s="1" t="s">
        <v>1073</v>
      </c>
      <c r="AQ174" s="3" t="str">
        <f>HYPERLINK("https://icf.clappia.com/app/GMB253374/submission/KSK14026686/ICF247370-GMB253374-15m52lcaja4le000000/SIG-20250630_114513nj07.jpeg", "SIG-20250630_114513nj07.jpeg")</f>
        <v>SIG-20250630_114513nj07.jpeg</v>
      </c>
      <c r="AR174" s="1" t="s">
        <v>1074</v>
      </c>
      <c r="AS174" s="3" t="str">
        <f>HYPERLINK("https://icf.clappia.com/app/GMB253374/submission/KSK14026686/ICF247370-GMB253374-3mi8deffb4eo00000000/SIG-20250630_1146bel67.jpeg", "SIG-20250630_1146bel67.jpeg")</f>
        <v>SIG-20250630_1146bel67.jpeg</v>
      </c>
      <c r="AT174" s="1" t="s">
        <v>55</v>
      </c>
      <c r="AU174" s="3" t="str">
        <f>HYPERLINK("https://icf.clappia.com/app/GMB253374/submission/KSK14026686/ICF247370-GMB253374-19d485pggm5ck0000000/SIG-20250630_1148190gpg.jpeg", "SIG-20250630_1148190gpg.jpeg")</f>
        <v>SIG-20250630_1148190gpg.jpeg</v>
      </c>
      <c r="AV174" s="3" t="str">
        <f>HYPERLINK("https://www.google.com/maps/place/8.0131345%2C-11.7792656", "8.0131345,-11.7792656")</f>
        <v>8.0131345,-11.7792656</v>
      </c>
    </row>
    <row r="175" ht="15.75" customHeight="1">
      <c r="A175" s="1" t="s">
        <v>1075</v>
      </c>
      <c r="B175" s="1" t="s">
        <v>98</v>
      </c>
      <c r="C175" s="1" t="s">
        <v>1076</v>
      </c>
      <c r="D175" s="1" t="s">
        <v>1076</v>
      </c>
      <c r="E175" s="1" t="s">
        <v>1077</v>
      </c>
      <c r="F175" s="1" t="s">
        <v>50</v>
      </c>
      <c r="G175" s="1">
        <v>100.0</v>
      </c>
      <c r="H175" s="1" t="s">
        <v>51</v>
      </c>
      <c r="I175" s="1">
        <v>62.0</v>
      </c>
      <c r="J175" s="1">
        <v>29.0</v>
      </c>
      <c r="K175" s="1">
        <v>27.0</v>
      </c>
      <c r="L175" s="1">
        <v>33.0</v>
      </c>
      <c r="M175" s="1">
        <v>23.0</v>
      </c>
      <c r="N175" s="1" t="s">
        <v>52</v>
      </c>
      <c r="O175" s="1">
        <v>46.0</v>
      </c>
      <c r="P175" s="1">
        <v>26.0</v>
      </c>
      <c r="Q175" s="1">
        <v>8.0</v>
      </c>
      <c r="R175" s="1">
        <v>20.0</v>
      </c>
      <c r="S175" s="1">
        <v>17.0</v>
      </c>
      <c r="T175" s="1" t="s">
        <v>53</v>
      </c>
      <c r="U175" s="1">
        <v>33.0</v>
      </c>
      <c r="V175" s="1">
        <v>16.0</v>
      </c>
      <c r="W175" s="1">
        <v>8.0</v>
      </c>
      <c r="X175" s="1">
        <v>17.0</v>
      </c>
      <c r="Y175" s="1">
        <v>5.0</v>
      </c>
      <c r="Z175" s="1" t="s">
        <v>54</v>
      </c>
      <c r="AA175" s="1">
        <v>49.0</v>
      </c>
      <c r="AB175" s="1">
        <v>26.0</v>
      </c>
      <c r="AC175" s="1">
        <v>6.0</v>
      </c>
      <c r="AD175" s="1">
        <v>23.0</v>
      </c>
      <c r="AE175" s="1">
        <v>6.0</v>
      </c>
      <c r="AF175" s="1" t="s">
        <v>56</v>
      </c>
      <c r="AG175" s="1">
        <v>37.0</v>
      </c>
      <c r="AH175" s="1">
        <v>21.0</v>
      </c>
      <c r="AI175" s="1" t="s">
        <v>55</v>
      </c>
      <c r="AJ175" s="1">
        <v>16.0</v>
      </c>
      <c r="AK175" s="1" t="s">
        <v>55</v>
      </c>
      <c r="AL175" s="1">
        <v>100.0</v>
      </c>
      <c r="AM175" s="1" t="s">
        <v>55</v>
      </c>
      <c r="AN175" s="1" t="s">
        <v>55</v>
      </c>
      <c r="AO175" s="1" t="s">
        <v>55</v>
      </c>
      <c r="AP175" s="1" t="s">
        <v>1078</v>
      </c>
      <c r="AQ175" s="3" t="str">
        <f>HYPERLINK("https://icf.clappia.com/app/GMB253374/submission/NCI73589757/ICF247370-GMB253374-157iendeb538c0000000/SIG-20250630_114257bj7.jpeg", "SIG-20250630_114257bj7.jpeg")</f>
        <v>SIG-20250630_114257bj7.jpeg</v>
      </c>
      <c r="AR175" s="1" t="s">
        <v>1079</v>
      </c>
      <c r="AS175" s="3" t="str">
        <f>HYPERLINK("https://icf.clappia.com/app/GMB253374/submission/NCI73589757/ICF247370-GMB253374-582j2hf5ipeg0000000/SIG-20250630_11437pje4.jpeg", "SIG-20250630_11437pje4.jpeg")</f>
        <v>SIG-20250630_11437pje4.jpeg</v>
      </c>
      <c r="AT175" s="1" t="s">
        <v>1080</v>
      </c>
      <c r="AU175" s="3" t="str">
        <f>HYPERLINK("https://icf.clappia.com/app/GMB253374/submission/NCI73589757/ICF247370-GMB253374-inp989mdkpp20000000/SIG-20250630_114411ie2.jpeg", "SIG-20250630_114411ie2.jpeg")</f>
        <v>SIG-20250630_114411ie2.jpeg</v>
      </c>
      <c r="AV175" s="3" t="str">
        <f>HYPERLINK("https://www.google.com/maps/place/7.9642912%2C-11.7205297", "7.9642912,-11.7205297")</f>
        <v>7.9642912,-11.7205297</v>
      </c>
    </row>
    <row r="176" ht="15.75" customHeight="1">
      <c r="A176" s="1" t="s">
        <v>1081</v>
      </c>
      <c r="B176" s="1" t="s">
        <v>1082</v>
      </c>
      <c r="C176" s="1" t="s">
        <v>1083</v>
      </c>
      <c r="D176" s="1" t="s">
        <v>1083</v>
      </c>
      <c r="E176" s="1" t="s">
        <v>1084</v>
      </c>
      <c r="F176" s="1" t="s">
        <v>50</v>
      </c>
      <c r="G176" s="1">
        <v>105.0</v>
      </c>
      <c r="H176" s="1" t="s">
        <v>51</v>
      </c>
      <c r="I176" s="1">
        <v>40.0</v>
      </c>
      <c r="J176" s="1">
        <v>20.0</v>
      </c>
      <c r="K176" s="1">
        <v>20.0</v>
      </c>
      <c r="L176" s="1">
        <v>20.0</v>
      </c>
      <c r="M176" s="1">
        <v>20.0</v>
      </c>
      <c r="N176" s="1" t="s">
        <v>52</v>
      </c>
      <c r="O176" s="1">
        <v>20.0</v>
      </c>
      <c r="P176" s="1">
        <v>10.0</v>
      </c>
      <c r="Q176" s="1">
        <v>10.0</v>
      </c>
      <c r="R176" s="1">
        <v>10.0</v>
      </c>
      <c r="S176" s="1">
        <v>10.0</v>
      </c>
      <c r="T176" s="1" t="s">
        <v>53</v>
      </c>
      <c r="U176" s="1">
        <v>21.0</v>
      </c>
      <c r="V176" s="1">
        <v>11.0</v>
      </c>
      <c r="W176" s="1">
        <v>11.0</v>
      </c>
      <c r="X176" s="1">
        <v>10.0</v>
      </c>
      <c r="Y176" s="1">
        <v>10.0</v>
      </c>
      <c r="Z176" s="1" t="s">
        <v>54</v>
      </c>
      <c r="AA176" s="1">
        <v>19.0</v>
      </c>
      <c r="AB176" s="1">
        <v>11.0</v>
      </c>
      <c r="AC176" s="1">
        <v>11.0</v>
      </c>
      <c r="AD176" s="1">
        <v>8.0</v>
      </c>
      <c r="AE176" s="1">
        <v>8.0</v>
      </c>
      <c r="AF176" s="1" t="s">
        <v>56</v>
      </c>
      <c r="AG176" s="1">
        <v>5.0</v>
      </c>
      <c r="AH176" s="1">
        <v>3.0</v>
      </c>
      <c r="AI176" s="1">
        <v>3.0</v>
      </c>
      <c r="AJ176" s="1">
        <v>2.0</v>
      </c>
      <c r="AK176" s="1">
        <v>2.0</v>
      </c>
      <c r="AL176" s="1">
        <v>105.0</v>
      </c>
      <c r="AM176" s="1" t="s">
        <v>55</v>
      </c>
      <c r="AN176" s="1" t="s">
        <v>55</v>
      </c>
      <c r="AO176" s="1" t="s">
        <v>55</v>
      </c>
      <c r="AP176" s="1" t="s">
        <v>1085</v>
      </c>
      <c r="AQ176" s="3" t="str">
        <f>HYPERLINK("https://icf.clappia.com/app/GMB253374/submission/EXH27204622/ICF247370-GMB253374-51nm9a43dj5m00000000/SIG-20250630_0933oaekn.jpeg", "SIG-20250630_0933oaekn.jpeg")</f>
        <v>SIG-20250630_0933oaekn.jpeg</v>
      </c>
      <c r="AR176" s="1" t="s">
        <v>1086</v>
      </c>
      <c r="AS176" s="3" t="str">
        <f>HYPERLINK("https://icf.clappia.com/app/GMB253374/submission/EXH27204622/ICF247370-GMB253374-2am8kegoo71ci0000000/SIG-20250630_093314i6j1.jpeg", "SIG-20250630_093314i6j1.jpeg")</f>
        <v>SIG-20250630_093314i6j1.jpeg</v>
      </c>
      <c r="AT176" s="1" t="s">
        <v>1087</v>
      </c>
      <c r="AU176" s="3" t="str">
        <f>HYPERLINK("https://icf.clappia.com/app/GMB253374/submission/EXH27204622/ICF247370-GMB253374-59j46pm4ak6k00000000/SIG-20250630_0934h844e.jpeg", "SIG-20250630_0934h844e.jpeg")</f>
        <v>SIG-20250630_0934h844e.jpeg</v>
      </c>
      <c r="AV176" s="3" t="str">
        <f>HYPERLINK("https://www.google.com/maps/place/8.0810267%2C-11.6273083", "8.0810267,-11.6273083")</f>
        <v>8.0810267,-11.6273083</v>
      </c>
    </row>
    <row r="177" ht="15.75" customHeight="1">
      <c r="A177" s="1" t="s">
        <v>1088</v>
      </c>
      <c r="B177" s="1" t="s">
        <v>98</v>
      </c>
      <c r="C177" s="1" t="s">
        <v>1089</v>
      </c>
      <c r="D177" s="1" t="s">
        <v>1089</v>
      </c>
      <c r="E177" s="1" t="s">
        <v>1090</v>
      </c>
      <c r="F177" s="1" t="s">
        <v>50</v>
      </c>
      <c r="G177" s="1">
        <v>200.0</v>
      </c>
      <c r="H177" s="1" t="s">
        <v>51</v>
      </c>
      <c r="I177" s="1">
        <v>35.0</v>
      </c>
      <c r="J177" s="1">
        <v>15.0</v>
      </c>
      <c r="K177" s="1">
        <v>15.0</v>
      </c>
      <c r="L177" s="1">
        <v>20.0</v>
      </c>
      <c r="M177" s="1">
        <v>15.0</v>
      </c>
      <c r="N177" s="1" t="s">
        <v>52</v>
      </c>
      <c r="O177" s="1">
        <v>37.0</v>
      </c>
      <c r="P177" s="1">
        <v>14.0</v>
      </c>
      <c r="Q177" s="1">
        <v>14.0</v>
      </c>
      <c r="R177" s="1">
        <v>21.0</v>
      </c>
      <c r="S177" s="1">
        <v>12.0</v>
      </c>
      <c r="T177" s="1" t="s">
        <v>53</v>
      </c>
      <c r="U177" s="1">
        <v>37.0</v>
      </c>
      <c r="V177" s="1">
        <v>15.0</v>
      </c>
      <c r="W177" s="1">
        <v>5.0</v>
      </c>
      <c r="X177" s="1">
        <v>22.0</v>
      </c>
      <c r="Y177" s="1">
        <v>17.0</v>
      </c>
      <c r="Z177" s="1" t="s">
        <v>54</v>
      </c>
      <c r="AA177" s="1">
        <v>34.0</v>
      </c>
      <c r="AB177" s="1">
        <v>19.0</v>
      </c>
      <c r="AC177" s="1">
        <v>18.0</v>
      </c>
      <c r="AD177" s="1">
        <v>15.0</v>
      </c>
      <c r="AE177" s="1">
        <v>6.0</v>
      </c>
      <c r="AF177" s="1" t="s">
        <v>56</v>
      </c>
      <c r="AG177" s="1">
        <v>35.0</v>
      </c>
      <c r="AH177" s="1">
        <v>19.0</v>
      </c>
      <c r="AI177" s="1">
        <v>10.0</v>
      </c>
      <c r="AJ177" s="1">
        <v>16.0</v>
      </c>
      <c r="AK177" s="1">
        <v>16.0</v>
      </c>
      <c r="AL177" s="1">
        <v>128.0</v>
      </c>
      <c r="AM177" s="1" t="s">
        <v>55</v>
      </c>
      <c r="AN177" s="1">
        <v>72.0</v>
      </c>
      <c r="AO177" s="1">
        <v>70.0</v>
      </c>
      <c r="AP177" s="1" t="s">
        <v>1091</v>
      </c>
      <c r="AQ177" s="3" t="str">
        <f>HYPERLINK("https://icf.clappia.com/app/GMB253374/submission/APR80629155/ICF247370-GMB253374-6bm74bo5fm0a00000000/SIG-20250630_1141nf7el.jpeg", "SIG-20250630_1141nf7el.jpeg")</f>
        <v>SIG-20250630_1141nf7el.jpeg</v>
      </c>
      <c r="AR177" s="1" t="s">
        <v>1092</v>
      </c>
      <c r="AS177" s="3" t="str">
        <f>HYPERLINK("https://icf.clappia.com/app/GMB253374/submission/APR80629155/ICF247370-GMB253374-oacop83ij6640000000/SIG-20250630_1141c8k4n.jpeg", "SIG-20250630_1141c8k4n.jpeg")</f>
        <v>SIG-20250630_1141c8k4n.jpeg</v>
      </c>
      <c r="AT177" s="1" t="s">
        <v>1093</v>
      </c>
      <c r="AU177" s="3" t="str">
        <f>HYPERLINK("https://icf.clappia.com/app/GMB253374/submission/APR80629155/ICF247370-GMB253374-fj2ahmo9ikfi0000000/SIG-20250630_1141mlaoa.jpeg", "SIG-20250630_1141mlaoa.jpeg")</f>
        <v>SIG-20250630_1141mlaoa.jpeg</v>
      </c>
      <c r="AV177" s="3" t="str">
        <f>HYPERLINK("https://www.google.com/maps/place/7.9411267%2C-11.7308717", "7.9411267,-11.7308717")</f>
        <v>7.9411267,-11.7308717</v>
      </c>
    </row>
    <row r="178" ht="15.75" customHeight="1">
      <c r="A178" s="1" t="s">
        <v>1094</v>
      </c>
      <c r="B178" s="1" t="s">
        <v>1082</v>
      </c>
      <c r="C178" s="1" t="s">
        <v>1095</v>
      </c>
      <c r="D178" s="1" t="s">
        <v>1095</v>
      </c>
      <c r="E178" s="1" t="s">
        <v>1096</v>
      </c>
      <c r="F178" s="1" t="s">
        <v>50</v>
      </c>
      <c r="G178" s="1">
        <v>178.0</v>
      </c>
      <c r="H178" s="1" t="s">
        <v>51</v>
      </c>
      <c r="I178" s="1">
        <v>81.0</v>
      </c>
      <c r="J178" s="1">
        <v>42.0</v>
      </c>
      <c r="K178" s="1">
        <v>42.0</v>
      </c>
      <c r="L178" s="1">
        <v>39.0</v>
      </c>
      <c r="M178" s="1">
        <v>36.0</v>
      </c>
      <c r="N178" s="1" t="s">
        <v>52</v>
      </c>
      <c r="O178" s="1">
        <v>45.0</v>
      </c>
      <c r="P178" s="1">
        <v>23.0</v>
      </c>
      <c r="Q178" s="1">
        <v>10.0</v>
      </c>
      <c r="R178" s="1">
        <v>22.0</v>
      </c>
      <c r="S178" s="1">
        <v>8.0</v>
      </c>
      <c r="T178" s="1" t="s">
        <v>53</v>
      </c>
      <c r="U178" s="1">
        <v>35.0</v>
      </c>
      <c r="V178" s="1">
        <v>20.0</v>
      </c>
      <c r="W178" s="1">
        <v>18.0</v>
      </c>
      <c r="X178" s="1">
        <v>15.0</v>
      </c>
      <c r="Y178" s="1">
        <v>12.0</v>
      </c>
      <c r="Z178" s="1" t="s">
        <v>54</v>
      </c>
      <c r="AA178" s="1">
        <v>25.0</v>
      </c>
      <c r="AB178" s="1">
        <v>14.0</v>
      </c>
      <c r="AC178" s="1">
        <v>11.0</v>
      </c>
      <c r="AD178" s="1">
        <v>11.0</v>
      </c>
      <c r="AE178" s="1">
        <v>5.0</v>
      </c>
      <c r="AF178" s="1" t="s">
        <v>56</v>
      </c>
      <c r="AG178" s="1">
        <v>27.0</v>
      </c>
      <c r="AH178" s="1">
        <v>14.0</v>
      </c>
      <c r="AI178" s="1">
        <v>7.0</v>
      </c>
      <c r="AJ178" s="1">
        <v>11.0</v>
      </c>
      <c r="AK178" s="1">
        <v>9.0</v>
      </c>
      <c r="AL178" s="1">
        <v>158.0</v>
      </c>
      <c r="AM178" s="1" t="s">
        <v>55</v>
      </c>
      <c r="AN178" s="1">
        <v>20.0</v>
      </c>
      <c r="AO178" s="1">
        <v>20.0</v>
      </c>
      <c r="AP178" s="1" t="s">
        <v>1097</v>
      </c>
      <c r="AQ178" s="3" t="str">
        <f>HYPERLINK("https://icf.clappia.com/app/GMB253374/submission/LMG35734104/ICF247370-GMB253374-4jc1c8850d3000000000/SIG-20250630_1137dcei8.jpeg", "SIG-20250630_1137dcei8.jpeg")</f>
        <v>SIG-20250630_1137dcei8.jpeg</v>
      </c>
      <c r="AR178" s="1" t="s">
        <v>1098</v>
      </c>
      <c r="AS178" s="3" t="str">
        <f>HYPERLINK("https://icf.clappia.com/app/GMB253374/submission/LMG35734104/ICF247370-GMB253374-49o836619jag00000000/SIG-20250630_103518mdef.jpeg", "SIG-20250630_103518mdef.jpeg")</f>
        <v>SIG-20250630_103518mdef.jpeg</v>
      </c>
      <c r="AT178" s="1" t="s">
        <v>1099</v>
      </c>
      <c r="AU178" s="3" t="str">
        <f>HYPERLINK("https://icf.clappia.com/app/GMB253374/submission/LMG35734104/ICF247370-GMB253374-53k3174bo1hm00000000/SIG-20250630_113868dij.jpeg", "SIG-20250630_113868dij.jpeg")</f>
        <v>SIG-20250630_113868dij.jpeg</v>
      </c>
      <c r="AV178" s="3" t="str">
        <f>HYPERLINK("https://www.google.com/maps/place/8.1264317%2C-11.6167517", "8.1264317,-11.6167517")</f>
        <v>8.1264317,-11.6167517</v>
      </c>
    </row>
    <row r="179" ht="15.75" customHeight="1">
      <c r="A179" s="1" t="s">
        <v>1100</v>
      </c>
      <c r="B179" s="1" t="s">
        <v>356</v>
      </c>
      <c r="C179" s="1" t="s">
        <v>1101</v>
      </c>
      <c r="D179" s="1" t="s">
        <v>1101</v>
      </c>
      <c r="E179" s="1" t="s">
        <v>1102</v>
      </c>
      <c r="F179" s="1" t="s">
        <v>50</v>
      </c>
      <c r="G179" s="1">
        <v>247.0</v>
      </c>
      <c r="H179" s="1" t="s">
        <v>51</v>
      </c>
      <c r="I179" s="1">
        <v>54.0</v>
      </c>
      <c r="J179" s="1">
        <v>25.0</v>
      </c>
      <c r="K179" s="1">
        <v>25.0</v>
      </c>
      <c r="L179" s="1">
        <v>29.0</v>
      </c>
      <c r="M179" s="1">
        <v>27.0</v>
      </c>
      <c r="N179" s="1" t="s">
        <v>52</v>
      </c>
      <c r="O179" s="1">
        <v>53.0</v>
      </c>
      <c r="P179" s="1">
        <v>29.0</v>
      </c>
      <c r="Q179" s="1">
        <v>28.0</v>
      </c>
      <c r="R179" s="1">
        <v>24.0</v>
      </c>
      <c r="S179" s="1">
        <v>23.0</v>
      </c>
      <c r="T179" s="1" t="s">
        <v>53</v>
      </c>
      <c r="U179" s="1">
        <v>50.0</v>
      </c>
      <c r="V179" s="1">
        <v>14.0</v>
      </c>
      <c r="W179" s="1">
        <v>14.0</v>
      </c>
      <c r="X179" s="1">
        <v>36.0</v>
      </c>
      <c r="Y179" s="1">
        <v>35.0</v>
      </c>
      <c r="Z179" s="1" t="s">
        <v>54</v>
      </c>
      <c r="AA179" s="1">
        <v>40.0</v>
      </c>
      <c r="AB179" s="1">
        <v>20.0</v>
      </c>
      <c r="AC179" s="1">
        <v>20.0</v>
      </c>
      <c r="AD179" s="1">
        <v>20.0</v>
      </c>
      <c r="AE179" s="1">
        <v>20.0</v>
      </c>
      <c r="AF179" s="1" t="s">
        <v>56</v>
      </c>
      <c r="AG179" s="1">
        <v>50.0</v>
      </c>
      <c r="AH179" s="1">
        <v>26.0</v>
      </c>
      <c r="AI179" s="1">
        <v>26.0</v>
      </c>
      <c r="AJ179" s="1">
        <v>24.0</v>
      </c>
      <c r="AK179" s="1">
        <v>24.0</v>
      </c>
      <c r="AL179" s="1">
        <v>242.0</v>
      </c>
      <c r="AM179" s="1">
        <v>5.0</v>
      </c>
      <c r="AN179" s="1" t="s">
        <v>55</v>
      </c>
      <c r="AO179" s="1" t="s">
        <v>55</v>
      </c>
      <c r="AP179" s="1" t="s">
        <v>1103</v>
      </c>
      <c r="AQ179" s="3" t="str">
        <f>HYPERLINK("https://icf.clappia.com/app/GMB253374/submission/BXU62986863/ICF247370-GMB253374-5j4c887bhmo000000000/SIG-20250630_1135189715.jpeg", "SIG-20250630_1135189715.jpeg")</f>
        <v>SIG-20250630_1135189715.jpeg</v>
      </c>
      <c r="AR179" s="1" t="s">
        <v>1104</v>
      </c>
      <c r="AS179" s="3" t="str">
        <f>HYPERLINK("https://icf.clappia.com/app/GMB253374/submission/BXU62986863/ICF247370-GMB253374-43cfd5dno4kg00000000/SIG-20250630_1140en8e5.jpeg", "SIG-20250630_1140en8e5.jpeg")</f>
        <v>SIG-20250630_1140en8e5.jpeg</v>
      </c>
      <c r="AT179" s="1" t="s">
        <v>1105</v>
      </c>
      <c r="AU179" s="3" t="str">
        <f>HYPERLINK("https://icf.clappia.com/app/GMB253374/submission/BXU62986863/ICF247370-GMB253374-3pm81jgnkao400000000/SIG-20250630_11363dkdl.jpeg", "SIG-20250630_11363dkdl.jpeg")</f>
        <v>SIG-20250630_11363dkdl.jpeg</v>
      </c>
      <c r="AV179" s="3" t="str">
        <f>HYPERLINK("https://www.google.com/maps/place/7.6783569%2C-11.8234282", "7.6783569,-11.8234282")</f>
        <v>7.6783569,-11.8234282</v>
      </c>
    </row>
    <row r="180" ht="15.75" customHeight="1">
      <c r="A180" s="1" t="s">
        <v>1106</v>
      </c>
      <c r="B180" s="1" t="s">
        <v>162</v>
      </c>
      <c r="C180" s="1" t="s">
        <v>1107</v>
      </c>
      <c r="D180" s="1" t="s">
        <v>1107</v>
      </c>
      <c r="E180" s="1" t="s">
        <v>1108</v>
      </c>
      <c r="F180" s="1" t="s">
        <v>50</v>
      </c>
      <c r="G180" s="1">
        <v>100.0</v>
      </c>
      <c r="H180" s="1" t="s">
        <v>51</v>
      </c>
      <c r="I180" s="1">
        <v>25.0</v>
      </c>
      <c r="J180" s="1">
        <v>17.0</v>
      </c>
      <c r="K180" s="1">
        <v>17.0</v>
      </c>
      <c r="L180" s="1">
        <v>8.0</v>
      </c>
      <c r="M180" s="1">
        <v>8.0</v>
      </c>
      <c r="N180" s="1" t="s">
        <v>52</v>
      </c>
      <c r="O180" s="1">
        <v>19.0</v>
      </c>
      <c r="P180" s="1">
        <v>13.0</v>
      </c>
      <c r="Q180" s="1">
        <v>13.0</v>
      </c>
      <c r="R180" s="1">
        <v>6.0</v>
      </c>
      <c r="S180" s="1">
        <v>6.0</v>
      </c>
      <c r="T180" s="1" t="s">
        <v>53</v>
      </c>
      <c r="U180" s="1">
        <v>16.0</v>
      </c>
      <c r="V180" s="1">
        <v>9.0</v>
      </c>
      <c r="W180" s="1">
        <v>9.0</v>
      </c>
      <c r="X180" s="1">
        <v>7.0</v>
      </c>
      <c r="Y180" s="1">
        <v>7.0</v>
      </c>
      <c r="Z180" s="1" t="s">
        <v>54</v>
      </c>
      <c r="AA180" s="1">
        <v>15.0</v>
      </c>
      <c r="AB180" s="1">
        <v>8.0</v>
      </c>
      <c r="AC180" s="1">
        <v>8.0</v>
      </c>
      <c r="AD180" s="1">
        <v>7.0</v>
      </c>
      <c r="AE180" s="1">
        <v>7.0</v>
      </c>
      <c r="AF180" s="1" t="s">
        <v>56</v>
      </c>
      <c r="AG180" s="1">
        <v>20.0</v>
      </c>
      <c r="AH180" s="1">
        <v>11.0</v>
      </c>
      <c r="AI180" s="1">
        <v>11.0</v>
      </c>
      <c r="AJ180" s="1">
        <v>9.0</v>
      </c>
      <c r="AK180" s="1">
        <v>9.0</v>
      </c>
      <c r="AL180" s="1">
        <v>95.0</v>
      </c>
      <c r="AM180" s="1" t="s">
        <v>55</v>
      </c>
      <c r="AN180" s="1">
        <v>5.0</v>
      </c>
      <c r="AO180" s="1">
        <v>5.0</v>
      </c>
      <c r="AP180" s="1" t="s">
        <v>1109</v>
      </c>
      <c r="AQ180" s="3" t="str">
        <f>HYPERLINK("https://icf.clappia.com/app/GMB253374/submission/ZVE26292877/ICF247370-GMB253374-32222dnbige000000000/SIG-20250630_11345jbfm.jpeg", "SIG-20250630_11345jbfm.jpeg")</f>
        <v>SIG-20250630_11345jbfm.jpeg</v>
      </c>
      <c r="AR180" s="1" t="s">
        <v>1110</v>
      </c>
      <c r="AS180" s="3" t="str">
        <f>HYPERLINK("https://icf.clappia.com/app/GMB253374/submission/ZVE26292877/ICF247370-GMB253374-khfnhlh21fje0000000/SIG-20250630_1139am6e2.jpeg", "SIG-20250630_1139am6e2.jpeg")</f>
        <v>SIG-20250630_1139am6e2.jpeg</v>
      </c>
      <c r="AT180" s="1" t="s">
        <v>1111</v>
      </c>
      <c r="AU180" s="3" t="str">
        <f>HYPERLINK("https://icf.clappia.com/app/GMB253374/submission/ZVE26292877/ICF247370-GMB253374-3kfgl18lj31a00000000/SIG-20250630_113814jko2.jpeg", "SIG-20250630_113814jko2.jpeg")</f>
        <v>SIG-20250630_113814jko2.jpeg</v>
      </c>
      <c r="AV180" s="3" t="str">
        <f>HYPERLINK("https://www.google.com/maps/place/8.8402267%2C-12.2548267", "8.8402267,-12.2548267")</f>
        <v>8.8402267,-12.2548267</v>
      </c>
    </row>
    <row r="181" ht="15.75" customHeight="1">
      <c r="A181" s="1" t="s">
        <v>1112</v>
      </c>
      <c r="B181" s="1" t="s">
        <v>111</v>
      </c>
      <c r="C181" s="1" t="s">
        <v>1113</v>
      </c>
      <c r="D181" s="1" t="s">
        <v>1113</v>
      </c>
      <c r="E181" s="1" t="s">
        <v>1114</v>
      </c>
      <c r="F181" s="1" t="s">
        <v>50</v>
      </c>
      <c r="G181" s="1">
        <v>124.0</v>
      </c>
      <c r="H181" s="1" t="s">
        <v>51</v>
      </c>
      <c r="I181" s="1">
        <v>40.0</v>
      </c>
      <c r="J181" s="1">
        <v>20.0</v>
      </c>
      <c r="K181" s="1">
        <v>17.0</v>
      </c>
      <c r="L181" s="1">
        <v>20.0</v>
      </c>
      <c r="M181" s="1">
        <v>17.0</v>
      </c>
      <c r="N181" s="1" t="s">
        <v>52</v>
      </c>
      <c r="O181" s="1">
        <v>22.0</v>
      </c>
      <c r="P181" s="1">
        <v>10.0</v>
      </c>
      <c r="Q181" s="1">
        <v>6.0</v>
      </c>
      <c r="R181" s="1">
        <v>12.0</v>
      </c>
      <c r="S181" s="1">
        <v>12.0</v>
      </c>
      <c r="T181" s="1" t="s">
        <v>53</v>
      </c>
      <c r="U181" s="1">
        <v>29.0</v>
      </c>
      <c r="V181" s="1">
        <v>11.0</v>
      </c>
      <c r="W181" s="1">
        <v>9.0</v>
      </c>
      <c r="X181" s="1">
        <v>18.0</v>
      </c>
      <c r="Y181" s="1">
        <v>12.0</v>
      </c>
      <c r="Z181" s="1" t="s">
        <v>54</v>
      </c>
      <c r="AA181" s="1">
        <v>16.0</v>
      </c>
      <c r="AB181" s="1">
        <v>5.0</v>
      </c>
      <c r="AC181" s="1">
        <v>4.0</v>
      </c>
      <c r="AD181" s="1">
        <v>11.0</v>
      </c>
      <c r="AE181" s="1">
        <v>10.0</v>
      </c>
      <c r="AF181" s="1" t="s">
        <v>56</v>
      </c>
      <c r="AG181" s="1">
        <v>17.0</v>
      </c>
      <c r="AH181" s="1">
        <v>5.0</v>
      </c>
      <c r="AI181" s="1">
        <v>3.0</v>
      </c>
      <c r="AJ181" s="1">
        <v>12.0</v>
      </c>
      <c r="AK181" s="1">
        <v>12.0</v>
      </c>
      <c r="AL181" s="1">
        <v>102.0</v>
      </c>
      <c r="AM181" s="1">
        <v>9.0</v>
      </c>
      <c r="AN181" s="1">
        <v>13.0</v>
      </c>
      <c r="AO181" s="1">
        <v>13.0</v>
      </c>
      <c r="AP181" s="1" t="s">
        <v>1115</v>
      </c>
      <c r="AQ181" s="3" t="str">
        <f>HYPERLINK("https://icf.clappia.com/app/GMB253374/submission/MPD68460165/ICF247370-GMB253374-1fmcflp7nl98e0000000/SIG-20250630_1133130m3o.jpeg", "SIG-20250630_1133130m3o.jpeg")</f>
        <v>SIG-20250630_1133130m3o.jpeg</v>
      </c>
      <c r="AR181" s="1" t="s">
        <v>1116</v>
      </c>
      <c r="AS181" s="3" t="str">
        <f>HYPERLINK("https://icf.clappia.com/app/GMB253374/submission/MPD68460165/ICF247370-GMB253374-5p8ci164d8a400000000/SIG-20250630_11352k5fn.jpeg", "SIG-20250630_11352k5fn.jpeg")</f>
        <v>SIG-20250630_11352k5fn.jpeg</v>
      </c>
      <c r="AT181" s="1" t="s">
        <v>1117</v>
      </c>
      <c r="AU181" s="3" t="str">
        <f>HYPERLINK("https://icf.clappia.com/app/GMB253374/submission/MPD68460165/ICF247370-GMB253374-21iea85ccf1hg0000000/SIG-20250630_1134l0ke1.jpeg", "SIG-20250630_1134l0ke1.jpeg")</f>
        <v>SIG-20250630_1134l0ke1.jpeg</v>
      </c>
      <c r="AV181" s="3" t="str">
        <f>HYPERLINK("https://www.google.com/maps/place/7.9455029%2C-11.6855522", "7.9455029,-11.6855522")</f>
        <v>7.9455029,-11.6855522</v>
      </c>
    </row>
    <row r="182" ht="15.75" customHeight="1">
      <c r="A182" s="1" t="s">
        <v>1118</v>
      </c>
      <c r="B182" s="1" t="s">
        <v>296</v>
      </c>
      <c r="C182" s="1" t="s">
        <v>1119</v>
      </c>
      <c r="D182" s="1" t="s">
        <v>1119</v>
      </c>
      <c r="E182" s="1" t="s">
        <v>1120</v>
      </c>
      <c r="F182" s="1" t="s">
        <v>50</v>
      </c>
      <c r="G182" s="1">
        <v>250.0</v>
      </c>
      <c r="H182" s="1" t="s">
        <v>51</v>
      </c>
      <c r="I182" s="1">
        <v>69.0</v>
      </c>
      <c r="J182" s="1">
        <v>38.0</v>
      </c>
      <c r="K182" s="1">
        <v>38.0</v>
      </c>
      <c r="L182" s="1">
        <v>31.0</v>
      </c>
      <c r="M182" s="1">
        <v>31.0</v>
      </c>
      <c r="N182" s="1" t="s">
        <v>52</v>
      </c>
      <c r="O182" s="1">
        <v>33.0</v>
      </c>
      <c r="P182" s="1">
        <v>19.0</v>
      </c>
      <c r="Q182" s="1">
        <v>19.0</v>
      </c>
      <c r="R182" s="1">
        <v>14.0</v>
      </c>
      <c r="S182" s="1">
        <v>14.0</v>
      </c>
      <c r="T182" s="1" t="s">
        <v>53</v>
      </c>
      <c r="U182" s="1">
        <v>52.0</v>
      </c>
      <c r="V182" s="1">
        <v>29.0</v>
      </c>
      <c r="W182" s="1">
        <v>29.0</v>
      </c>
      <c r="X182" s="1">
        <v>23.0</v>
      </c>
      <c r="Y182" s="1">
        <v>23.0</v>
      </c>
      <c r="Z182" s="1" t="s">
        <v>54</v>
      </c>
      <c r="AA182" s="1">
        <v>53.0</v>
      </c>
      <c r="AB182" s="1">
        <v>24.0</v>
      </c>
      <c r="AC182" s="1">
        <v>24.0</v>
      </c>
      <c r="AD182" s="1">
        <v>29.0</v>
      </c>
      <c r="AE182" s="1">
        <v>29.0</v>
      </c>
      <c r="AF182" s="1" t="s">
        <v>56</v>
      </c>
      <c r="AG182" s="1">
        <v>40.0</v>
      </c>
      <c r="AH182" s="1">
        <v>20.0</v>
      </c>
      <c r="AI182" s="1">
        <v>20.0</v>
      </c>
      <c r="AJ182" s="1">
        <v>20.0</v>
      </c>
      <c r="AK182" s="1">
        <v>20.0</v>
      </c>
      <c r="AL182" s="1">
        <v>247.0</v>
      </c>
      <c r="AM182" s="1">
        <v>1.0</v>
      </c>
      <c r="AN182" s="1">
        <v>2.0</v>
      </c>
      <c r="AO182" s="1">
        <v>2.0</v>
      </c>
      <c r="AP182" s="1" t="s">
        <v>1121</v>
      </c>
      <c r="AQ182" s="3" t="str">
        <f>HYPERLINK("https://icf.clappia.com/app/GMB253374/submission/REC58566440/ICF247370-GMB253374-cje73k96h97m0000000/SIG-20250630_11239n6h8.jpeg", "SIG-20250630_11239n6h8.jpeg")</f>
        <v>SIG-20250630_11239n6h8.jpeg</v>
      </c>
      <c r="AR182" s="1" t="s">
        <v>1122</v>
      </c>
      <c r="AS182" s="3" t="str">
        <f>HYPERLINK("https://icf.clappia.com/app/GMB253374/submission/REC58566440/ICF247370-GMB253374-1f2oo7fjeih5a0000000/SIG-20250630_11241icbe.jpeg", "SIG-20250630_11241icbe.jpeg")</f>
        <v>SIG-20250630_11241icbe.jpeg</v>
      </c>
      <c r="AT182" s="1" t="s">
        <v>1123</v>
      </c>
      <c r="AU182" s="3" t="str">
        <f>HYPERLINK("https://icf.clappia.com/app/GMB253374/submission/REC58566440/ICF247370-GMB253374-1d0bk34p71od60000000/SIG-20250630_1124pgpjl.jpeg", "SIG-20250630_1124pgpjl.jpeg")</f>
        <v>SIG-20250630_1124pgpjl.jpeg</v>
      </c>
      <c r="AV182" s="3" t="str">
        <f>HYPERLINK("https://www.google.com/maps/place/8.7331417%2C-12.07897", "8.7331417,-12.07897")</f>
        <v>8.7331417,-12.07897</v>
      </c>
    </row>
    <row r="183" ht="15.75" customHeight="1">
      <c r="A183" s="1" t="s">
        <v>1124</v>
      </c>
      <c r="B183" s="1" t="s">
        <v>111</v>
      </c>
      <c r="C183" s="1" t="s">
        <v>1119</v>
      </c>
      <c r="D183" s="1" t="s">
        <v>1119</v>
      </c>
      <c r="E183" s="1" t="s">
        <v>1125</v>
      </c>
      <c r="F183" s="1" t="s">
        <v>121</v>
      </c>
      <c r="G183" s="1">
        <v>50.0</v>
      </c>
      <c r="H183" s="1" t="s">
        <v>51</v>
      </c>
      <c r="I183" s="1">
        <v>8.0</v>
      </c>
      <c r="J183" s="1">
        <v>4.0</v>
      </c>
      <c r="K183" s="1">
        <v>4.0</v>
      </c>
      <c r="L183" s="1">
        <v>4.0</v>
      </c>
      <c r="M183" s="1">
        <v>4.0</v>
      </c>
      <c r="N183" s="1" t="s">
        <v>52</v>
      </c>
      <c r="O183" s="1">
        <v>2.0</v>
      </c>
      <c r="P183" s="1">
        <v>2.0</v>
      </c>
      <c r="Q183" s="1">
        <v>2.0</v>
      </c>
      <c r="R183" s="1" t="s">
        <v>55</v>
      </c>
      <c r="S183" s="1" t="s">
        <v>55</v>
      </c>
      <c r="T183" s="1" t="s">
        <v>53</v>
      </c>
      <c r="U183" s="1">
        <v>15.0</v>
      </c>
      <c r="V183" s="1">
        <v>7.0</v>
      </c>
      <c r="W183" s="1">
        <v>7.0</v>
      </c>
      <c r="X183" s="1">
        <v>8.0</v>
      </c>
      <c r="Y183" s="1">
        <v>8.0</v>
      </c>
      <c r="Z183" s="1" t="s">
        <v>54</v>
      </c>
      <c r="AA183" s="1">
        <v>10.0</v>
      </c>
      <c r="AB183" s="1">
        <v>5.0</v>
      </c>
      <c r="AC183" s="1">
        <v>5.0</v>
      </c>
      <c r="AD183" s="1">
        <v>5.0</v>
      </c>
      <c r="AE183" s="1">
        <v>5.0</v>
      </c>
      <c r="AF183" s="1" t="s">
        <v>56</v>
      </c>
      <c r="AG183" s="1">
        <v>4.0</v>
      </c>
      <c r="AH183" s="1">
        <v>1.0</v>
      </c>
      <c r="AI183" s="1">
        <v>1.0</v>
      </c>
      <c r="AJ183" s="1">
        <v>3.0</v>
      </c>
      <c r="AK183" s="1">
        <v>3.0</v>
      </c>
      <c r="AL183" s="1">
        <v>39.0</v>
      </c>
      <c r="AM183" s="1">
        <v>10.0</v>
      </c>
      <c r="AN183" s="1">
        <v>1.0</v>
      </c>
      <c r="AO183" s="1">
        <v>1.0</v>
      </c>
      <c r="AP183" s="1" t="s">
        <v>1126</v>
      </c>
      <c r="AQ183" s="3" t="str">
        <f>HYPERLINK("https://icf.clappia.com/app/GMB253374/submission/TOE84451698/ICF247370-GMB253374-5mm567k2d4fa00000000/SIG-20250630_11247fb36.jpeg", "SIG-20250630_11247fb36.jpeg")</f>
        <v>SIG-20250630_11247fb36.jpeg</v>
      </c>
      <c r="AR183" s="1" t="s">
        <v>1127</v>
      </c>
      <c r="AS183" s="3" t="str">
        <f>HYPERLINK("https://icf.clappia.com/app/GMB253374/submission/TOE84451698/ICF247370-GMB253374-149nlkn91cpm00000000/SIG-20250630_11252pa9k.jpeg", "SIG-20250630_11252pa9k.jpeg")</f>
        <v>SIG-20250630_11252pa9k.jpeg</v>
      </c>
      <c r="AT183" s="1" t="s">
        <v>1128</v>
      </c>
      <c r="AU183" s="3" t="str">
        <f>HYPERLINK("https://icf.clappia.com/app/GMB253374/submission/TOE84451698/ICF247370-GMB253374-2i0p72mokoo400000000/SIG-20250630_1126o10o.jpeg", "SIG-20250630_1126o10o.jpeg")</f>
        <v>SIG-20250630_1126o10o.jpeg</v>
      </c>
      <c r="AV183" s="3" t="str">
        <f>HYPERLINK("https://www.google.com/maps/place/7.9920217%2C-11.7677883", "7.9920217,-11.7677883")</f>
        <v>7.9920217,-11.7677883</v>
      </c>
    </row>
    <row r="184" ht="15.75" customHeight="1">
      <c r="A184" s="1" t="s">
        <v>1129</v>
      </c>
      <c r="B184" s="1" t="s">
        <v>236</v>
      </c>
      <c r="C184" s="1" t="s">
        <v>1130</v>
      </c>
      <c r="D184" s="1" t="s">
        <v>1130</v>
      </c>
      <c r="E184" s="1" t="s">
        <v>1131</v>
      </c>
      <c r="F184" s="1" t="s">
        <v>121</v>
      </c>
      <c r="G184" s="1">
        <v>192.0</v>
      </c>
      <c r="H184" s="1" t="s">
        <v>51</v>
      </c>
      <c r="I184" s="1">
        <v>38.0</v>
      </c>
      <c r="J184" s="1">
        <v>20.0</v>
      </c>
      <c r="K184" s="1">
        <v>20.0</v>
      </c>
      <c r="L184" s="1">
        <v>18.0</v>
      </c>
      <c r="M184" s="1">
        <v>18.0</v>
      </c>
      <c r="N184" s="1" t="s">
        <v>52</v>
      </c>
      <c r="O184" s="1">
        <v>30.0</v>
      </c>
      <c r="P184" s="1">
        <v>10.0</v>
      </c>
      <c r="Q184" s="1">
        <v>10.0</v>
      </c>
      <c r="R184" s="1">
        <v>20.0</v>
      </c>
      <c r="S184" s="1">
        <v>20.0</v>
      </c>
      <c r="T184" s="1" t="s">
        <v>53</v>
      </c>
      <c r="U184" s="1">
        <v>31.0</v>
      </c>
      <c r="V184" s="1">
        <v>11.0</v>
      </c>
      <c r="W184" s="1">
        <v>11.0</v>
      </c>
      <c r="X184" s="1">
        <v>20.0</v>
      </c>
      <c r="Y184" s="1">
        <v>20.0</v>
      </c>
      <c r="Z184" s="1" t="s">
        <v>54</v>
      </c>
      <c r="AA184" s="1">
        <v>20.0</v>
      </c>
      <c r="AB184" s="1">
        <v>9.0</v>
      </c>
      <c r="AC184" s="1">
        <v>9.0</v>
      </c>
      <c r="AD184" s="1">
        <v>11.0</v>
      </c>
      <c r="AE184" s="1">
        <v>11.0</v>
      </c>
      <c r="AF184" s="1" t="s">
        <v>56</v>
      </c>
      <c r="AG184" s="1">
        <v>30.0</v>
      </c>
      <c r="AH184" s="1">
        <v>15.0</v>
      </c>
      <c r="AI184" s="1">
        <v>15.0</v>
      </c>
      <c r="AJ184" s="1">
        <v>15.0</v>
      </c>
      <c r="AK184" s="1">
        <v>15.0</v>
      </c>
      <c r="AL184" s="1">
        <v>149.0</v>
      </c>
      <c r="AM184" s="1" t="s">
        <v>55</v>
      </c>
      <c r="AN184" s="1">
        <v>43.0</v>
      </c>
      <c r="AO184" s="1">
        <v>43.0</v>
      </c>
      <c r="AP184" s="1" t="s">
        <v>1132</v>
      </c>
      <c r="AQ184" s="3" t="str">
        <f>HYPERLINK("https://icf.clappia.com/app/GMB253374/submission/SBM01803467/ICF247370-GMB253374-2dc85i2fb48a00000000/SIG-20250630_112315e9e9.jpeg", "SIG-20250630_112315e9e9.jpeg")</f>
        <v>SIG-20250630_112315e9e9.jpeg</v>
      </c>
      <c r="AR184" s="1" t="s">
        <v>1133</v>
      </c>
      <c r="AS184" s="3" t="str">
        <f>HYPERLINK("https://icf.clappia.com/app/GMB253374/submission/SBM01803467/ICF247370-GMB253374-3m5bnk9jp6lo00000000/SIG-20250630_11238cj8k.jpeg", "SIG-20250630_11238cj8k.jpeg")</f>
        <v>SIG-20250630_11238cj8k.jpeg</v>
      </c>
      <c r="AT184" s="1" t="s">
        <v>1134</v>
      </c>
      <c r="AU184" s="3" t="str">
        <f>HYPERLINK("https://icf.clappia.com/app/GMB253374/submission/SBM01803467/ICF247370-GMB253374-18j78j5m9fkn20000000/SIG-20250630_1120147ej5.jpeg", "SIG-20250630_1120147ej5.jpeg")</f>
        <v>SIG-20250630_1120147ej5.jpeg</v>
      </c>
      <c r="AV184" s="3" t="str">
        <f>HYPERLINK("https://www.google.com/maps/place/7.9516513%2C-11.7650236", "7.9516513,-11.7650236")</f>
        <v>7.9516513,-11.7650236</v>
      </c>
    </row>
    <row r="185" ht="15.75" customHeight="1">
      <c r="A185" s="1" t="s">
        <v>1135</v>
      </c>
      <c r="B185" s="1" t="s">
        <v>236</v>
      </c>
      <c r="C185" s="1" t="s">
        <v>1136</v>
      </c>
      <c r="D185" s="1" t="s">
        <v>1136</v>
      </c>
      <c r="E185" s="1" t="s">
        <v>1137</v>
      </c>
      <c r="F185" s="1" t="s">
        <v>50</v>
      </c>
      <c r="G185" s="1">
        <v>100.0</v>
      </c>
      <c r="H185" s="1" t="s">
        <v>51</v>
      </c>
      <c r="I185" s="1">
        <v>50.0</v>
      </c>
      <c r="J185" s="1">
        <v>27.0</v>
      </c>
      <c r="K185" s="1">
        <v>27.0</v>
      </c>
      <c r="L185" s="1">
        <v>23.0</v>
      </c>
      <c r="M185" s="1">
        <v>20.0</v>
      </c>
      <c r="N185" s="1" t="s">
        <v>52</v>
      </c>
      <c r="O185" s="1">
        <v>9.0</v>
      </c>
      <c r="P185" s="1">
        <v>6.0</v>
      </c>
      <c r="Q185" s="1">
        <v>1.0</v>
      </c>
      <c r="R185" s="1">
        <v>2.0</v>
      </c>
      <c r="S185" s="1">
        <v>2.0</v>
      </c>
      <c r="T185" s="1" t="s">
        <v>53</v>
      </c>
      <c r="U185" s="1">
        <v>17.0</v>
      </c>
      <c r="V185" s="1">
        <v>8.0</v>
      </c>
      <c r="W185" s="1">
        <v>8.0</v>
      </c>
      <c r="X185" s="1">
        <v>9.0</v>
      </c>
      <c r="Y185" s="1">
        <v>9.0</v>
      </c>
      <c r="Z185" s="1" t="s">
        <v>54</v>
      </c>
      <c r="AA185" s="1">
        <v>8.0</v>
      </c>
      <c r="AB185" s="1">
        <v>5.0</v>
      </c>
      <c r="AC185" s="1">
        <v>5.0</v>
      </c>
      <c r="AD185" s="1">
        <v>3.0</v>
      </c>
      <c r="AE185" s="1">
        <v>3.0</v>
      </c>
      <c r="AF185" s="1" t="s">
        <v>56</v>
      </c>
      <c r="AG185" s="1">
        <v>12.0</v>
      </c>
      <c r="AH185" s="1">
        <v>10.0</v>
      </c>
      <c r="AI185" s="1">
        <v>10.0</v>
      </c>
      <c r="AJ185" s="1">
        <v>2.0</v>
      </c>
      <c r="AK185" s="1">
        <v>2.0</v>
      </c>
      <c r="AL185" s="1">
        <v>87.0</v>
      </c>
      <c r="AM185" s="1" t="s">
        <v>55</v>
      </c>
      <c r="AN185" s="1">
        <v>13.0</v>
      </c>
      <c r="AO185" s="1">
        <v>13.0</v>
      </c>
      <c r="AP185" s="1" t="s">
        <v>708</v>
      </c>
      <c r="AQ185" s="3" t="str">
        <f>HYPERLINK("https://icf.clappia.com/app/GMB253374/submission/OAH65104744/ICF247370-GMB253374-35338m4i68ia0000000/SIG-20250630_1119180n2f.jpeg", "SIG-20250630_1119180n2f.jpeg")</f>
        <v>SIG-20250630_1119180n2f.jpeg</v>
      </c>
      <c r="AR185" s="1" t="s">
        <v>1138</v>
      </c>
      <c r="AS185" s="3" t="str">
        <f>HYPERLINK("https://icf.clappia.com/app/GMB253374/submission/OAH65104744/ICF247370-GMB253374-20baaj9b2b86c0000000/SIG-20250630_112019e578.jpeg", "SIG-20250630_112019e578.jpeg")</f>
        <v>SIG-20250630_112019e578.jpeg</v>
      </c>
      <c r="AT185" s="1" t="s">
        <v>1139</v>
      </c>
      <c r="AU185" s="3" t="str">
        <f>HYPERLINK("https://icf.clappia.com/app/GMB253374/submission/OAH65104744/ICF247370-GMB253374-2hlnbg2pk4ho0000000/SIG-20250630_11211a2khm.jpeg", "SIG-20250630_11211a2khm.jpeg")</f>
        <v>SIG-20250630_11211a2khm.jpeg</v>
      </c>
      <c r="AV185" s="3" t="str">
        <f>HYPERLINK("https://www.google.com/maps/place/7.9814404%2C-11.7643115", "7.9814404,-11.7643115")</f>
        <v>7.9814404,-11.7643115</v>
      </c>
    </row>
    <row r="186" ht="15.75" customHeight="1">
      <c r="A186" s="1" t="s">
        <v>1140</v>
      </c>
      <c r="B186" s="1" t="s">
        <v>162</v>
      </c>
      <c r="C186" s="1" t="s">
        <v>1141</v>
      </c>
      <c r="D186" s="1" t="s">
        <v>1141</v>
      </c>
      <c r="E186" s="1" t="s">
        <v>1142</v>
      </c>
      <c r="F186" s="1" t="s">
        <v>50</v>
      </c>
      <c r="G186" s="1">
        <v>200.0</v>
      </c>
      <c r="H186" s="1" t="s">
        <v>51</v>
      </c>
      <c r="I186" s="1">
        <v>42.0</v>
      </c>
      <c r="J186" s="1">
        <v>17.0</v>
      </c>
      <c r="K186" s="1">
        <v>14.0</v>
      </c>
      <c r="L186" s="1">
        <v>25.0</v>
      </c>
      <c r="M186" s="1">
        <v>24.0</v>
      </c>
      <c r="N186" s="1" t="s">
        <v>52</v>
      </c>
      <c r="O186" s="1">
        <v>44.0</v>
      </c>
      <c r="P186" s="1">
        <v>21.0</v>
      </c>
      <c r="Q186" s="1">
        <v>21.0</v>
      </c>
      <c r="R186" s="1">
        <v>23.0</v>
      </c>
      <c r="S186" s="1">
        <v>23.0</v>
      </c>
      <c r="T186" s="1" t="s">
        <v>53</v>
      </c>
      <c r="U186" s="1">
        <v>35.0</v>
      </c>
      <c r="V186" s="1">
        <v>21.0</v>
      </c>
      <c r="W186" s="1">
        <v>21.0</v>
      </c>
      <c r="X186" s="1">
        <v>14.0</v>
      </c>
      <c r="Y186" s="1">
        <v>14.0</v>
      </c>
      <c r="Z186" s="1" t="s">
        <v>54</v>
      </c>
      <c r="AA186" s="1">
        <v>20.0</v>
      </c>
      <c r="AB186" s="1">
        <v>11.0</v>
      </c>
      <c r="AC186" s="1">
        <v>11.0</v>
      </c>
      <c r="AD186" s="1">
        <v>9.0</v>
      </c>
      <c r="AE186" s="1">
        <v>9.0</v>
      </c>
      <c r="AF186" s="1" t="s">
        <v>56</v>
      </c>
      <c r="AG186" s="1">
        <v>24.0</v>
      </c>
      <c r="AH186" s="1">
        <v>11.0</v>
      </c>
      <c r="AI186" s="1">
        <v>11.0</v>
      </c>
      <c r="AJ186" s="1">
        <v>13.0</v>
      </c>
      <c r="AK186" s="1">
        <v>13.0</v>
      </c>
      <c r="AL186" s="1">
        <v>161.0</v>
      </c>
      <c r="AM186" s="1">
        <v>4.0</v>
      </c>
      <c r="AN186" s="1">
        <v>35.0</v>
      </c>
      <c r="AO186" s="1">
        <v>35.0</v>
      </c>
      <c r="AP186" s="1" t="s">
        <v>1143</v>
      </c>
      <c r="AQ186" s="3" t="str">
        <f>HYPERLINK("https://icf.clappia.com/app/GMB253374/submission/WGB43512096/ICF247370-GMB253374-100b5fhp1m8jo0000000/SIG-20250630_111466nfc.jpeg", "SIG-20250630_111466nfc.jpeg")</f>
        <v>SIG-20250630_111466nfc.jpeg</v>
      </c>
      <c r="AR186" s="1" t="s">
        <v>1144</v>
      </c>
      <c r="AS186" s="3" t="str">
        <f>HYPERLINK("https://icf.clappia.com/app/GMB253374/submission/WGB43512096/ICF247370-GMB253374-1g0d4mdkajaee0000000/SIG-20250630_1115497e6.jpeg", "SIG-20250630_1115497e6.jpeg")</f>
        <v>SIG-20250630_1115497e6.jpeg</v>
      </c>
      <c r="AT186" s="1" t="s">
        <v>1145</v>
      </c>
      <c r="AU186" s="3" t="str">
        <f>HYPERLINK("https://icf.clappia.com/app/GMB253374/submission/WGB43512096/ICF247370-GMB253374-145bhmjob8ikg0000000/SIG-20250630_1116l7m4h.jpeg", "SIG-20250630_1116l7m4h.jpeg")</f>
        <v>SIG-20250630_1116l7m4h.jpeg</v>
      </c>
      <c r="AV186" s="3" t="str">
        <f>HYPERLINK("https://www.google.com/maps/place/9.0123133%2C-12.1419217", "9.0123133,-12.1419217")</f>
        <v>9.0123133,-12.1419217</v>
      </c>
    </row>
    <row r="187" ht="15.75" customHeight="1">
      <c r="A187" s="1" t="s">
        <v>1146</v>
      </c>
      <c r="B187" s="1" t="s">
        <v>388</v>
      </c>
      <c r="C187" s="1" t="s">
        <v>1147</v>
      </c>
      <c r="D187" s="1" t="s">
        <v>1147</v>
      </c>
      <c r="E187" s="1" t="s">
        <v>1148</v>
      </c>
      <c r="F187" s="1" t="s">
        <v>50</v>
      </c>
      <c r="G187" s="1">
        <v>243.0</v>
      </c>
      <c r="H187" s="1" t="s">
        <v>51</v>
      </c>
      <c r="I187" s="1">
        <v>64.0</v>
      </c>
      <c r="J187" s="1">
        <v>32.0</v>
      </c>
      <c r="K187" s="1">
        <v>31.0</v>
      </c>
      <c r="L187" s="1">
        <v>32.0</v>
      </c>
      <c r="M187" s="1">
        <v>27.0</v>
      </c>
      <c r="N187" s="1" t="s">
        <v>52</v>
      </c>
      <c r="O187" s="1">
        <v>66.0</v>
      </c>
      <c r="P187" s="1">
        <v>30.0</v>
      </c>
      <c r="Q187" s="1">
        <v>27.0</v>
      </c>
      <c r="R187" s="1">
        <v>36.0</v>
      </c>
      <c r="S187" s="1">
        <v>29.0</v>
      </c>
      <c r="T187" s="1" t="s">
        <v>53</v>
      </c>
      <c r="U187" s="1">
        <v>51.0</v>
      </c>
      <c r="V187" s="1">
        <v>26.0</v>
      </c>
      <c r="W187" s="1">
        <v>24.0</v>
      </c>
      <c r="X187" s="1">
        <v>25.0</v>
      </c>
      <c r="Y187" s="1">
        <v>25.0</v>
      </c>
      <c r="Z187" s="1" t="s">
        <v>54</v>
      </c>
      <c r="AA187" s="1">
        <v>48.0</v>
      </c>
      <c r="AB187" s="1">
        <v>28.0</v>
      </c>
      <c r="AC187" s="1">
        <v>28.0</v>
      </c>
      <c r="AD187" s="1">
        <v>20.0</v>
      </c>
      <c r="AE187" s="1" t="s">
        <v>55</v>
      </c>
      <c r="AF187" s="1" t="s">
        <v>56</v>
      </c>
      <c r="AG187" s="1">
        <v>32.0</v>
      </c>
      <c r="AH187" s="1">
        <v>16.0</v>
      </c>
      <c r="AI187" s="1" t="s">
        <v>55</v>
      </c>
      <c r="AJ187" s="1">
        <v>16.0</v>
      </c>
      <c r="AK187" s="1" t="s">
        <v>55</v>
      </c>
      <c r="AL187" s="1">
        <v>191.0</v>
      </c>
      <c r="AM187" s="1" t="s">
        <v>55</v>
      </c>
      <c r="AN187" s="1">
        <v>52.0</v>
      </c>
      <c r="AO187" s="1">
        <v>52.0</v>
      </c>
      <c r="AP187" s="1" t="s">
        <v>1149</v>
      </c>
      <c r="AQ187" s="3" t="str">
        <f>HYPERLINK("https://icf.clappia.com/app/GMB253374/submission/BVJ42363308/ICF247370-GMB253374-429lnk9gki8800000000/SIG-20250630_111616d6da.jpeg", "SIG-20250630_111616d6da.jpeg")</f>
        <v>SIG-20250630_111616d6da.jpeg</v>
      </c>
      <c r="AR187" s="1" t="s">
        <v>1150</v>
      </c>
      <c r="AS187" s="3" t="str">
        <f>HYPERLINK("https://icf.clappia.com/app/GMB253374/submission/BVJ42363308/ICF247370-GMB253374-303711a1p58000000000/SIG-20250630_1116fob5d.jpeg", "SIG-20250630_1116fob5d.jpeg")</f>
        <v>SIG-20250630_1116fob5d.jpeg</v>
      </c>
      <c r="AT187" s="1" t="s">
        <v>1151</v>
      </c>
      <c r="AU187" s="3" t="str">
        <f>HYPERLINK("https://icf.clappia.com/app/GMB253374/submission/BVJ42363308/ICF247370-GMB253374-5bapk9p2415i00000000/SIG-20250630_111719l5pi.jpeg", "SIG-20250630_111719l5pi.jpeg")</f>
        <v>SIG-20250630_111719l5pi.jpeg</v>
      </c>
      <c r="AV187" s="3" t="str">
        <f>HYPERLINK("https://www.google.com/maps/place/8.8821415%2C-12.0941461", "8.8821415,-12.0941461")</f>
        <v>8.8821415,-12.0941461</v>
      </c>
    </row>
    <row r="188" ht="15.75" customHeight="1">
      <c r="A188" s="1" t="s">
        <v>1152</v>
      </c>
      <c r="B188" s="1" t="s">
        <v>98</v>
      </c>
      <c r="C188" s="1" t="s">
        <v>1153</v>
      </c>
      <c r="D188" s="1" t="s">
        <v>1153</v>
      </c>
      <c r="E188" s="1" t="s">
        <v>1154</v>
      </c>
      <c r="F188" s="1" t="s">
        <v>50</v>
      </c>
      <c r="G188" s="1">
        <v>172.0</v>
      </c>
      <c r="H188" s="1" t="s">
        <v>51</v>
      </c>
      <c r="I188" s="1">
        <v>50.0</v>
      </c>
      <c r="J188" s="1">
        <v>28.0</v>
      </c>
      <c r="K188" s="1">
        <v>27.0</v>
      </c>
      <c r="L188" s="1">
        <v>22.0</v>
      </c>
      <c r="M188" s="1">
        <v>20.0</v>
      </c>
      <c r="N188" s="1" t="s">
        <v>52</v>
      </c>
      <c r="O188" s="1">
        <v>40.0</v>
      </c>
      <c r="P188" s="1">
        <v>23.0</v>
      </c>
      <c r="Q188" s="1">
        <v>22.0</v>
      </c>
      <c r="R188" s="1">
        <v>17.0</v>
      </c>
      <c r="S188" s="1">
        <v>15.0</v>
      </c>
      <c r="T188" s="1" t="s">
        <v>53</v>
      </c>
      <c r="U188" s="1">
        <v>25.0</v>
      </c>
      <c r="V188" s="1">
        <v>15.0</v>
      </c>
      <c r="W188" s="1">
        <v>10.0</v>
      </c>
      <c r="X188" s="1">
        <v>10.0</v>
      </c>
      <c r="Y188" s="1">
        <v>10.0</v>
      </c>
      <c r="Z188" s="1" t="s">
        <v>54</v>
      </c>
      <c r="AA188" s="1">
        <v>40.0</v>
      </c>
      <c r="AB188" s="1">
        <v>26.0</v>
      </c>
      <c r="AC188" s="1">
        <v>24.0</v>
      </c>
      <c r="AD188" s="1">
        <v>14.0</v>
      </c>
      <c r="AE188" s="1">
        <v>13.0</v>
      </c>
      <c r="AF188" s="1" t="s">
        <v>56</v>
      </c>
      <c r="AG188" s="1">
        <v>31.0</v>
      </c>
      <c r="AH188" s="1">
        <v>15.0</v>
      </c>
      <c r="AI188" s="1">
        <v>10.0</v>
      </c>
      <c r="AJ188" s="1">
        <v>14.0</v>
      </c>
      <c r="AK188" s="1">
        <v>9.0</v>
      </c>
      <c r="AL188" s="1">
        <v>160.0</v>
      </c>
      <c r="AM188" s="1" t="s">
        <v>55</v>
      </c>
      <c r="AN188" s="1">
        <v>12.0</v>
      </c>
      <c r="AO188" s="1" t="s">
        <v>55</v>
      </c>
      <c r="AP188" s="1" t="s">
        <v>1155</v>
      </c>
      <c r="AQ188" s="3" t="str">
        <f>HYPERLINK("https://icf.clappia.com/app/GMB253374/submission/FHW52808642/ICF247370-GMB253374-3p455apf9hcm00000000/SIG-20250630_111297735.jpeg", "SIG-20250630_111297735.jpeg")</f>
        <v>SIG-20250630_111297735.jpeg</v>
      </c>
      <c r="AR188" s="1" t="s">
        <v>1156</v>
      </c>
      <c r="AS188" s="3" t="str">
        <f>HYPERLINK("https://icf.clappia.com/app/GMB253374/submission/FHW52808642/ICF247370-GMB253374-1k6a7aihkon3m0000000/SIG-20250630_11061909po.jpeg", "SIG-20250630_11061909po.jpeg")</f>
        <v>SIG-20250630_11061909po.jpeg</v>
      </c>
      <c r="AT188" s="1" t="s">
        <v>1157</v>
      </c>
      <c r="AU188" s="3" t="str">
        <f>HYPERLINK("https://icf.clappia.com/app/GMB253374/submission/FHW52808642/ICF247370-GMB253374-210c5ndlcdod60000000/SIG-20250630_111351pf6.jpeg", "SIG-20250630_111351pf6.jpeg")</f>
        <v>SIG-20250630_111351pf6.jpeg</v>
      </c>
      <c r="AV188" s="3" t="str">
        <f>HYPERLINK("https://www.google.com/maps/place/7.9451638%2C-11.7358374", "7.9451638,-11.7358374")</f>
        <v>7.9451638,-11.7358374</v>
      </c>
    </row>
    <row r="189" ht="15.75" customHeight="1">
      <c r="A189" s="1" t="s">
        <v>1158</v>
      </c>
      <c r="B189" s="1" t="s">
        <v>236</v>
      </c>
      <c r="C189" s="1" t="s">
        <v>1159</v>
      </c>
      <c r="D189" s="1" t="s">
        <v>1159</v>
      </c>
      <c r="E189" s="1" t="s">
        <v>1160</v>
      </c>
      <c r="F189" s="1" t="s">
        <v>50</v>
      </c>
      <c r="G189" s="1">
        <v>133.0</v>
      </c>
      <c r="H189" s="1" t="s">
        <v>51</v>
      </c>
      <c r="I189" s="1">
        <v>32.0</v>
      </c>
      <c r="J189" s="1">
        <v>15.0</v>
      </c>
      <c r="K189" s="1">
        <v>15.0</v>
      </c>
      <c r="L189" s="1">
        <v>17.0</v>
      </c>
      <c r="M189" s="1">
        <v>17.0</v>
      </c>
      <c r="N189" s="1" t="s">
        <v>52</v>
      </c>
      <c r="O189" s="1">
        <v>23.0</v>
      </c>
      <c r="P189" s="1">
        <v>14.0</v>
      </c>
      <c r="Q189" s="1">
        <v>14.0</v>
      </c>
      <c r="R189" s="1">
        <v>9.0</v>
      </c>
      <c r="S189" s="1">
        <v>9.0</v>
      </c>
      <c r="T189" s="1" t="s">
        <v>53</v>
      </c>
      <c r="U189" s="1">
        <v>37.0</v>
      </c>
      <c r="V189" s="1">
        <v>16.0</v>
      </c>
      <c r="W189" s="1">
        <v>16.0</v>
      </c>
      <c r="X189" s="1">
        <v>21.0</v>
      </c>
      <c r="Y189" s="1">
        <v>21.0</v>
      </c>
      <c r="Z189" s="1" t="s">
        <v>54</v>
      </c>
      <c r="AA189" s="1">
        <v>15.0</v>
      </c>
      <c r="AB189" s="1">
        <v>8.0</v>
      </c>
      <c r="AC189" s="1">
        <v>8.0</v>
      </c>
      <c r="AD189" s="1">
        <v>7.0</v>
      </c>
      <c r="AE189" s="1">
        <v>7.0</v>
      </c>
      <c r="AF189" s="1" t="s">
        <v>56</v>
      </c>
      <c r="AG189" s="1">
        <v>16.0</v>
      </c>
      <c r="AH189" s="1">
        <v>10.0</v>
      </c>
      <c r="AI189" s="1">
        <v>10.0</v>
      </c>
      <c r="AJ189" s="1">
        <v>6.0</v>
      </c>
      <c r="AK189" s="1">
        <v>6.0</v>
      </c>
      <c r="AL189" s="1">
        <v>123.0</v>
      </c>
      <c r="AM189" s="1">
        <v>10.0</v>
      </c>
      <c r="AN189" s="1" t="s">
        <v>55</v>
      </c>
      <c r="AO189" s="1" t="s">
        <v>55</v>
      </c>
      <c r="AP189" s="1" t="s">
        <v>1161</v>
      </c>
      <c r="AQ189" s="3" t="str">
        <f>HYPERLINK("https://icf.clappia.com/app/GMB253374/submission/ZSM06245428/ICF247370-GMB253374-bc0e1nn95b520000000/SIG-20250630_1052162nj2.jpeg", "SIG-20250630_1052162nj2.jpeg")</f>
        <v>SIG-20250630_1052162nj2.jpeg</v>
      </c>
      <c r="AR189" s="1" t="s">
        <v>1162</v>
      </c>
      <c r="AS189" s="3" t="str">
        <f>HYPERLINK("https://icf.clappia.com/app/GMB253374/submission/ZSM06245428/ICF247370-GMB253374-3fae0jcpcllo00000000/SIG-20250630_105317cgl0.jpeg", "SIG-20250630_105317cgl0.jpeg")</f>
        <v>SIG-20250630_105317cgl0.jpeg</v>
      </c>
      <c r="AT189" s="1" t="s">
        <v>1163</v>
      </c>
      <c r="AU189" s="3" t="str">
        <f>HYPERLINK("https://icf.clappia.com/app/GMB253374/submission/ZSM06245428/ICF247370-GMB253374-219pmdnn7fja80000000/SIG-20250630_10534ddna.jpeg", "SIG-20250630_10534ddna.jpeg")</f>
        <v>SIG-20250630_10534ddna.jpeg</v>
      </c>
      <c r="AV189" s="3" t="str">
        <f>HYPERLINK("https://www.google.com/maps/place/7.9429817%2C-11.7893984", "7.9429817,-11.7893984")</f>
        <v>7.9429817,-11.7893984</v>
      </c>
    </row>
    <row r="190" ht="15.75" customHeight="1">
      <c r="A190" s="1" t="s">
        <v>1164</v>
      </c>
      <c r="B190" s="1" t="s">
        <v>162</v>
      </c>
      <c r="C190" s="1" t="s">
        <v>1165</v>
      </c>
      <c r="D190" s="1" t="s">
        <v>1165</v>
      </c>
      <c r="E190" s="1" t="s">
        <v>1166</v>
      </c>
      <c r="F190" s="1" t="s">
        <v>50</v>
      </c>
      <c r="G190" s="1">
        <v>77.0</v>
      </c>
      <c r="H190" s="1" t="s">
        <v>51</v>
      </c>
      <c r="I190" s="1">
        <v>41.0</v>
      </c>
      <c r="J190" s="1">
        <v>25.0</v>
      </c>
      <c r="K190" s="1">
        <v>25.0</v>
      </c>
      <c r="L190" s="1">
        <v>16.0</v>
      </c>
      <c r="M190" s="1">
        <v>16.0</v>
      </c>
      <c r="N190" s="1" t="s">
        <v>52</v>
      </c>
      <c r="O190" s="1">
        <v>11.0</v>
      </c>
      <c r="P190" s="1">
        <v>5.0</v>
      </c>
      <c r="Q190" s="1">
        <v>5.0</v>
      </c>
      <c r="R190" s="1">
        <v>6.0</v>
      </c>
      <c r="S190" s="1">
        <v>6.0</v>
      </c>
      <c r="T190" s="1" t="s">
        <v>53</v>
      </c>
      <c r="U190" s="1">
        <v>9.0</v>
      </c>
      <c r="V190" s="1">
        <v>5.0</v>
      </c>
      <c r="W190" s="1">
        <v>5.0</v>
      </c>
      <c r="X190" s="1">
        <v>4.0</v>
      </c>
      <c r="Y190" s="1">
        <v>4.0</v>
      </c>
      <c r="Z190" s="1" t="s">
        <v>54</v>
      </c>
      <c r="AA190" s="1">
        <v>9.0</v>
      </c>
      <c r="AB190" s="1">
        <v>5.0</v>
      </c>
      <c r="AC190" s="1">
        <v>5.0</v>
      </c>
      <c r="AD190" s="1">
        <v>4.0</v>
      </c>
      <c r="AE190" s="1">
        <v>4.0</v>
      </c>
      <c r="AF190" s="1" t="s">
        <v>56</v>
      </c>
      <c r="AG190" s="1">
        <v>7.0</v>
      </c>
      <c r="AH190" s="1">
        <v>5.0</v>
      </c>
      <c r="AI190" s="1">
        <v>5.0</v>
      </c>
      <c r="AJ190" s="1">
        <v>2.0</v>
      </c>
      <c r="AK190" s="1">
        <v>2.0</v>
      </c>
      <c r="AL190" s="1">
        <v>77.0</v>
      </c>
      <c r="AM190" s="1" t="s">
        <v>55</v>
      </c>
      <c r="AN190" s="1" t="s">
        <v>55</v>
      </c>
      <c r="AO190" s="1" t="s">
        <v>55</v>
      </c>
      <c r="AP190" s="1" t="s">
        <v>1167</v>
      </c>
      <c r="AQ190" s="3" t="str">
        <f>HYPERLINK("https://icf.clappia.com/app/GMB253374/submission/YZO70208952/ICF247370-GMB253374-71no0eh05kkm0000000/SIG-20250630_1031144cg3.jpeg", "SIG-20250630_1031144cg3.jpeg")</f>
        <v>SIG-20250630_1031144cg3.jpeg</v>
      </c>
      <c r="AR190" s="1" t="s">
        <v>1168</v>
      </c>
      <c r="AS190" s="3" t="str">
        <f>HYPERLINK("https://icf.clappia.com/app/GMB253374/submission/YZO70208952/ICF247370-GMB253374-2334enbpp527g0000000/SIG-20250630_103119269e.jpeg", "SIG-20250630_103119269e.jpeg")</f>
        <v>SIG-20250630_103119269e.jpeg</v>
      </c>
      <c r="AT190" s="1" t="s">
        <v>1169</v>
      </c>
      <c r="AU190" s="3" t="str">
        <f>HYPERLINK("https://icf.clappia.com/app/GMB253374/submission/YZO70208952/ICF247370-GMB253374-4ko37jp4hoai00000000/SIG-20250630_1033157bep.jpeg", "SIG-20250630_1033157bep.jpeg")</f>
        <v>SIG-20250630_1033157bep.jpeg</v>
      </c>
      <c r="AV190" s="3" t="str">
        <f>HYPERLINK("https://www.google.com/maps/place/8.1078624%2C-11.5484291", "8.1078624,-11.5484291")</f>
        <v>8.1078624,-11.5484291</v>
      </c>
    </row>
    <row r="191" ht="15.75" customHeight="1">
      <c r="A191" s="1" t="s">
        <v>1170</v>
      </c>
      <c r="B191" s="1" t="s">
        <v>98</v>
      </c>
      <c r="C191" s="1" t="s">
        <v>1171</v>
      </c>
      <c r="D191" s="1" t="s">
        <v>1172</v>
      </c>
      <c r="E191" s="1" t="s">
        <v>1173</v>
      </c>
      <c r="F191" s="1" t="s">
        <v>50</v>
      </c>
      <c r="G191" s="1">
        <v>50.0</v>
      </c>
      <c r="H191" s="1" t="s">
        <v>51</v>
      </c>
      <c r="I191" s="1">
        <v>47.0</v>
      </c>
      <c r="J191" s="1">
        <v>3.0</v>
      </c>
      <c r="K191" s="1">
        <v>3.0</v>
      </c>
      <c r="L191" s="1">
        <v>3.0</v>
      </c>
      <c r="M191" s="1">
        <v>3.0</v>
      </c>
      <c r="N191" s="1" t="s">
        <v>52</v>
      </c>
      <c r="O191" s="1">
        <v>77.0</v>
      </c>
      <c r="P191" s="1">
        <v>2.0</v>
      </c>
      <c r="Q191" s="1">
        <v>2.0</v>
      </c>
      <c r="R191" s="1">
        <v>3.0</v>
      </c>
      <c r="S191" s="1">
        <v>3.0</v>
      </c>
      <c r="T191" s="1" t="s">
        <v>53</v>
      </c>
      <c r="U191" s="1">
        <v>61.0</v>
      </c>
      <c r="V191" s="1">
        <v>3.0</v>
      </c>
      <c r="W191" s="1">
        <v>3.0</v>
      </c>
      <c r="X191" s="1">
        <v>2.0</v>
      </c>
      <c r="Y191" s="1">
        <v>2.0</v>
      </c>
      <c r="Z191" s="1" t="s">
        <v>54</v>
      </c>
      <c r="AA191" s="1">
        <v>60.0</v>
      </c>
      <c r="AB191" s="1">
        <v>1.0</v>
      </c>
      <c r="AC191" s="1">
        <v>1.0</v>
      </c>
      <c r="AD191" s="1">
        <v>2.0</v>
      </c>
      <c r="AE191" s="1">
        <v>2.0</v>
      </c>
      <c r="AF191" s="1" t="s">
        <v>56</v>
      </c>
      <c r="AG191" s="1">
        <v>41.0</v>
      </c>
      <c r="AH191" s="1">
        <v>1.0</v>
      </c>
      <c r="AI191" s="1">
        <v>1.0</v>
      </c>
      <c r="AJ191" s="1">
        <v>3.0</v>
      </c>
      <c r="AK191" s="1">
        <v>3.0</v>
      </c>
      <c r="AL191" s="1">
        <v>23.0</v>
      </c>
      <c r="AM191" s="1" t="s">
        <v>55</v>
      </c>
      <c r="AN191" s="1">
        <v>27.0</v>
      </c>
      <c r="AO191" s="1">
        <v>27.0</v>
      </c>
      <c r="AP191" s="1" t="s">
        <v>1174</v>
      </c>
      <c r="AQ191" s="3" t="str">
        <f>HYPERLINK("https://icf.clappia.com/app/GMB253374/submission/QMK55470160/ICF247370-GMB253374-1gdhfph8m8gng0000000/SIG-20250630_09591a7d13.jpeg", "SIG-20250630_09591a7d13.jpeg")</f>
        <v>SIG-20250630_09591a7d13.jpeg</v>
      </c>
      <c r="AR191" s="1" t="s">
        <v>1175</v>
      </c>
      <c r="AS191" s="3" t="str">
        <f>HYPERLINK("https://icf.clappia.com/app/GMB253374/submission/QMK55470160/ICF247370-GMB253374-1ba3k6h0glomc0000000/SIG-20250630_100181i42.jpeg", "SIG-20250630_100181i42.jpeg")</f>
        <v>SIG-20250630_100181i42.jpeg</v>
      </c>
      <c r="AT191" s="1" t="s">
        <v>1176</v>
      </c>
      <c r="AU191" s="3" t="str">
        <f>HYPERLINK("https://icf.clappia.com/app/GMB253374/submission/QMK55470160/ICF247370-GMB253374-4mknhdp0ff9200000000/SIG-20250630_1003b6756.jpeg", "SIG-20250630_1003b6756.jpeg")</f>
        <v>SIG-20250630_1003b6756.jpeg</v>
      </c>
      <c r="AV191" s="3" t="str">
        <f>HYPERLINK("https://www.google.com/maps/place/7.974125%2C-11.714915", "7.974125,-11.714915")</f>
        <v>7.974125,-11.714915</v>
      </c>
    </row>
    <row r="192" ht="15.75" customHeight="1">
      <c r="A192" s="1" t="s">
        <v>1177</v>
      </c>
      <c r="B192" s="1" t="s">
        <v>207</v>
      </c>
      <c r="C192" s="1" t="s">
        <v>1178</v>
      </c>
      <c r="D192" s="1" t="s">
        <v>1179</v>
      </c>
      <c r="E192" s="1" t="s">
        <v>1180</v>
      </c>
      <c r="F192" s="1" t="s">
        <v>50</v>
      </c>
      <c r="G192" s="1">
        <v>223.0</v>
      </c>
      <c r="H192" s="1" t="s">
        <v>51</v>
      </c>
      <c r="I192" s="1">
        <v>80.0</v>
      </c>
      <c r="J192" s="1">
        <v>37.0</v>
      </c>
      <c r="K192" s="1">
        <v>36.0</v>
      </c>
      <c r="L192" s="1">
        <v>43.0</v>
      </c>
      <c r="M192" s="1">
        <v>43.0</v>
      </c>
      <c r="N192" s="1" t="s">
        <v>52</v>
      </c>
      <c r="O192" s="1">
        <v>36.0</v>
      </c>
      <c r="P192" s="1">
        <v>16.0</v>
      </c>
      <c r="Q192" s="1">
        <v>16.0</v>
      </c>
      <c r="R192" s="1">
        <v>20.0</v>
      </c>
      <c r="S192" s="1">
        <v>19.0</v>
      </c>
      <c r="T192" s="1" t="s">
        <v>53</v>
      </c>
      <c r="U192" s="1">
        <v>41.0</v>
      </c>
      <c r="V192" s="1">
        <v>14.0</v>
      </c>
      <c r="W192" s="1">
        <v>14.0</v>
      </c>
      <c r="X192" s="1">
        <v>27.0</v>
      </c>
      <c r="Y192" s="1">
        <v>26.0</v>
      </c>
      <c r="Z192" s="1" t="s">
        <v>54</v>
      </c>
      <c r="AA192" s="1">
        <v>40.0</v>
      </c>
      <c r="AB192" s="1">
        <v>18.0</v>
      </c>
      <c r="AC192" s="1">
        <v>17.0</v>
      </c>
      <c r="AD192" s="1">
        <v>22.0</v>
      </c>
      <c r="AE192" s="1">
        <v>22.0</v>
      </c>
      <c r="AF192" s="1" t="s">
        <v>56</v>
      </c>
      <c r="AG192" s="1">
        <v>26.0</v>
      </c>
      <c r="AH192" s="1">
        <v>15.0</v>
      </c>
      <c r="AI192" s="1">
        <v>14.0</v>
      </c>
      <c r="AJ192" s="1">
        <v>10.0</v>
      </c>
      <c r="AK192" s="1">
        <v>10.0</v>
      </c>
      <c r="AL192" s="1">
        <v>217.0</v>
      </c>
      <c r="AM192" s="1">
        <v>6.0</v>
      </c>
      <c r="AN192" s="1" t="s">
        <v>55</v>
      </c>
      <c r="AO192" s="1" t="s">
        <v>55</v>
      </c>
      <c r="AP192" s="1" t="s">
        <v>1181</v>
      </c>
      <c r="AQ192" s="3" t="str">
        <f>HYPERLINK("https://icf.clappia.com/app/GMB253374/submission/BVK64399603/ICF247370-GMB253374-m3i8cehodbpi0000000/SIG-20250630_10214fe7j.jpeg", "SIG-20250630_10214fe7j.jpeg")</f>
        <v>SIG-20250630_10214fe7j.jpeg</v>
      </c>
      <c r="AR192" s="1" t="s">
        <v>1182</v>
      </c>
      <c r="AS192" s="3" t="str">
        <f>HYPERLINK("https://icf.clappia.com/app/GMB253374/submission/BVK64399603/ICF247370-GMB253374-54ohg9i8dmm000000000/SIG-20250630_1023n6ncj.jpeg", "SIG-20250630_1023n6ncj.jpeg")</f>
        <v>SIG-20250630_1023n6ncj.jpeg</v>
      </c>
      <c r="AT192" s="1" t="s">
        <v>1183</v>
      </c>
      <c r="AU192" s="3" t="str">
        <f>HYPERLINK("https://icf.clappia.com/app/GMB253374/submission/BVK64399603/ICF247370-GMB253374-5abm1ffjk8ce00000000/SIG-20250630_1024p4dkm.jpeg", "SIG-20250630_1024p4dkm.jpeg")</f>
        <v>SIG-20250630_1024p4dkm.jpeg</v>
      </c>
      <c r="AV192" s="3" t="str">
        <f>HYPERLINK("https://www.google.com/maps/place/7.88549%2C-11.4601783", "7.88549,-11.4601783")</f>
        <v>7.88549,-11.4601783</v>
      </c>
    </row>
    <row r="193" ht="15.75" customHeight="1">
      <c r="A193" s="1" t="s">
        <v>1184</v>
      </c>
      <c r="B193" s="1" t="s">
        <v>207</v>
      </c>
      <c r="C193" s="1" t="s">
        <v>1185</v>
      </c>
      <c r="D193" s="1" t="s">
        <v>1185</v>
      </c>
      <c r="E193" s="1" t="s">
        <v>1186</v>
      </c>
      <c r="F193" s="1" t="s">
        <v>50</v>
      </c>
      <c r="G193" s="1">
        <v>300.0</v>
      </c>
      <c r="H193" s="1" t="s">
        <v>51</v>
      </c>
      <c r="I193" s="1">
        <v>80.0</v>
      </c>
      <c r="J193" s="1">
        <v>39.0</v>
      </c>
      <c r="K193" s="1">
        <v>39.0</v>
      </c>
      <c r="L193" s="1">
        <v>41.0</v>
      </c>
      <c r="M193" s="1">
        <v>40.0</v>
      </c>
      <c r="N193" s="1" t="s">
        <v>52</v>
      </c>
      <c r="O193" s="1">
        <v>70.0</v>
      </c>
      <c r="P193" s="1">
        <v>40.0</v>
      </c>
      <c r="Q193" s="1">
        <v>40.0</v>
      </c>
      <c r="R193" s="1">
        <v>30.0</v>
      </c>
      <c r="S193" s="1">
        <v>30.0</v>
      </c>
      <c r="T193" s="1" t="s">
        <v>53</v>
      </c>
      <c r="U193" s="1">
        <v>54.0</v>
      </c>
      <c r="V193" s="1">
        <v>20.0</v>
      </c>
      <c r="W193" s="1">
        <v>20.0</v>
      </c>
      <c r="X193" s="1">
        <v>34.0</v>
      </c>
      <c r="Y193" s="1">
        <v>34.0</v>
      </c>
      <c r="Z193" s="1" t="s">
        <v>54</v>
      </c>
      <c r="AA193" s="1">
        <v>38.0</v>
      </c>
      <c r="AB193" s="1">
        <v>34.0</v>
      </c>
      <c r="AC193" s="1">
        <v>32.0</v>
      </c>
      <c r="AD193" s="1">
        <v>4.0</v>
      </c>
      <c r="AE193" s="1">
        <v>4.0</v>
      </c>
      <c r="AF193" s="1" t="s">
        <v>56</v>
      </c>
      <c r="AG193" s="1">
        <v>12.0</v>
      </c>
      <c r="AH193" s="1">
        <v>6.0</v>
      </c>
      <c r="AI193" s="1">
        <v>6.0</v>
      </c>
      <c r="AJ193" s="1">
        <v>6.0</v>
      </c>
      <c r="AK193" s="1">
        <v>6.0</v>
      </c>
      <c r="AL193" s="1">
        <v>251.0</v>
      </c>
      <c r="AM193" s="1">
        <v>3.0</v>
      </c>
      <c r="AN193" s="1">
        <v>46.0</v>
      </c>
      <c r="AO193" s="1">
        <v>46.0</v>
      </c>
      <c r="AP193" s="1" t="s">
        <v>1187</v>
      </c>
      <c r="AQ193" s="3" t="str">
        <f>HYPERLINK("https://icf.clappia.com/app/GMB253374/submission/BWF12528097/ICF247370-GMB253374-118jggholce1e0000000/SIG-20250630_1013i0l99.jpeg", "SIG-20250630_1013i0l99.jpeg")</f>
        <v>SIG-20250630_1013i0l99.jpeg</v>
      </c>
      <c r="AR193" s="1" t="s">
        <v>1188</v>
      </c>
      <c r="AS193" s="3" t="str">
        <f>HYPERLINK("https://icf.clappia.com/app/GMB253374/submission/BWF12528097/ICF247370-GMB253374-2288ko6an8ln60000000/SIG-20250630_10149b0ge.jpeg", "SIG-20250630_10149b0ge.jpeg")</f>
        <v>SIG-20250630_10149b0ge.jpeg</v>
      </c>
      <c r="AT193" s="1" t="s">
        <v>1189</v>
      </c>
      <c r="AU193" s="3" t="str">
        <f>HYPERLINK("https://icf.clappia.com/app/GMB253374/submission/BWF12528097/ICF247370-GMB253374-29iffc5h37d1a0000000/SIG-20250630_10141815fn.jpeg", "SIG-20250630_10141815fn.jpeg")</f>
        <v>SIG-20250630_10141815fn.jpeg</v>
      </c>
      <c r="AV193" s="3" t="str">
        <f>HYPERLINK("https://www.google.com/maps/place/7.8573317%2C-11.54769", "7.8573317,-11.54769")</f>
        <v>7.8573317,-11.54769</v>
      </c>
    </row>
    <row r="194" ht="15.75" customHeight="1">
      <c r="A194" s="1" t="s">
        <v>1190</v>
      </c>
      <c r="B194" s="1" t="s">
        <v>162</v>
      </c>
      <c r="C194" s="1" t="s">
        <v>1191</v>
      </c>
      <c r="D194" s="1" t="s">
        <v>1191</v>
      </c>
      <c r="E194" s="1" t="s">
        <v>1192</v>
      </c>
      <c r="F194" s="1" t="s">
        <v>50</v>
      </c>
      <c r="G194" s="1">
        <v>500.0</v>
      </c>
      <c r="H194" s="1" t="s">
        <v>51</v>
      </c>
      <c r="I194" s="1">
        <v>100.0</v>
      </c>
      <c r="J194" s="1">
        <v>50.0</v>
      </c>
      <c r="K194" s="1">
        <v>50.0</v>
      </c>
      <c r="L194" s="1">
        <v>50.0</v>
      </c>
      <c r="M194" s="1">
        <v>50.0</v>
      </c>
      <c r="N194" s="1" t="s">
        <v>52</v>
      </c>
      <c r="O194" s="1">
        <v>50.0</v>
      </c>
      <c r="P194" s="1">
        <v>25.0</v>
      </c>
      <c r="Q194" s="1">
        <v>25.0</v>
      </c>
      <c r="R194" s="1">
        <v>25.0</v>
      </c>
      <c r="S194" s="1">
        <v>25.0</v>
      </c>
      <c r="T194" s="1" t="s">
        <v>53</v>
      </c>
      <c r="U194" s="1">
        <v>100.0</v>
      </c>
      <c r="V194" s="1">
        <v>50.0</v>
      </c>
      <c r="W194" s="1">
        <v>50.0</v>
      </c>
      <c r="X194" s="1">
        <v>50.0</v>
      </c>
      <c r="Y194" s="1">
        <v>50.0</v>
      </c>
      <c r="Z194" s="1" t="s">
        <v>54</v>
      </c>
      <c r="AA194" s="1">
        <v>50.0</v>
      </c>
      <c r="AB194" s="1">
        <v>25.0</v>
      </c>
      <c r="AC194" s="1">
        <v>25.0</v>
      </c>
      <c r="AD194" s="1">
        <v>25.0</v>
      </c>
      <c r="AE194" s="1">
        <v>25.0</v>
      </c>
      <c r="AF194" s="1" t="s">
        <v>56</v>
      </c>
      <c r="AG194" s="1">
        <v>50.0</v>
      </c>
      <c r="AH194" s="1">
        <v>25.0</v>
      </c>
      <c r="AI194" s="1">
        <v>25.0</v>
      </c>
      <c r="AJ194" s="1">
        <v>25.0</v>
      </c>
      <c r="AK194" s="1">
        <v>25.0</v>
      </c>
      <c r="AL194" s="1">
        <v>350.0</v>
      </c>
      <c r="AM194" s="1">
        <v>10.0</v>
      </c>
      <c r="AN194" s="1">
        <v>140.0</v>
      </c>
      <c r="AO194" s="1">
        <v>140.0</v>
      </c>
      <c r="AP194" s="1" t="s">
        <v>1193</v>
      </c>
      <c r="AQ194" s="3" t="str">
        <f>HYPERLINK("https://icf.clappia.com/app/GMB253374/submission/OAJ85397146/ICF247370-GMB253374-1712l8ig9910k0000000/SIG-20250630_090817g47g.jpeg", "SIG-20250630_090817g47g.jpeg")</f>
        <v>SIG-20250630_090817g47g.jpeg</v>
      </c>
      <c r="AR194" s="1" t="s">
        <v>1194</v>
      </c>
      <c r="AS194" s="3" t="str">
        <f>HYPERLINK("https://icf.clappia.com/app/GMB253374/submission/OAJ85397146/ICF247370-GMB253374-ognl3c93ni7a0000000/SIG-20250630_090437d7a.jpeg", "SIG-20250630_090437d7a.jpeg")</f>
        <v>SIG-20250630_090437d7a.jpeg</v>
      </c>
      <c r="AT194" s="1" t="s">
        <v>939</v>
      </c>
      <c r="AU194" s="3" t="str">
        <f>HYPERLINK("https://icf.clappia.com/app/GMB253374/submission/OAJ85397146/ICF247370-GMB253374-50bb9blpkn2600000000/SIG-20250630_090629an5.jpeg", "SIG-20250630_090629an5.jpeg")</f>
        <v>SIG-20250630_090629an5.jpeg</v>
      </c>
      <c r="AV194" s="3" t="str">
        <f>HYPERLINK("https://www.google.com/maps/place/7.9289021%2C-11.7183944", "7.9289021,-11.7183944")</f>
        <v>7.9289021,-11.7183944</v>
      </c>
    </row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</sheetData>
  <autoFilter ref="$A$1:$AV$194"/>
  <drawing r:id="rId1"/>
</worksheet>
</file>