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1'!$A$1:$AV$146</definedName>
  </definedNames>
  <calcPr/>
</workbook>
</file>

<file path=xl/sharedStrings.xml><?xml version="1.0" encoding="utf-8"?>
<sst xmlns="http://schemas.openxmlformats.org/spreadsheetml/2006/main" count="2245" uniqueCount="861">
  <si>
    <t>Submission Id</t>
  </si>
  <si>
    <t>Owner</t>
  </si>
  <si>
    <t>Created At</t>
  </si>
  <si>
    <t>Last Updated At</t>
  </si>
  <si>
    <t>Scan QR code</t>
  </si>
  <si>
    <t>School ownership</t>
  </si>
  <si>
    <t>Number of ITNs received in the school</t>
  </si>
  <si>
    <t>Class</t>
  </si>
  <si>
    <t>How many pupils are enrolled in Class 1?</t>
  </si>
  <si>
    <t>How many boys are in Class 1?</t>
  </si>
  <si>
    <t>How many boys in Class 1 received ITNs?</t>
  </si>
  <si>
    <t>How many girls are in Class 1?</t>
  </si>
  <si>
    <t>How many girls in Class 1 received ITNs?</t>
  </si>
  <si>
    <t>How many pupils are enrolled in Class 2?</t>
  </si>
  <si>
    <t>How many boys are in Class 2?</t>
  </si>
  <si>
    <t>How many boys in Class 2 received ITNs?</t>
  </si>
  <si>
    <t>How many girls are in Class 2?</t>
  </si>
  <si>
    <t>How many girls in Class 2 received ITNs?</t>
  </si>
  <si>
    <t>How many pupils are enrolled in Class 3?</t>
  </si>
  <si>
    <t>How many boys are in Class 3?</t>
  </si>
  <si>
    <t>How many boys in Class 3 received ITNs?</t>
  </si>
  <si>
    <t>How many girls are in Class 3?</t>
  </si>
  <si>
    <t>How many girls in Class 3 received ITNs?</t>
  </si>
  <si>
    <t xml:space="preserve">Class </t>
  </si>
  <si>
    <t>How many pupils are enrolled in Class 4?</t>
  </si>
  <si>
    <t>How many boys are in Class 4?</t>
  </si>
  <si>
    <t>How many boys in Class 4 received ITNs?</t>
  </si>
  <si>
    <t>How many girls are in Class 4?</t>
  </si>
  <si>
    <t>How many girls in Class 4 received ITNs?</t>
  </si>
  <si>
    <t>How many pupils are enrolled in Class 5?</t>
  </si>
  <si>
    <t>How many boys are in Class 5?</t>
  </si>
  <si>
    <t>How many boys in Class 5 received ITNs?</t>
  </si>
  <si>
    <t>How many girls are in Class 5?</t>
  </si>
  <si>
    <t>How many girls in Class 5 received ITNs?</t>
  </si>
  <si>
    <t>Total ITNs distributed</t>
  </si>
  <si>
    <t>ITNs left at the school for pupils who were absent.</t>
  </si>
  <si>
    <t>ITNs remaining</t>
  </si>
  <si>
    <t>ITNs taken to the PHU</t>
  </si>
  <si>
    <t>Name of first team member</t>
  </si>
  <si>
    <t>Signature of first team member</t>
  </si>
  <si>
    <t>Name of second team member</t>
  </si>
  <si>
    <t>Signature of second team member</t>
  </si>
  <si>
    <t>Name of third team member</t>
  </si>
  <si>
    <t xml:space="preserve">Signature of third team </t>
  </si>
  <si>
    <t>GPS Location</t>
  </si>
  <si>
    <t>HFJ22794410</t>
  </si>
  <si>
    <t>training@clappia.com</t>
  </si>
  <si>
    <t>30-06-2025 07:50 AM</t>
  </si>
  <si>
    <t>District: Bombali
Chiefdom: Gbanti (Bombali) 
PHU name: Panlap CHP
Community name: Talent Town (Gbanti)
Name of school: Sandred Model Academy Pimary School, Talent Town, Makeni (2104-2-04211)(Talent Town (Gbanti), Panlap CHP)
Enrollment: 200</t>
  </si>
  <si>
    <t>Private</t>
  </si>
  <si>
    <t>Class 1</t>
  </si>
  <si>
    <t>Class 2</t>
  </si>
  <si>
    <t>Class 3</t>
  </si>
  <si>
    <t>Class 4</t>
  </si>
  <si>
    <t>Class 5</t>
  </si>
  <si>
    <t>0</t>
  </si>
  <si>
    <t xml:space="preserve">Sento N Kargbo </t>
  </si>
  <si>
    <t xml:space="preserve">Alice conteh </t>
  </si>
  <si>
    <t xml:space="preserve">Adorah Alfred Kamara </t>
  </si>
  <si>
    <t>XEY73100732</t>
  </si>
  <si>
    <t>kakua@clappia.com</t>
  </si>
  <si>
    <t>30-06-2025 07:44 AM</t>
  </si>
  <si>
    <t>30-06-2025 07:49 AM</t>
  </si>
  <si>
    <t>District: Bo
Chiefdom: Kakua
PHU name: Veronica MCHP
Community name: New England
Name of school: Al-Noor Primary School
Enrollment: 157</t>
  </si>
  <si>
    <t>Public</t>
  </si>
  <si>
    <t xml:space="preserve">Henry Edwards </t>
  </si>
  <si>
    <t xml:space="preserve">Patricia Lucida lahai </t>
  </si>
  <si>
    <t xml:space="preserve">Kevin I Conteh </t>
  </si>
  <si>
    <t>YRY11174129</t>
  </si>
  <si>
    <t>Makenicity</t>
  </si>
  <si>
    <t>District: Bombali
Chiefdom: Makeni City
PHU name: Teko Barracks CHP
Community name: Congo Town (Makeni City)
Name of school: National Pentecostal Primary School (2191-2-04396)(Congo Town (Makeni City), Teko Barracks CHP)
Enrollment: 77</t>
  </si>
  <si>
    <t xml:space="preserve">Fatmata Bangura </t>
  </si>
  <si>
    <t xml:space="preserve">Mohamed Tarawalie </t>
  </si>
  <si>
    <t xml:space="preserve">Fatmata Kamara </t>
  </si>
  <si>
    <t>XCN67989682</t>
  </si>
  <si>
    <t>Biriwa</t>
  </si>
  <si>
    <t>30-06-2025 07:47 AM</t>
  </si>
  <si>
    <t>District: Bombali
Chiefdom: Biriwa
PHU name: Kagbaneh CHC
Community name: Kagbaneh (Biriwa)
Name of school: Wesleyan Church Of Sierra Leone Primary School (2101-2-04073)(Kagbaneh (Biriwa), Kagbaneh CHC)
Enrollment: 190</t>
  </si>
  <si>
    <t>Hassan conteh</t>
  </si>
  <si>
    <t>Mohamed  G  Mansaray</t>
  </si>
  <si>
    <t>Mattu Sillah</t>
  </si>
  <si>
    <t>ZOM52930135</t>
  </si>
  <si>
    <t>baoma@clappia.com</t>
  </si>
  <si>
    <t>District: Bo
Chiefdom: Baoma
PHU name: Baoma CHP
Community name: Baoma Station
Name of school: Ansarul Islamic Primary School
Enrollment: 318</t>
  </si>
  <si>
    <t>AGNES SAMA</t>
  </si>
  <si>
    <t>Alex..maada..kowa</t>
  </si>
  <si>
    <t>Miriama Kaimapo</t>
  </si>
  <si>
    <t>TSG59452380</t>
  </si>
  <si>
    <t>gbo@clappia.com</t>
  </si>
  <si>
    <t>30-06-2025 07:39 AM</t>
  </si>
  <si>
    <t>District: Bo
Chiefdom: Gbo
PHU name: Gbaiima Songa CHC
Community name: Mokebbie
Name of school: Peevic Aviation Primary School
Enrollment: 138</t>
  </si>
  <si>
    <t>Josephine Faith Fannah</t>
  </si>
  <si>
    <t>Fatmata c Vandy</t>
  </si>
  <si>
    <t>Benjamin s  sesaymmo</t>
  </si>
  <si>
    <t>XWH86274748</t>
  </si>
  <si>
    <t>30-06-2025 07:35 AM</t>
  </si>
  <si>
    <t>District: Bombali
Chiefdom: Makeni City
PHU name: Bombali Police CHC
Community name: 85 Old Magburaka Road, Makeni
Name of school: King Jesus International Academy Primary School(2191-2-14933)(85 Old Magburaka Road, Makeni, Bombali Police CHC)
Enrollment: 0</t>
  </si>
  <si>
    <t xml:space="preserve">Fatmata Amie Gbla </t>
  </si>
  <si>
    <t xml:space="preserve">Rugiatu kargbo </t>
  </si>
  <si>
    <t xml:space="preserve">Fatmata Gibril Kalokoh </t>
  </si>
  <si>
    <t>CCE58524124</t>
  </si>
  <si>
    <t>bocity@clappia.com</t>
  </si>
  <si>
    <t>30-06-2025 07:34 AM</t>
  </si>
  <si>
    <t>District: Bo
Chiefdom: Bo City
PHU name: Morning Star CHP
Community name: C-Line Sewa Road
Name of school: R C Madonna Primary School
Enrollment: 196</t>
  </si>
  <si>
    <t>Elizabeth B M'brewah</t>
  </si>
  <si>
    <t>Amie Barrie</t>
  </si>
  <si>
    <t>Agnes F Jaba</t>
  </si>
  <si>
    <t>WDK81865760</t>
  </si>
  <si>
    <t>30-06-2025 07:33 AM</t>
  </si>
  <si>
    <t>District: Bo
Chiefdom: Bo City
PHU name: Break Through MCHP
Community name: Mendawa
Name of school: Rosal International Academy
Enrollment: 169</t>
  </si>
  <si>
    <t xml:space="preserve">Lydia Thomas </t>
  </si>
  <si>
    <t xml:space="preserve">Augusta Rogers </t>
  </si>
  <si>
    <t xml:space="preserve">Jamiru Ibrahim </t>
  </si>
  <si>
    <t>HVD62101551</t>
  </si>
  <si>
    <t>Ngowahun</t>
  </si>
  <si>
    <t>30-06-2025 07:30 AM</t>
  </si>
  <si>
    <t>District: Bombali
Chiefdom: Ngowahun 
PHU name: Maharie CHP
Community name: Maharie (N'Gowahun)
Name of school: Wesleyan Church of Sierra Leone Primary (2110-2-04580)(Maharie (N'Gowahun), Maharie CHP)
Enrollment: 260</t>
  </si>
  <si>
    <t>Yealie turay</t>
  </si>
  <si>
    <t>Marian sesay</t>
  </si>
  <si>
    <t>Mohamed A kamara</t>
  </si>
  <si>
    <t>UAL61708653</t>
  </si>
  <si>
    <t>30-06-2025 07:20 AM</t>
  </si>
  <si>
    <t>District: Bo
Chiefdom: Kakua
PHU name: M. M. Maternity MCHP
Community name: Nyagorehun 
Name of school: Glory Assemble School
Enrollment: 66</t>
  </si>
  <si>
    <t>Cecilia Blackie</t>
  </si>
  <si>
    <t xml:space="preserve">Fatmata W Jalloh </t>
  </si>
  <si>
    <t>Phelix A. Kainwo</t>
  </si>
  <si>
    <t>ZFJ65860817</t>
  </si>
  <si>
    <t>bargbo@clappia.com</t>
  </si>
  <si>
    <t>30-06-2025 07:19 AM</t>
  </si>
  <si>
    <t>District: Bo
Chiefdom: Bargbo
PHU name: Mano Yorgbo MCHP
Community name: Dandabu
Name of school: National Islamic Primary School
Enrollment: 259</t>
  </si>
  <si>
    <t>Alice Fofanah</t>
  </si>
  <si>
    <t>Mariana ArunaMU</t>
  </si>
  <si>
    <t>Paul .T .M.  Saffa</t>
  </si>
  <si>
    <t>SSQ62369537</t>
  </si>
  <si>
    <t>30-06-2025 07:16 AM</t>
  </si>
  <si>
    <t>District: Bombali
Chiefdom: Ngowahun 
PHU name: Kalangba (Ngowahun) CHC
Community name: Maforay Kolatick N'Gowahun
Name of school: Victory International Academy Primary School (2110-2-14941)(Maforay Kolatick N'Gowahun, Kalangba (Ngowahun) CHC)
Enrollment: 0</t>
  </si>
  <si>
    <t xml:space="preserve">Ramatu Barrie </t>
  </si>
  <si>
    <t xml:space="preserve">Kadiatu Sesay </t>
  </si>
  <si>
    <t xml:space="preserve">Edward Lamin Kargbo </t>
  </si>
  <si>
    <t>DEW52932994</t>
  </si>
  <si>
    <t>30-06-2025 07:12 AM</t>
  </si>
  <si>
    <t>District: Bo
Chiefdom: Gbo
PHU name: Sembehun Mamangewor MCHP
Community name: Sembehun
Name of school: Aladura Primary School
Enrollment: 76</t>
  </si>
  <si>
    <t>Mariana D Jalloh</t>
  </si>
  <si>
    <t>Hawa Blessing Kamara</t>
  </si>
  <si>
    <t>Francis Jusu</t>
  </si>
  <si>
    <t>LVH98427672</t>
  </si>
  <si>
    <t>Safroko Limba</t>
  </si>
  <si>
    <t>30-06-2025 07:07 AM</t>
  </si>
  <si>
    <t>District: Bombali
Chiefdom: Safroko Limba 
PHU name: Maselleh MCHP
Community name: Masselleh (Safroko Limba)
Name of school: Wesleyan Church Of Sierra Leone Primary School (2112-2-04697)(Masselleh (Safroko Limba), Maselleh MCHP)
Enrollment: 188</t>
  </si>
  <si>
    <t>Kai koroma</t>
  </si>
  <si>
    <t xml:space="preserve">Christiana Laundeh </t>
  </si>
  <si>
    <t>Alex.A .T Bangurah</t>
  </si>
  <si>
    <t>UOJ36407166</t>
  </si>
  <si>
    <t>Makaria</t>
  </si>
  <si>
    <t>District: Bombali
Chiefdom: Makarie 
PHU name: Masongbo (Makarie) CHC
Community name: Robombeh (Makari)
Name of school: Bai Sebora Kasangha Islamic Primary School (2108-2-13090)(Robombeh (Makari), Masongbo (Makarie) CHC)
Enrollment: 223</t>
  </si>
  <si>
    <t xml:space="preserve">Isata T Bangura </t>
  </si>
  <si>
    <t xml:space="preserve">Alpha Kargbo </t>
  </si>
  <si>
    <t>Sallay Bundu</t>
  </si>
  <si>
    <t>IAB95995918</t>
  </si>
  <si>
    <t>Tinkoko</t>
  </si>
  <si>
    <t>30-06-2025 07:06 AM</t>
  </si>
  <si>
    <t>District: Bo
Chiefdom: Tinkoko
PHU name: Gondama CHC
Community name: Gondama
Name of school: SLUIM Islamic Primary School
Enrollment: 154</t>
  </si>
  <si>
    <t xml:space="preserve">Hawa mansaray </t>
  </si>
  <si>
    <t>Mariama tarawally</t>
  </si>
  <si>
    <t>Saffa sarmu</t>
  </si>
  <si>
    <t>TAR58962652</t>
  </si>
  <si>
    <t>30-06-2025 07:01 AM</t>
  </si>
  <si>
    <t>District: Bo
Chiefdom: Tinkoko
PHU name: Theresa Hakim CHP
Community name: Thomas Town Extension
Name of school: Providence Primary School
Enrollment: 140</t>
  </si>
  <si>
    <t>Mary Alpha</t>
  </si>
  <si>
    <t>Christina J mansaray</t>
  </si>
  <si>
    <t>Rugsyl Jitta Ndolleh</t>
  </si>
  <si>
    <t>BXE49992194</t>
  </si>
  <si>
    <t>District: Bo
Chiefdom: Tinkoko
PHU name: Gondama CHC
Community name: Gondama
Name of school: Every Nation Primary School
Enrollment: 260</t>
  </si>
  <si>
    <t xml:space="preserve">Mariama Yilla </t>
  </si>
  <si>
    <t xml:space="preserve">Bernadette J George </t>
  </si>
  <si>
    <t>Saidu moigua</t>
  </si>
  <si>
    <t>MTO06577109</t>
  </si>
  <si>
    <t>Gbendembu</t>
  </si>
  <si>
    <t>District: Bombali
Chiefdom: Gbendembu 
PHU name: Gbendembu CHC
Community name: Gbendembu
Name of school: Sierra Leone Muslim Women Benevolent Organisation Primary School (2105-2-04247)(Gbendembu, Gbendembu CHC)
Enrollment: 311</t>
  </si>
  <si>
    <t>Beatrice Alice. Lebbie</t>
  </si>
  <si>
    <t>Sulaiman Bah</t>
  </si>
  <si>
    <t>Abdulrahman T Barrie</t>
  </si>
  <si>
    <t>DGJ92740467</t>
  </si>
  <si>
    <t>30-06-2025 06:56 AM</t>
  </si>
  <si>
    <t>District: Bombali
Chiefdom: Makeni City
PHU name: Red Cross (Makeni City) CHP
Community name: Renka Street Makeni (Makeni City)
Name of school: Sierra Leone Muslim Women Benevolent Organisation Primary School (2191-2-04381)(Renka Street Makeni (Makeni City), Red Cross (Makeni City) CHP)
Enrollment: 168</t>
  </si>
  <si>
    <t xml:space="preserve">Achmed fears </t>
  </si>
  <si>
    <t>Mohamed conteh</t>
  </si>
  <si>
    <t>Sabiana</t>
  </si>
  <si>
    <t>XPO38892450</t>
  </si>
  <si>
    <t>District: Bo
Chiefdom: Bo City
PHU name: Break Through MCHP
Community name: Joe Town
Name of school: Desire Devine Bilingual Academiy
Enrollment: 197</t>
  </si>
  <si>
    <t>JANET ROGERS</t>
  </si>
  <si>
    <t>Philicia Bobordeen</t>
  </si>
  <si>
    <t xml:space="preserve">Sonnie Rogers </t>
  </si>
  <si>
    <t>OII57933828</t>
  </si>
  <si>
    <t>30-06-2025 06:54 AM</t>
  </si>
  <si>
    <t>District: Bo
Chiefdom: Kakua
PHU name: Ndegbomie MCHP
Community name: Falaba (Kakua)
Name of school: Believer's Christian Community
Enrollment: 272</t>
  </si>
  <si>
    <t>Amara foray</t>
  </si>
  <si>
    <t>Aminata Bangalie</t>
  </si>
  <si>
    <t>Baby massaquoi</t>
  </si>
  <si>
    <t>FOF95163005</t>
  </si>
  <si>
    <t>30-06-2025 06:49 AM</t>
  </si>
  <si>
    <t>District: Bombali
Chiefdom: Makarie 
PHU name: Fullah Town 1 CHP
Community name: Robaray (Makari)
Name of school: Sierra Leone Muslim Women Benevolent Organisation Primary School (2108-2-04350)(Robaray (Makari), Fullah Town 1 CHP)
Enrollment: 177</t>
  </si>
  <si>
    <t>Dyna Jamie patricks</t>
  </si>
  <si>
    <t>Saito A marah</t>
  </si>
  <si>
    <t xml:space="preserve">Issa Koroma </t>
  </si>
  <si>
    <t>PWC02903528</t>
  </si>
  <si>
    <t>BombaliShebora</t>
  </si>
  <si>
    <t>District: Bombali
Chiefdom: Bombali Sebora 
PHU name: Maforay (Bombali Sebora) CHP
Community name: Mabarrie Village
Name of school: Royal Academy Primary School (2102-2-14938)(Mabarrie Village, Maforay (Bombali Sebora) CHP)
Enrollment: 0</t>
  </si>
  <si>
    <t>Fatmata T Turay</t>
  </si>
  <si>
    <t>Daphne B Macauley</t>
  </si>
  <si>
    <t>Mabinty Tarawali</t>
  </si>
  <si>
    <t>KSK14026686</t>
  </si>
  <si>
    <t>30-06-2025 06:48 AM</t>
  </si>
  <si>
    <t>District: Bo
Chiefdom: Kakua
PHU name: Gbongboma CHP
Community name: Gbongboma
Name of school: S L M B Primary School
Enrollment: 273</t>
  </si>
  <si>
    <t>1 and 2</t>
  </si>
  <si>
    <t>Juliet y. Yopoi</t>
  </si>
  <si>
    <t>NCI73589757</t>
  </si>
  <si>
    <t>30-06-2025 06:45 AM</t>
  </si>
  <si>
    <t>District: Bo
Chiefdom: Bo City
PHU name: Batiama MCHP
Community name: Goigoma
Name of school: A-Jallie Primary School
Enrollment: 100</t>
  </si>
  <si>
    <t>Modu  T Mansaray</t>
  </si>
  <si>
    <t>Seibatu H Yokie</t>
  </si>
  <si>
    <t>Justina T Momodu</t>
  </si>
  <si>
    <t>EXH27204622</t>
  </si>
  <si>
    <t>niawalenga@clappia.com</t>
  </si>
  <si>
    <t>30-06-2025 06:44 AM</t>
  </si>
  <si>
    <t>District: Bo
Chiefdom: Niawa Lenga
PHU name: Nemgbema CHP
Community name: Mbellebu
Name of school: B D E C Primary School
Enrollment: 105</t>
  </si>
  <si>
    <t xml:space="preserve">Foday Francis Kargbo </t>
  </si>
  <si>
    <t xml:space="preserve">Edmond Bangalie </t>
  </si>
  <si>
    <t xml:space="preserve">Warah Conteh </t>
  </si>
  <si>
    <t>APR80629155</t>
  </si>
  <si>
    <t>30-06-2025 06:42 AM</t>
  </si>
  <si>
    <t>District: Bo
Chiefdom: Kakua
PHU name: Nafaya MCHP
Community name: Manjama Shellmingo
Name of school: S L U I M Primary School
Enrollment: 191</t>
  </si>
  <si>
    <t>Agnes Amara</t>
  </si>
  <si>
    <t>Sulaiman swaray</t>
  </si>
  <si>
    <t>Bettymvonjoe</t>
  </si>
  <si>
    <t>LMG35734104</t>
  </si>
  <si>
    <t>30-06-2025 06:41 AM</t>
  </si>
  <si>
    <t>District: Bo
Chiefdom: Niawa Lenga
PHU name: Nemgbema CHP
Community name: Tondorya
Name of school: B D E C Primary School
Enrollment: 178</t>
  </si>
  <si>
    <t>Ibrahim Gamanga</t>
  </si>
  <si>
    <t>Juliana v Allieu</t>
  </si>
  <si>
    <t xml:space="preserve">David Johnny </t>
  </si>
  <si>
    <t>BXU62986863</t>
  </si>
  <si>
    <t>lugbu@clappia.com</t>
  </si>
  <si>
    <t>30-06-2025 06:40 AM</t>
  </si>
  <si>
    <t>District: Bo
Chiefdom: Lugbu
PHU name: Bontiwo MCHP
Community name: Bontiwo
Name of school: I C S Primary School
Enrollment: 247</t>
  </si>
  <si>
    <t>Lucy .M Sam</t>
  </si>
  <si>
    <t>Wuyata  Mannah</t>
  </si>
  <si>
    <t>Alhaji  Nyambeh</t>
  </si>
  <si>
    <t>ZVE26292877</t>
  </si>
  <si>
    <t>30-06-2025 06:39 AM</t>
  </si>
  <si>
    <t>District: Bombali
Chiefdom: Makarie 
PHU name: Fullah Town 1 CHP
Community name: Madina Tabai Makari
Name of school: Redemption Bilingual Academy Primary School (2108-2-13793)(Madina Tabai Makari, Fullah Town 1 CHP)
Enrollment: 167</t>
  </si>
  <si>
    <t>Margaret kabia</t>
  </si>
  <si>
    <t>Zainab koroma</t>
  </si>
  <si>
    <t>Alhaji turay</t>
  </si>
  <si>
    <t>MPD68460165</t>
  </si>
  <si>
    <t>30-06-2025 06:35 AM</t>
  </si>
  <si>
    <t>District: Bo
Chiefdom: Kakua
PHU name: M. M. Maternity MCHP
Community name: Nyagorehun 
Name of school: Nation Evangelist Ministries
Enrollment: 124</t>
  </si>
  <si>
    <t>Hindowa Alie</t>
  </si>
  <si>
    <t>Sheku koroma</t>
  </si>
  <si>
    <t>Harun K Kanneh</t>
  </si>
  <si>
    <t>REC58566440</t>
  </si>
  <si>
    <t>30-06-2025 06:27 AM</t>
  </si>
  <si>
    <t>District: Bombali
Chiefdom: Bombali Sebora 
PHU name: Masory CHP
Community name: Rogberay (Bombali Sebora)
Name of school: Community Primary School (2102-2-04121)(Rogberay (Bombali Sebora), Masory CHP)
Enrollment: 241</t>
  </si>
  <si>
    <t>Esther I kamara</t>
  </si>
  <si>
    <t>Yabundu kanu</t>
  </si>
  <si>
    <t>Mohamed s kamara</t>
  </si>
  <si>
    <t>TOE84451698</t>
  </si>
  <si>
    <t>District: Bo
Chiefdom: Kakua
PHU name: Ndegbomie MCHP
Community name: Falaba (Kakua)
Name of school: Grace International
Enrollment: 445</t>
  </si>
  <si>
    <t>Mary I Dakowa</t>
  </si>
  <si>
    <t>Marian I Sandy</t>
  </si>
  <si>
    <t>Timothy S Kamara</t>
  </si>
  <si>
    <t>SBM01803467</t>
  </si>
  <si>
    <t>30-06-2025 06:24 AM</t>
  </si>
  <si>
    <t>District: Bo
Chiefdom: Tinkoko
PHU name: We Care Health CHP
Community name: Mosamai
Name of school: Church Brima Primary School
Enrollment: 192</t>
  </si>
  <si>
    <t>Janet Hannah Kallay</t>
  </si>
  <si>
    <t>Isatu Massaquoi Mar</t>
  </si>
  <si>
    <t>Mariama Gbanda</t>
  </si>
  <si>
    <t>OAH65104744</t>
  </si>
  <si>
    <t>30-06-2025 06:23 AM</t>
  </si>
  <si>
    <t>District: Bo
Chiefdom: Tinkoko
PHU name: Zion CHP
Community name: Bandawa
Name of school: Zion Ministry Pri Sch
Enrollment: 100</t>
  </si>
  <si>
    <t>Rebecca M Sandy</t>
  </si>
  <si>
    <t>Yeabu B Kanu</t>
  </si>
  <si>
    <t>Mary Y Senesie</t>
  </si>
  <si>
    <t>WGB43512096</t>
  </si>
  <si>
    <t>30-06-2025 06:20 AM</t>
  </si>
  <si>
    <t>District: Bombali
Chiefdom: Ngowahun 
PHU name: Kalangba (Ngowahun) CHC
Community name: Maforay Kolatick (N'Gowahun)
Name of school: Roman Catholic Primary School (2110-2-04583)(Maforay Kolatick (N'Gowahun), Kalangba (Ngowahun) CHC)
Enrollment: 165</t>
  </si>
  <si>
    <t>Victoria Bangura</t>
  </si>
  <si>
    <t xml:space="preserve">Ibrahim Blackie </t>
  </si>
  <si>
    <t xml:space="preserve">Jonathan Bangura </t>
  </si>
  <si>
    <t>BVJ42363308</t>
  </si>
  <si>
    <t>30-06-2025 06:17 AM</t>
  </si>
  <si>
    <t>District: Bombali
Chiefdom: Makarie 
PHU name: Mangay Loko MCHP
Community name: Mange Loko (Makari)
Name of school: Baptist Model Primary School (2108-2-04331)(Mange Loko (Makari), Mangay Loko MCHP)
Enrollment: 243</t>
  </si>
  <si>
    <t xml:space="preserve">Marie Koroma </t>
  </si>
  <si>
    <t>Umuhawa m sesay</t>
  </si>
  <si>
    <t>Ibrahim A sesay</t>
  </si>
  <si>
    <t>FHW52808642</t>
  </si>
  <si>
    <t>30-06-2025 06:13 AM</t>
  </si>
  <si>
    <t>District: Bo
Chiefdom: Bo City
PHU name: Agape CHC
Community name: Kennedy Section
Name of school: Islamic Primary School
Enrollment: 172</t>
  </si>
  <si>
    <t>Emmanuel Charles</t>
  </si>
  <si>
    <t>Tiangay Allen</t>
  </si>
  <si>
    <t xml:space="preserve">Sutta Kamara </t>
  </si>
  <si>
    <t>WNH89904360</t>
  </si>
  <si>
    <t>26-06-2025 11:36 AM</t>
  </si>
  <si>
    <t>30-06-2025 06:01 AM</t>
  </si>
  <si>
    <t>District: Bo
Chiefdom: Bo City
PHU name: SLRCS CHC
Community name: Batiama (Bo Town)
Name of school: Solima Primary School (4191-2-06219)(Batiama (Bo Town), SLRCS CHC)
Enrollment: 64</t>
  </si>
  <si>
    <t xml:space="preserve">Millicent Nancy Bundu </t>
  </si>
  <si>
    <t xml:space="preserve">Amie Yancey </t>
  </si>
  <si>
    <t xml:space="preserve">Fantastic day </t>
  </si>
  <si>
    <t>ZSM06245428</t>
  </si>
  <si>
    <t>30-06-2025 05:54 AM</t>
  </si>
  <si>
    <t>District: Bo
Chiefdom: Tinkoko
PHU name: Mattru on the Rail CHP
Community name: Mattru on the Rail
Name of school: R C Primary School
Enrollment: 133</t>
  </si>
  <si>
    <t xml:space="preserve">Amadu Alhaji Barrie </t>
  </si>
  <si>
    <t>Eva makannah</t>
  </si>
  <si>
    <t>Lahai Alpha</t>
  </si>
  <si>
    <t>YZO70208952</t>
  </si>
  <si>
    <t>30-06-2025 05:35 AM</t>
  </si>
  <si>
    <t>District: Bo
Chiefdom: Bagbwe
PHU name: Ngalu CHC
Community name: Ngalu
Name of school: Ansarul Primary School
Enrollment: 77</t>
  </si>
  <si>
    <t>Martha Samba</t>
  </si>
  <si>
    <t>Ishmael Mokowa</t>
  </si>
  <si>
    <t>Abibatu Koroma</t>
  </si>
  <si>
    <t>QMK55470160</t>
  </si>
  <si>
    <t>30-06-2025 05:19 AM</t>
  </si>
  <si>
    <t>30-06-2025 05:26 AM</t>
  </si>
  <si>
    <t>District: Bo
Chiefdom: Bo City
PHU name: Batiama MCHP
Community name: Batiama Layout
Name of school: Huzzy Primary School
Enrollment: 23</t>
  </si>
  <si>
    <t>Veronica Gborie</t>
  </si>
  <si>
    <t>Josephine S Simbo</t>
  </si>
  <si>
    <t>Mohamed Lamin Ngegba</t>
  </si>
  <si>
    <t>BVK64399603</t>
  </si>
  <si>
    <t>30-06-2025 05:24 AM</t>
  </si>
  <si>
    <t>30-06-2025 05:25 AM</t>
  </si>
  <si>
    <t>District: Bo
Chiefdom: Baoma
PHU name: Pelewahun MCHP
Community name: Pelewahun
Name of school: ICS Primary School
Enrollment: 223</t>
  </si>
  <si>
    <t>Christiana  Kangayo</t>
  </si>
  <si>
    <t>Isata Mabel saffa</t>
  </si>
  <si>
    <t>Musa  Alie</t>
  </si>
  <si>
    <t>BWF12528097</t>
  </si>
  <si>
    <t>30-06-2025 05:17 AM</t>
  </si>
  <si>
    <t>District: Bo
Chiefdom: Baoma
PHU name: Faabu MCHP
Community name: Faabu
Name of school: R C Primary School
Enrollment: 269</t>
  </si>
  <si>
    <t>Solomon lahai</t>
  </si>
  <si>
    <t>Margaret T Harding</t>
  </si>
  <si>
    <t>Ibrahim A Mansaray</t>
  </si>
  <si>
    <t>OSP37744528</t>
  </si>
  <si>
    <t>26-06-2025 01:14 PM</t>
  </si>
  <si>
    <t>30-06-2025 05:03 AM</t>
  </si>
  <si>
    <t>District: Bo
Chiefdom: Bo City
PHU name: Agape CHC
Community name: Baiima Road (Bo Town)
Name of school: Joy Academy Primary (4191-2-06205)(Baiima Road (Bo Town), Agape CHC)
Enrollment: 75</t>
  </si>
  <si>
    <t xml:space="preserve">Ibrahim Ndanema </t>
  </si>
  <si>
    <t xml:space="preserve">Jonathan Foday </t>
  </si>
  <si>
    <t>Mary Abu</t>
  </si>
  <si>
    <t>RCA53649040</t>
  </si>
  <si>
    <t>26-06-2025 11:40 AM</t>
  </si>
  <si>
    <t>30-06-2025 04:44 AM</t>
  </si>
  <si>
    <t>District: Bombali
Chiefdom: Makarie 
PHU name: Thonkoba CHP
Community name: Mabuya (Makari)
Name of school: Roman Catholic Primary School (2108-2-04372)(Mabuya (Makari), Thonkoba CHP)
Enrollment: 289</t>
  </si>
  <si>
    <t>Sia</t>
  </si>
  <si>
    <t>Fatima</t>
  </si>
  <si>
    <t>Abu</t>
  </si>
  <si>
    <t>DPO26002393</t>
  </si>
  <si>
    <t>26-06-2025 11:22 AM</t>
  </si>
  <si>
    <t>30-06-2025 04:43 AM</t>
  </si>
  <si>
    <t>District: Bombali
Chiefdom: Makarie 
PHU name: Makarie CHP
Community name: Kerefay Lol (Makari)
Name of school: Child In Need Primary School (2108-2-04336)(Kerefay Lol (Makari), Makarie CHP)
Enrollment: 254</t>
  </si>
  <si>
    <t>Fatu</t>
  </si>
  <si>
    <t>John</t>
  </si>
  <si>
    <t>HIA74571525</t>
  </si>
  <si>
    <t>26-06-2025 11:46 AM</t>
  </si>
  <si>
    <t>30-06-2025 04:14 AM</t>
  </si>
  <si>
    <t>District: Bombali
Chiefdom: Makarie 
PHU name: Yainkassa CHP
Community name: Yankasa (Makari)
Name of school: District Education Committee Primary School (2108-2-04380)(Yankasa (Makari), Yainkassa CHP)
Enrollment: 187</t>
  </si>
  <si>
    <t xml:space="preserve">Mbalu </t>
  </si>
  <si>
    <t xml:space="preserve">Simi </t>
  </si>
  <si>
    <t>Kkkky</t>
  </si>
  <si>
    <t>ULC43177483</t>
  </si>
  <si>
    <t>26-06-2025 11:23 AM</t>
  </si>
  <si>
    <t>District: Bombali
Chiefdom: Kamaranka 
PHU name: Makaiba MCHP
Community name: Makaiba (Kamaranka)
Name of school: Roman Catholic Primary School (2106-2-04295)(Makaiba (Kamaranka), Makaiba MCHP)
Enrollment: 400</t>
  </si>
  <si>
    <t xml:space="preserve">Princess </t>
  </si>
  <si>
    <t xml:space="preserve">Kadiatu </t>
  </si>
  <si>
    <t>Matu</t>
  </si>
  <si>
    <t>OAJ85397146</t>
  </si>
  <si>
    <t>30-06-2025 04:09 AM</t>
  </si>
  <si>
    <t>District: Bo
Chiefdom: Kakua
PHU name: SLRCS CHC
Community name: Njai Town (Bo Town)
Name of school: District Education Committee Primary School (Lower)(Njai Town (Bo Town), SLRCS CHC)
Enrollment: 224</t>
  </si>
  <si>
    <t xml:space="preserve">Esther m Ndaloma </t>
  </si>
  <si>
    <t xml:space="preserve">Zainab Edwards </t>
  </si>
  <si>
    <t>KFJ41094362</t>
  </si>
  <si>
    <t>26-06-2025 11:42 AM</t>
  </si>
  <si>
    <t>30-06-2025 02:06 AM</t>
  </si>
  <si>
    <t>District: Bombali
Chiefdom: Makarie 
PHU name: Mangay Loko MCHP
Community name: Mange Loko (Makari)
Name of school: King Fahad Primary School Mage Loko (2108-2-04333)(Mange Loko (Makari), Mangay Loko MCHP)
Enrollment: 167</t>
  </si>
  <si>
    <t xml:space="preserve">Augustine kanessie </t>
  </si>
  <si>
    <t xml:space="preserve">Adamsay j kamara </t>
  </si>
  <si>
    <t xml:space="preserve">Francis kamara </t>
  </si>
  <si>
    <t>ZHE54358058</t>
  </si>
  <si>
    <t>26-06-2025 11:16 AM</t>
  </si>
  <si>
    <t>30-06-2025 02:05 AM</t>
  </si>
  <si>
    <t>District: Bombali
Chiefdom: Kamaranka 
PHU name: Kamaranka CHC
Community name: Makassa (Kamaranka)
Name of school: Roman Catholic Primary School (2106-2-04296)(Makassa (Kamaranka), Kamaranka CHC)
Enrollment: 346</t>
  </si>
  <si>
    <t>NCU68027621</t>
  </si>
  <si>
    <t>29-06-2025 07:55 PM</t>
  </si>
  <si>
    <t>29-06-2025 07:57 PM</t>
  </si>
  <si>
    <t>District: Bombali
Chiefdom: Safroko Limba Chiefdom
PHU name: Kabombeh MCHP
Community name: KABOMEH (SAFROKO LIMBA)
Name of school: ROMAN CATHOLIC PRIMARY SCHOOL (2112-2-04700)</t>
  </si>
  <si>
    <t>Fsfh</t>
  </si>
  <si>
    <t>Ghdyj</t>
  </si>
  <si>
    <t>Gshj</t>
  </si>
  <si>
    <t>LRJ63816451</t>
  </si>
  <si>
    <t>29-06-2025 07:41 PM</t>
  </si>
  <si>
    <t>29-06-2025 07:45 PM</t>
  </si>
  <si>
    <t>District: Bombali
Chiefdom: Safroko Limba Chiefdom
PHU name: Kagbankona MCHP
Community name: MAKOROMBO (SAFROKO LIMBA)
Name of school: WESLEYAN CHURCH OF SIERRA LEONE PRIMARY (2112-2-04703)</t>
  </si>
  <si>
    <t>Fafh</t>
  </si>
  <si>
    <t>Hfdyu</t>
  </si>
  <si>
    <t>Ggdg</t>
  </si>
  <si>
    <t>DOI24479303</t>
  </si>
  <si>
    <t>29-06-2025 07:06 PM</t>
  </si>
  <si>
    <t>29-06-2025 07:20 PM</t>
  </si>
  <si>
    <t>District: Bombali
Chiefdom: Safroko Limba Chiefdom
PHU name: Kagbankona MCHP
Community name: KADANDA (SAFROKO LIMBA)
Name of school: COMMUNITY PRIMARY SCHOOL (2112-2-04687)</t>
  </si>
  <si>
    <t xml:space="preserve">Foday Turay </t>
  </si>
  <si>
    <t>Marye kai</t>
  </si>
  <si>
    <t xml:space="preserve">Zainab Kamara </t>
  </si>
  <si>
    <t>QDB64927795</t>
  </si>
  <si>
    <t>29-06-2025 06:50 PM</t>
  </si>
  <si>
    <t>29-06-2025 06:51 PM</t>
  </si>
  <si>
    <t>District: Bombali
Chiefdom: Safroko Limba Chiefdom
PHU name: Kagbankona MCHP
Community name: KASENGBEH (SAFROKO LIMBA)
Name of school: KASENGBEH COMMUNITY PRIMARY SCHOOL (2112-2-04696)</t>
  </si>
  <si>
    <t>Salamatu Vandi</t>
  </si>
  <si>
    <t>Binta Bag</t>
  </si>
  <si>
    <t>VUJ55661574</t>
  </si>
  <si>
    <t>29-06-2025 06:42 PM</t>
  </si>
  <si>
    <t>29-06-2025 06:43 PM</t>
  </si>
  <si>
    <t>District: Bombali
Chiefdom: Safroko Limba Chiefdom
PHU name: Kayasie CHP
Community name: KABARAY (SAFROKO LIMBA)
Name of school: ROMAN CATHOLIC COMMUNITY PRIMARY SCHOOL (2112-2-12045)</t>
  </si>
  <si>
    <t xml:space="preserve">Foday Sankoh </t>
  </si>
  <si>
    <t>Mary Conteh</t>
  </si>
  <si>
    <t>Francess kalokoh</t>
  </si>
  <si>
    <t>CGP16745569</t>
  </si>
  <si>
    <t>29-06-2025 06:35 PM</t>
  </si>
  <si>
    <t>District: Bo
Chiefdom: Niawa Lenga
PHU name: Ngogbebu MCHP
Community name: Kowa
Name of school: Ansarul Primary School(Kowa, Ngogbebu MCHP)
Enrollment: 159</t>
  </si>
  <si>
    <t>Musa Kamara</t>
  </si>
  <si>
    <t>Lucy Kargbo</t>
  </si>
  <si>
    <t>Fatu Jalloh</t>
  </si>
  <si>
    <t>OJU22103975</t>
  </si>
  <si>
    <t>29-06-2025 06:23 PM</t>
  </si>
  <si>
    <t>29-06-2025 06:24 PM</t>
  </si>
  <si>
    <t>District: Bombali
Chiefdom: Safroko Limba Chiefdom
PHU name: Maselleh MCHP
Community name: MAKARAY (SAFROKO LIMBA)
Name of school: MAKARAY COMMUNITY PRIMARY SCHOOL (2112-2-04685)</t>
  </si>
  <si>
    <t>Fatmata koroma</t>
  </si>
  <si>
    <t xml:space="preserve">Zainab Jalloh </t>
  </si>
  <si>
    <t>Alimammy Conteh</t>
  </si>
  <si>
    <t>AVA76835465</t>
  </si>
  <si>
    <t>29-06-2025 05:59 PM</t>
  </si>
  <si>
    <t>29-06-2025 06:01 PM</t>
  </si>
  <si>
    <t>District: Bombali
Chiefdom: Safroko Limba Chiefdom
PHU name: Maselleh MCHP
Community name: KATHANKINA (SAFROKO LIMBA)
Name of school: COMMUNITY PRIMARY SCHOOL (2112-2-12046)</t>
  </si>
  <si>
    <t>Isatu Sankoh</t>
  </si>
  <si>
    <t>Francess kawa</t>
  </si>
  <si>
    <t>OPD18026172</t>
  </si>
  <si>
    <t>29-06-2025 05:50 PM</t>
  </si>
  <si>
    <t>29-06-2025 05:54 PM</t>
  </si>
  <si>
    <t>District: Bombali
Chiefdom: Safroko Limba Chiefdom
PHU name: Maselleh MCHP
Community name: KAYASIE (SAFROKO LIMBA)
Name of school: ROMAN CATHOLIC PRIMARY SCHOOL (2112-2-04688)</t>
  </si>
  <si>
    <t>Abdul sankoh</t>
  </si>
  <si>
    <t xml:space="preserve">Danika </t>
  </si>
  <si>
    <t>Musa</t>
  </si>
  <si>
    <t>HHK34332895</t>
  </si>
  <si>
    <t>29-06-2025 04:07 PM</t>
  </si>
  <si>
    <t>District: Bombali
Chiefdom: Magbaimba Ndohahun 
PHU name: Kagbere CHC
Community name: Kagbere (Magbaimba Ndorwahun)
Name of school: Africa Muslim Agency Primary School (2107-2-04303)(Kagbere (Magbaimba Ndorwahun), Kagbere CHC)
Enrollment: 301</t>
  </si>
  <si>
    <t>Fhkjy</t>
  </si>
  <si>
    <t>Fggf</t>
  </si>
  <si>
    <t xml:space="preserve">Fluff drafts </t>
  </si>
  <si>
    <t>ECC57364881</t>
  </si>
  <si>
    <t>26-06-2025 11:38 AM</t>
  </si>
  <si>
    <t>29-06-2025 03:24 PM</t>
  </si>
  <si>
    <t>District: Bombali
Chiefdom: Makarie 
PHU name: Magbenteh Community Hospital
Community name: Magbenteh Makari
Name of school: Sierra Experimental Primary School (2108-2-13794)(Magbenteh Makari, Magbenteh Community Hospital)
Enrollment: 229</t>
  </si>
  <si>
    <t>Neneh</t>
  </si>
  <si>
    <t xml:space="preserve">Alusine </t>
  </si>
  <si>
    <t>SUM89873295</t>
  </si>
  <si>
    <t>26-06-2025 11:19 AM</t>
  </si>
  <si>
    <t>29-06-2025 03:23 PM</t>
  </si>
  <si>
    <t>District: Bombali
Chiefdom: Mara 
PHU name: Mara CHC
Community name: Mara
Name of school: Ansarul Islamic Primary School (2109-2-04576)(Mara, Mara CHC)
Enrollment: 274</t>
  </si>
  <si>
    <t>Mohamed</t>
  </si>
  <si>
    <t>POD20490845</t>
  </si>
  <si>
    <t>26-06-2025 11:39 AM</t>
  </si>
  <si>
    <t>29-06-2025 03:02 PM</t>
  </si>
  <si>
    <t>District: Bombali
Chiefdom: Makarie 
PHU name: Masongbo (Makarie) CHC
Community name: Masongbo Makari
Name of school: As-Sabiqoon Islamic Primary School (2018-2-14945)(Masongbo Makari, Masongbo (Makarie) CHC)
Enrollment: 0</t>
  </si>
  <si>
    <t>Jay</t>
  </si>
  <si>
    <t>Abibatu</t>
  </si>
  <si>
    <t>James</t>
  </si>
  <si>
    <t>FAM47558271</t>
  </si>
  <si>
    <t>26-06-2025 11:14 AM</t>
  </si>
  <si>
    <t>29-06-2025 03:00 PM</t>
  </si>
  <si>
    <t>District: Bombali
Chiefdom: Makarie 
PHU name: Makarie CHP
Community name: Worreh (Makari)
Name of school: Kasangha Islamic Primary School (2108-2-04365)(Worreh (Makari), Makarie CHP)
Enrollment: 167</t>
  </si>
  <si>
    <t>John Bangura</t>
  </si>
  <si>
    <t>Abukarr</t>
  </si>
  <si>
    <t>ZYN23200169</t>
  </si>
  <si>
    <t>28-06-2025 10:40 AM</t>
  </si>
  <si>
    <t>District: Bombali
Chiefdom: Magbaimba Ndohahun 
PHU name: Kagbere CHC
Community name: Matamba (Magbaimba Ndorwahun)
Name of school: Community Primary School (2107-2-04321)(Matamba (Magbaimba Ndorwahun), Kagbere CHC)
Enrollment: 169</t>
  </si>
  <si>
    <t xml:space="preserve">Yealie Turay </t>
  </si>
  <si>
    <t>Abu sesay</t>
  </si>
  <si>
    <t>JCG67356494</t>
  </si>
  <si>
    <t>28-06-2025 10:32 AM</t>
  </si>
  <si>
    <t>District: Bombali
Chiefdom: Gbanti (Bombali) 
PHU name: Stocco CHP
Community name: Mabanta (Gbanti)
Name of school: Wesleyan Church Of Sierra Leone Primary School (2104-2-04182)(Mabanta (Gbanti), Stocco CHP)
Enrollment: 354</t>
  </si>
  <si>
    <t>Ad</t>
  </si>
  <si>
    <t>Sg</t>
  </si>
  <si>
    <t>Ty</t>
  </si>
  <si>
    <t>TZG46070735</t>
  </si>
  <si>
    <t>26-06-2025 11:44 AM</t>
  </si>
  <si>
    <t>28-06-2025 09:49 AM</t>
  </si>
  <si>
    <t>District: Bombali
Chiefdom: Makarie 
PHU name: Masongbo (Makarie) CHC
Community name: Rogbesseh (Makari)
Name of school: Rogbesseh Community Primary School (2108-2-04332)(Rogbesseh (Makari), Masongbo (Makarie) CHC)
Enrollment: 80</t>
  </si>
  <si>
    <t>Margaret gatu sesay</t>
  </si>
  <si>
    <t>Juliet a conteh</t>
  </si>
  <si>
    <t>Foday kargbo</t>
  </si>
  <si>
    <t>PVX72257142</t>
  </si>
  <si>
    <t>District: Bombali
Chiefdom: Gbanti (Bombali) 
PHU name: Stocco CHP
Community name: Forestry Road
Name of school: New Beginning Baptist Academy(Forestry Road, Stocco CHP)
Enrollment: 0</t>
  </si>
  <si>
    <t>NUW14482274</t>
  </si>
  <si>
    <t>28-06-2025 09:48 AM</t>
  </si>
  <si>
    <t>District: Bombali
Chiefdom: Makarie 
PHU name: Thonkoba CHP
Community name: Mabaibana (Makari)
Name of school: Evangelical Model Priimary School (2108-2-04369)(Mabaibana (Makari), Thonkoba CHP)
Enrollment: 286</t>
  </si>
  <si>
    <t>Umu</t>
  </si>
  <si>
    <t>Binta</t>
  </si>
  <si>
    <t>Hawa</t>
  </si>
  <si>
    <t>PZW90379542</t>
  </si>
  <si>
    <t>26-06-2025 11:25 AM</t>
  </si>
  <si>
    <t>District: Bombali
Chiefdom: Gbanti (Bombali) 
PHU name: Panlap CHP
Community name: Back Off New Hope Hospital, Mankeneh
Name of school: Welfare International Academy Primary School (2104-2-14925)(Back Off New Hope Hospital, Mankeneh, Panlap CHP)
Enrollment: 0</t>
  </si>
  <si>
    <t>Alie</t>
  </si>
  <si>
    <t>Brima</t>
  </si>
  <si>
    <t>QBS68243521</t>
  </si>
  <si>
    <t>Sajeed Islam Kanu</t>
  </si>
  <si>
    <t>28-06-2025 05:43 AM</t>
  </si>
  <si>
    <t>District: Bo
Chiefdom: Baoma
PHU name: Foindu MCHP
Community name: Ndema
Name of school: Ansarul Islamic Primary School
Enrollment: 278</t>
  </si>
  <si>
    <t xml:space="preserve">Fatmata Mansaray </t>
  </si>
  <si>
    <t>Augustine Musa</t>
  </si>
  <si>
    <t>Jenneh Sesay</t>
  </si>
  <si>
    <t>GOE36688458</t>
  </si>
  <si>
    <t>27-06-2025 02:26 PM</t>
  </si>
  <si>
    <t>District: Bo
Chiefdom: Kakua
PHU name: SLRCS CHC
Community name: Njai Town (Bo Town)
Name of school: District Education Committee Primary School (Upper)(Njai Town (Bo Town), SLRCS CHC)
Enrollment: 95</t>
  </si>
  <si>
    <t xml:space="preserve">Ashmaru Mansaray </t>
  </si>
  <si>
    <t xml:space="preserve">Mary J Ngobeh </t>
  </si>
  <si>
    <t xml:space="preserve">Alpha Kappa </t>
  </si>
  <si>
    <t>PWU30882671</t>
  </si>
  <si>
    <t>10-06-2025 06:58 AM</t>
  </si>
  <si>
    <t>27-06-2025 06:59 AM</t>
  </si>
  <si>
    <t>District: Bo
Chiefdom: Tinkoko
PHU name: Tikonko CHC
Community name: Gbalehun
Name of school: R C Primary School</t>
  </si>
  <si>
    <t>MMT31991368</t>
  </si>
  <si>
    <t>10-06-2025 05:54 AM</t>
  </si>
  <si>
    <t>District: Bo
Chiefdom: Selenga
PHU name: Damballa CHC
Community name: Gbumbeh
Name of school: S D A Gbumpeh</t>
  </si>
  <si>
    <t>CFH04556676</t>
  </si>
  <si>
    <t>10-06-2025 05:51 AM</t>
  </si>
  <si>
    <t>27-06-2025 06:58 AM</t>
  </si>
  <si>
    <t>District: Bo
Chiefdom: Selenga
PHU name: Damballa CHC
Community name: Sembehun
Name of school: S D A Primary school</t>
  </si>
  <si>
    <t>YHV40658680</t>
  </si>
  <si>
    <t>09-06-2025 08:41 AM</t>
  </si>
  <si>
    <t>District: Bombali
Chiefdom: Makeni City
PHU name: Teko Barracks CHP
Community name: AZZOLINE HIGH WAY MAKENI (MAKENI CITY)
Name of school: SAINT FRANCIS PRIMARY SCHOOL , MAKENI (2191-2-04500)</t>
  </si>
  <si>
    <t>LLW34385752</t>
  </si>
  <si>
    <t>09-06-2025 08:40 AM</t>
  </si>
  <si>
    <t>District: Bombali
Chiefdom: Makeni City
PHU name: Teko Barracks CHP
Community name: CONGO TOWN (MAKENI CITY)
Name of school: ANSARUL ISLAMIC PRIMARY SCHOOL , II (2191-2-04425)</t>
  </si>
  <si>
    <t>MCM22873152</t>
  </si>
  <si>
    <t>District: Bombali
Chiefdom: Makeni City
PHU name: Teko Barracks CHP
Community name: AZZOLINE HIGH WAY MAKENI (MAKENI CITY)
Name of school: HERITAGE PRIMARY SCHOOL (2191-2-12158)</t>
  </si>
  <si>
    <t>BEM67089172</t>
  </si>
  <si>
    <t>09-06-2025 08:37 AM</t>
  </si>
  <si>
    <t>District: Bombali
Chiefdom: Makeni City
PHU name: Teko Barracks CHP
Community name: WUSU STREET MAKENI (MAKENI CITY)
Name of school: KHULAFAI RASHIDEEN PRIMARY SCHOOL (2191-2-04543)</t>
  </si>
  <si>
    <t>SZZ95875707</t>
  </si>
  <si>
    <t>26-06-2025 12:33 PM</t>
  </si>
  <si>
    <t>District: Bombali
Chiefdom: Biriwa
PHU name: Kamathudgu MCHP
Community name: Kakayon (Biriwa)
Name of school: Nanda Theresa Roman Catholic Primary School (2101-2-04048)(Kakayon (Biriwa), Kamathudgu MCHP)
Enrollment: 0</t>
  </si>
  <si>
    <t>Joseph kamara</t>
  </si>
  <si>
    <t>Isatu Sesay</t>
  </si>
  <si>
    <t>Abu Koroma</t>
  </si>
  <si>
    <t>PUO91249947</t>
  </si>
  <si>
    <t>26-06-2025 12:22 PM</t>
  </si>
  <si>
    <t>District: Bo
Chiefdom: Kakua
PHU name: Bo School Bay CHP
Community name: Niagorehun (Bo Town)
Name of school: Kindom Carriers (4191-2-13219)(Niagorehun (Bo Town), Bo School Bay CHP)
Enrollment: 250</t>
  </si>
  <si>
    <t xml:space="preserve">Hannah Fortune </t>
  </si>
  <si>
    <t xml:space="preserve">Zainab Yorkie Kamara </t>
  </si>
  <si>
    <t xml:space="preserve">Mamie Kallon </t>
  </si>
  <si>
    <t>ZFW57520300</t>
  </si>
  <si>
    <t>26-06-2025 12:14 PM</t>
  </si>
  <si>
    <t>District: Bo
Chiefdom: Kakua
PHU name: Kandeh Town CHP
Community name: Back Of P S Office Tinkoko Road
Name of school: Nwumba Education And Cultural Primary School (Back Of P S Office Tinkoko Road, Kandeh Town CHP)
Enrollment: 131</t>
  </si>
  <si>
    <t xml:space="preserve">Ishaka sheriff </t>
  </si>
  <si>
    <t xml:space="preserve">Fatmata mansaray </t>
  </si>
  <si>
    <t>NRZ54025659</t>
  </si>
  <si>
    <t>26-06-2025 12:12 PM</t>
  </si>
  <si>
    <t>District: Bombali
Chiefdom: Makarie 
PHU name: Masongbo (Makarie) CHC
Community name: Magbema (Makari)
Name of school: Evangelical Model Primary School (2108-2-12156)(Magbema (Makari), Masongbo (Makarie) CHC)
Enrollment: 138</t>
  </si>
  <si>
    <t xml:space="preserve">Mattu Kondeh </t>
  </si>
  <si>
    <t xml:space="preserve">Mohamed kamara </t>
  </si>
  <si>
    <t xml:space="preserve">Samuel S Bangura </t>
  </si>
  <si>
    <t>JYA72489348</t>
  </si>
  <si>
    <t>26-06-2025 11:18 AM</t>
  </si>
  <si>
    <t>26-06-2025 12:11 PM</t>
  </si>
  <si>
    <t>District: Bombali
Chiefdom: Ngowahun 
PHU name: Kalangba (Ngowahun) CHC
Community name: Mangua (N'Gowahun)
Name of school: Community Primary School (2110-2-04589)(Mangua (N'Gowahun), Kalangba (Ngowahun) CHC)
Enrollment: 237</t>
  </si>
  <si>
    <t>DJQ60337448</t>
  </si>
  <si>
    <t>26-06-2025 12:09 PM</t>
  </si>
  <si>
    <t>District: Bombali
Chiefdom: Gbanti (Bombali) 
PHU name: Stocco CHP
Community name: Masuba (Gbanti)
Name of school: Wesleyan Church Of Sierra Leone Primary (2104-2-04478)(Masuba (Gbanti), Stocco CHP)
Enrollment: 553</t>
  </si>
  <si>
    <t xml:space="preserve">Fatmata koroma </t>
  </si>
  <si>
    <t>Kadiatu</t>
  </si>
  <si>
    <t>MUW97274653</t>
  </si>
  <si>
    <t>26-06-2025 12:05 PM</t>
  </si>
  <si>
    <t>District: Bo
Chiefdom: Kakua
PHU name: Gbongboma CHP
Community name: Kortugbuma (Bo Town)
Name of school: National Pentecostal Primary School(Kortugbuma (Bo Town), Gbongboma CHP)
Enrollment: 273</t>
  </si>
  <si>
    <t xml:space="preserve">Fatmata sesay </t>
  </si>
  <si>
    <t>Lucia Feika</t>
  </si>
  <si>
    <t>Abie</t>
  </si>
  <si>
    <t>GXU70452053</t>
  </si>
  <si>
    <t>26-06-2025 12:03 PM</t>
  </si>
  <si>
    <t>District: Bo
Chiefdom: Bo City
PHU name: Mercy Hospital
Community name: Bumpewo (Bo Town)
Name of school: Sierra Leone Muslim Brotherhood Primary School(Bumpewo (Bo Town), Mercy Hospital)
Enrollment: 447</t>
  </si>
  <si>
    <t>07</t>
  </si>
  <si>
    <t>08</t>
  </si>
  <si>
    <t>05</t>
  </si>
  <si>
    <t>Musa kamara</t>
  </si>
  <si>
    <t>Hawa foday</t>
  </si>
  <si>
    <t>Kadie swaray</t>
  </si>
  <si>
    <t>RYS98744362</t>
  </si>
  <si>
    <t>26-06-2025 12:02 PM</t>
  </si>
  <si>
    <t>District: Bo
Chiefdom: Kakua
PHU name: Gender MCHP
Community name: Ngolala (Kakua)
Name of school: Ummatul Islamic Primary School (4109-2-06784)(Ngolala (Kakua), Gender MCHP)
Enrollment: 78</t>
  </si>
  <si>
    <t>Ibrahim Sesay</t>
  </si>
  <si>
    <t>Idrissa Sesay</t>
  </si>
  <si>
    <t>Mohammed Sesay</t>
  </si>
  <si>
    <t>BMF39098878</t>
  </si>
  <si>
    <t>26-06-2025 11:56 AM</t>
  </si>
  <si>
    <t>District: Bombali
Chiefdom: Kamaranka 
PHU name: Kamaranka CHC
Community name: Mamanso (Kamaranka)
Name of school: Sierra Leone Muslim Women Benevolent Organisation Primary School (2106-2-04278)(Mamanso (Kamaranka), Kamaranka CHC)
Enrollment: 538</t>
  </si>
  <si>
    <t>Barnard sow</t>
  </si>
  <si>
    <t xml:space="preserve">Isatu kamara </t>
  </si>
  <si>
    <t xml:space="preserve">Abdul Rashid Turay </t>
  </si>
  <si>
    <t>DEE55383725</t>
  </si>
  <si>
    <t>26-06-2025 11:55 AM</t>
  </si>
  <si>
    <t>District: Bombali
Chiefdom: Magbaimba Ndohahun 
PHU name: Hunduwa MCHP
Community name: Yana (Magbaimba Ndorwahun)
Name of school: Community Primary School (2107-2-04322)(Yana (Magbaimba Ndorwahun), Hunduwa MCHP)
Enrollment: 153</t>
  </si>
  <si>
    <t xml:space="preserve">Victoria Bangura </t>
  </si>
  <si>
    <t>YSE59877837</t>
  </si>
  <si>
    <t>District: Bombali
Chiefdom: Ngowahun 
PHU name: Tambiama CHP
Community name: Mayatta (N'Gowahun)
Name of school: Education Hope Academy Primary School (2110-2-04610)(Mayatta (N'Gowahun), Tambiama CHP)
Enrollment: 242</t>
  </si>
  <si>
    <t>Kadiatu Sesay</t>
  </si>
  <si>
    <t>GJX17399454</t>
  </si>
  <si>
    <t>26-06-2025 11:51 AM</t>
  </si>
  <si>
    <t>District: Bombali
Chiefdom: Kamaranka 
PHU name: Royeama CHP
Community name: Royeama (Kamaranka)
Name of school: Roman Catholic Primary School (2106-2-04292)(Royeama (Kamaranka), Royeama CHP)
Enrollment: 375</t>
  </si>
  <si>
    <t xml:space="preserve">Kadiatu sesay </t>
  </si>
  <si>
    <t>Adama conteh</t>
  </si>
  <si>
    <t xml:space="preserve">Susan Turay </t>
  </si>
  <si>
    <t>WAS34196021</t>
  </si>
  <si>
    <t>26-06-2025 11:37 AM</t>
  </si>
  <si>
    <t>26-06-2025 11:48 AM</t>
  </si>
  <si>
    <t>District: Bo
Chiefdom: Bo City
PHU name: Simbo Town CHP
Community name: Kennedy (Bo Town)
Name of school: Aladura Primary (4191-2-06355)(Kennedy (Bo Town), Simbo Town CHP)
Enrollment: 294</t>
  </si>
  <si>
    <t>Gfjfjhj</t>
  </si>
  <si>
    <t>Rufuj</t>
  </si>
  <si>
    <t>Fish hhhj</t>
  </si>
  <si>
    <t>CYO25860710</t>
  </si>
  <si>
    <t>District: Bombali
Chiefdom: Makarie 
PHU name: Makarie CHP
Community name: Makeh (Makari)
Name of school: Kankaylay Islamic Primary School (2108-2-04341)(Makeh (Makari), Makarie CHP)
Enrollment: 143</t>
  </si>
  <si>
    <t>Usif sesay</t>
  </si>
  <si>
    <t>Dauda</t>
  </si>
  <si>
    <t>VRX89344853</t>
  </si>
  <si>
    <t>26-06-2025 10:55 AM</t>
  </si>
  <si>
    <t>District: Bo
Chiefdom: Bo City
PHU name: Gbanja Town CHP
Community name: Tengbewabu (Bo Town)
Name of school: Jefferson Baptist Primary School (4191-2-06565)(Tengbewabu (Bo Town), Gbanja Town CHP)
Enrollment: 279</t>
  </si>
  <si>
    <t>Karimu Kargbo</t>
  </si>
  <si>
    <t>Joe kpana</t>
  </si>
  <si>
    <t>Hawa Koroma</t>
  </si>
  <si>
    <t>UCS78393403</t>
  </si>
  <si>
    <t>District: Bo
Chiefdom: Kakua
PHU name: Rescue Health Clinic CHP
Community name: Borborkombo (Bo Town)
Name of school: Therenisa Memorial Primary School (4191-2-06265)(Borborkombo (Bo Town), Rescue Health Clinic CHP)
Enrollment: 223</t>
  </si>
  <si>
    <t xml:space="preserve">Hawa John </t>
  </si>
  <si>
    <t xml:space="preserve">Massah Momoh </t>
  </si>
  <si>
    <t xml:space="preserve">John Turay </t>
  </si>
  <si>
    <t>IHM61374785</t>
  </si>
  <si>
    <t>26-06-2025 11:26 AM</t>
  </si>
  <si>
    <t>26-06-2025 11:47 AM</t>
  </si>
  <si>
    <t>District: Bombali
Chiefdom: Gbanti (Bombali) 
PHU name: Kunsho CHP
Community name: Mafonikay (Gbanti)
Name of school: District Education Committee Primary School (2104-2-04181)(Mafonikay (Gbanti), Kunsho CHP)
Enrollment: 317</t>
  </si>
  <si>
    <t xml:space="preserve">Abu </t>
  </si>
  <si>
    <t xml:space="preserve">DAUDA </t>
  </si>
  <si>
    <t>LFQ72855440</t>
  </si>
  <si>
    <t>District: Bo
Chiefdom: Kakua
PHU name: New Police Barracks CHC
Community name: Sheriff Town (Kakua)
Name of school: Grace Academy Primary School Sheriff Town (4109-2-06866)(Sheriff Town (Kakua), New Police Barracks CHC)
Enrollment: 79</t>
  </si>
  <si>
    <t xml:space="preserve">Ibrahim Massaquoi </t>
  </si>
  <si>
    <t xml:space="preserve">Isata Kamara </t>
  </si>
  <si>
    <t xml:space="preserve">Abu Sesay </t>
  </si>
  <si>
    <t>PEB59500750</t>
  </si>
  <si>
    <t>District: Bombali
Chiefdom: Makarie 
PHU name: Fullah Town 1 CHP
Community name: Madina Tabai (Makari)
Name of school: Holy Family Community Primary (2108-2-04337)(Madina Tabai (Makari), Fullah Town 1 CHP)
Enrollment: 249</t>
  </si>
  <si>
    <t>Sorie kanu</t>
  </si>
  <si>
    <t xml:space="preserve">Sento thoronka </t>
  </si>
  <si>
    <t>Robert Sesay WA</t>
  </si>
  <si>
    <t>UYQ78483978</t>
  </si>
  <si>
    <t>District: Bombali
Chiefdom: Makarie 
PHU name: Masongbo (Makarie) CHC
Community name: Mayorba (Makari)
Name of school: Kansangha Islamic Primary School (2108-2-04356)(Mayorba (Makari), Masongbo (Makarie) CHC)
Enrollment: 167</t>
  </si>
  <si>
    <t xml:space="preserve">Mabinty sankoh </t>
  </si>
  <si>
    <t xml:space="preserve">Mabinty Lamin kamara </t>
  </si>
  <si>
    <t xml:space="preserve">Catherine turay </t>
  </si>
  <si>
    <t>OFR19223087</t>
  </si>
  <si>
    <t>26-06-2025 11:45 AM</t>
  </si>
  <si>
    <t>District: Bombali
Chiefdom: Magbaimba Ndohahun 
PHU name: Hunduwa MCHP
Community name: Manjaka (Magbaimba Ndorwahun)
Name of school: Ansarul Islamic Primary School (2107-2-04319)(Manjaka (Magbaimba Ndorwahun), Hunduwa MCHP)
Enrollment: 250</t>
  </si>
  <si>
    <t xml:space="preserve">Ramatu kuyateh </t>
  </si>
  <si>
    <t xml:space="preserve">Isatu Kamara </t>
  </si>
  <si>
    <t xml:space="preserve">Ibrahim Kamara </t>
  </si>
  <si>
    <t>GPQ38223127</t>
  </si>
  <si>
    <t>District: Bombali
Chiefdom: Kamaranka 
PHU name: Royeama CHP
Community name: Rowullah (Kamaranka)
Name of school: Roman Catholic Primary School (2106-2-04288)(Rowullah (Kamaranka), Royeama CHP)
Enrollment: 260</t>
  </si>
  <si>
    <t>00</t>
  </si>
  <si>
    <t>U jay</t>
  </si>
  <si>
    <t>Zk</t>
  </si>
  <si>
    <t>Ben</t>
  </si>
  <si>
    <t>VZP00556040</t>
  </si>
  <si>
    <t>District: Bombali
Chiefdom: Gbanti (Bombali) 
PHU name: Panlap CHP
Community name: Panlap (Gbanti)
Name of school: Roman Catholic Primary School (2104-2-04235)(Panlap (Gbanti), Panlap CHP)
Enrollment: 240</t>
  </si>
  <si>
    <t>Ant bee</t>
  </si>
  <si>
    <t>MPB79082938</t>
  </si>
  <si>
    <t>26-06-2025 11:43 AM</t>
  </si>
  <si>
    <t>District: Bombali
Chiefdom: Kamaranka 
PHU name: Royeama CHP
Community name: Royema (Kamaranka)
Name of school: Sierra Leone Muslim Women Benevolent Organisation Primary School (2106-2-04294)(Royema (Kamaranka), Royeama CHP)
Enrollment: 91</t>
  </si>
  <si>
    <t>Mamusu</t>
  </si>
  <si>
    <t>Jesmark</t>
  </si>
  <si>
    <t>Mapy</t>
  </si>
  <si>
    <t>DSV72909191</t>
  </si>
  <si>
    <t>District: Bombali
Chiefdom: Kamaranka 
PHU name: Royeama CHP
Community name: Makapr (Kamaranka)
Name of school: Wesleyan Church Of Sierra Leone Primary (2106-2-04286)(Makapr (Kamaranka), Royeama CHP)
Enrollment: 405</t>
  </si>
  <si>
    <t xml:space="preserve">Alpha umaro kanu </t>
  </si>
  <si>
    <t>Aminata sesay</t>
  </si>
  <si>
    <t>Mohamed kanu</t>
  </si>
  <si>
    <t>ZCX38394625</t>
  </si>
  <si>
    <t>District: Bombali
Chiefdom: Magbaimba Ndohahun 
PHU name: Hunduwa MCHP
Community name: Hunduwa (Magbaimba Ndorwahun)
Name of school: Roman Catholic Primary School (2107-2-04298)(Hunduwa (Magbaimba Ndorwahun), Hunduwa MCHP)
Enrollment: 96</t>
  </si>
  <si>
    <t>John D.Conteh</t>
  </si>
  <si>
    <t>Mohamed A. Kamara</t>
  </si>
  <si>
    <t xml:space="preserve">Abu sesay </t>
  </si>
  <si>
    <t>SHU84387575</t>
  </si>
  <si>
    <t>District: Bombali
Chiefdom: Makarie 
PHU name: Fullah Town 1 CHP
Community name: Rorinka (Makari)
Name of school: Rorinka Community Primary School (2108-2-04351)(Rorinka (Makari), Fullah Town 1 CHP)
Enrollment: 177</t>
  </si>
  <si>
    <t xml:space="preserve">Flatmata Turay </t>
  </si>
  <si>
    <t xml:space="preserve">Isata koroma </t>
  </si>
  <si>
    <t>Kanda A Turay</t>
  </si>
  <si>
    <t>WYC29499980</t>
  </si>
  <si>
    <t>District: Bombali
Chiefdom: Makarie 
PHU name: Fullah Town 1 CHP
Community name: Makoth (Makari)
Name of school: Church Of God Primary School (2108-2-04342)(Makoth (Makari), Fullah Town 1 CHP)
Enrollment: 0</t>
  </si>
  <si>
    <t>Amadu k</t>
  </si>
  <si>
    <t xml:space="preserve">Hawa </t>
  </si>
  <si>
    <t>DOQ35980125</t>
  </si>
  <si>
    <t>District: Bombali
Chiefdom: Magbaimba Ndohahun 
PHU name: Mambiama MCHP
Community name: Wangay (Magbaimba Ndorwahun)
Name of school: District Education Committee Primary School (2107-2-04314)(Wangay (Magbaimba Ndorwahun), Mambiama MCHP)
Enrollment: 274</t>
  </si>
  <si>
    <t xml:space="preserve">Humu sankoh </t>
  </si>
  <si>
    <t xml:space="preserve">Aminata koroma </t>
  </si>
  <si>
    <t>UOT03448807</t>
  </si>
  <si>
    <t>District: Bo
Chiefdom: Kakua
PHU name: Yemoh Town CHC
Community name: Kennedy (Bo Town)
Name of school: Tianbett International Christian Primary (4191-2-06360)(Kennedy (Bo Town), Yemoh Town CHC)
Enrollment: 119</t>
  </si>
  <si>
    <t xml:space="preserve">Zainab k sei </t>
  </si>
  <si>
    <t xml:space="preserve">Jattu Abdulia </t>
  </si>
  <si>
    <t>Daniel jumu</t>
  </si>
  <si>
    <t>YKC08602168</t>
  </si>
  <si>
    <t>District: Bombali
Chiefdom: Kamaranka 
PHU name: Kamaranka CHC
Community name: Masorya (Kamaranka)
Name of school: Roman Catholic Primary School (2106-2-04290)(Masorya (Kamaranka), Kamaranka CHC)
Enrollment: 248</t>
  </si>
  <si>
    <t xml:space="preserve">Adama Mansaray </t>
  </si>
  <si>
    <t xml:space="preserve">Zainab Bangura </t>
  </si>
  <si>
    <t>Marie tholley</t>
  </si>
  <si>
    <t>DAW51102374</t>
  </si>
  <si>
    <t>District: Bombali
Chiefdom: Magbaimba Ndohahun 
PHU name: Hunduwa MCHP
Community name: Mamaah (Magbaimba Ndorwahun)
Name of school: District Education Committee Primary School (2107-2-04317)(Mamaah (Magbaimba Ndorwahun), Hunduwa MCHP)
Enrollment: 139</t>
  </si>
  <si>
    <t xml:space="preserve">Momoh fornah </t>
  </si>
  <si>
    <t xml:space="preserve">Aminata bangura </t>
  </si>
  <si>
    <t>Hassanatu n kamara</t>
  </si>
  <si>
    <t>AOW26399354</t>
  </si>
  <si>
    <t>District: Bo
Chiefdom: Kakua
PHU name: MCH Static CHC
Community name: Coronation Field (Bo Town)
Name of school: Mukeh Tiwah Primary School (4191-2-06276)(Coronation Field (Bo Town), MCH Static CHC)
Enrollment: 251</t>
  </si>
  <si>
    <t>Mariama A mansaray</t>
  </si>
  <si>
    <t xml:space="preserve">Mariama jusu </t>
  </si>
  <si>
    <t>Mattia bokarrie</t>
  </si>
  <si>
    <t>LTB83762644</t>
  </si>
  <si>
    <t>26-06-2025 11:33 AM</t>
  </si>
  <si>
    <t>District: Bo
Chiefdom: Kakua
PHU name: Nafaya MCHP
Community name: Kowama (Bo Town)
Name of school: American Calvary  Baptist  Church ,  Bo (4191-2-06406)(Kowama (Bo Town), Nafaya MCHP)
Enrollment: 191</t>
  </si>
  <si>
    <t xml:space="preserve">Kadiatu Bunduka </t>
  </si>
  <si>
    <t>Bintu conteh</t>
  </si>
  <si>
    <t>Fatu conteh</t>
  </si>
  <si>
    <t>SGT61156767</t>
  </si>
  <si>
    <t>26-06-2025 11:32 AM</t>
  </si>
  <si>
    <t>District: Bo
Chiefdom: Kakua
PHU name: Rescue Health Clinic CHP
Community name: Johnny Layout (Bo Town)
Name of school: The Islamic Priamry School Kulafai Mission. (Johnny Layout (Bo Town), Rescue Health Clinic CHP)
Enrollment: 161</t>
  </si>
  <si>
    <t xml:space="preserve">Ashmaru G Feika </t>
  </si>
  <si>
    <t>Mary J Ngobeh</t>
  </si>
  <si>
    <t xml:space="preserve">Amidu Kamara </t>
  </si>
  <si>
    <t>AZY88432850</t>
  </si>
  <si>
    <t>26-06-2025 11:30 AM</t>
  </si>
  <si>
    <t>District: Bombali
Chiefdom: Gbanti (Bombali) 
PHU name: Stocco CHP
Community name: Looking Town Makeni (Gbanti)
Name of school: Al-Harrkan Islamic Primary School (2104-2-04228)(Looking Town Makeni (Gbanti), Stocco CHP)
Enrollment: 431</t>
  </si>
  <si>
    <t>Fatima kanu</t>
  </si>
  <si>
    <t>RRN47461632</t>
  </si>
  <si>
    <t>District: Bombali
Chiefdom: Gbanti (Bombali) 
PHU name: Stocco CHP
Community name: Gibrilla Street
Name of school: Debora Academy Primary School(Gibrilla Street, Stocco CHP)
Enrollment: 0</t>
  </si>
  <si>
    <t>Umu kamara</t>
  </si>
  <si>
    <t>Marie O conteh</t>
  </si>
  <si>
    <t>Momoh r koroma</t>
  </si>
  <si>
    <t>GBW75806042</t>
  </si>
  <si>
    <t>26-06-2025 11:27 AM</t>
  </si>
  <si>
    <t>District: Bombali
Chiefdom: Gbanti (Bombali) 
PHU name: Panlap CHP
Community name: Mabap (Gbanti)
Name of school: Fatima Amputee Primary School (2104-2-04166)(Mabap (Gbanti), Panlap CHP)
Enrollment: 204</t>
  </si>
  <si>
    <t xml:space="preserve">Martha kamara </t>
  </si>
  <si>
    <t xml:space="preserve">Rachael Sawyer </t>
  </si>
  <si>
    <t>Saito Kanu</t>
  </si>
  <si>
    <t>IPK13682449</t>
  </si>
  <si>
    <t>26-06-2025 11:24 AM</t>
  </si>
  <si>
    <t>District: Bombali
Chiefdom: Paki Masabong 
PHU name: Mapaki CHC
Community name: Mapaki Town (Paki Masabong)
Name of school: Roman Catholic Primary School (2111-2-04628)(Mapaki Town (Paki Masabong), Mapaki CHC)
Enrollment: 229</t>
  </si>
  <si>
    <t xml:space="preserve">Hassan conteh </t>
  </si>
  <si>
    <t xml:space="preserve">Mattu  Sillah </t>
  </si>
  <si>
    <t>Fatmata Abdul</t>
  </si>
  <si>
    <t>MZY35756360</t>
  </si>
  <si>
    <t>District: Bombali
Chiefdom: Gbanti (Bombali) 
PHU name: Stocco CHP
Community name: Mathinka (Makari)
Name of school: District Education Committee Primary School (2104-2-04192)(Mathinka (Makari), Stocco CHP)
Enrollment: 324</t>
  </si>
  <si>
    <t xml:space="preserve">Margaret kabia </t>
  </si>
  <si>
    <t>Kadiatu sesay</t>
  </si>
  <si>
    <t xml:space="preserve">Alpha kabia </t>
  </si>
  <si>
    <t>SQZ00008360</t>
  </si>
  <si>
    <t>District: Bombali
Chiefdom: Ngowahun 
PHU name: Masongbo Loko CHP
Community name: Kagberay (N'Gowahun)
Name of school: Kagberay Community Primary School (2110-2-04601)(Kagberay (N'Gowahun), Masongbo Loko CHP)
Enrollment: 198</t>
  </si>
  <si>
    <t>Mabinty sankoh</t>
  </si>
  <si>
    <t>Mabinty Lamin kamara</t>
  </si>
  <si>
    <t>WEO06356331</t>
  </si>
  <si>
    <t>26-06-2025 11:15 AM</t>
  </si>
  <si>
    <t>26-06-2025 11:21 AM</t>
  </si>
  <si>
    <t>District: Bombali
Chiefdom: Gbanti (Bombali) 
PHU name: Panlap CHC
Community name: Makeni (Makeni City), Timbo
Name of school: Pedmal International Academy (2191-2-04539)(Makeni (Makeni City), Timbo, Panlap CHC)
Enrollment: 46</t>
  </si>
  <si>
    <t xml:space="preserve">Hannah Sesay </t>
  </si>
  <si>
    <t>Abdul Ba</t>
  </si>
  <si>
    <t>Sorie d</t>
  </si>
  <si>
    <t>WAV18273517</t>
  </si>
  <si>
    <t>26-06-2025 11:20 AM</t>
  </si>
  <si>
    <t>District: Bombali
Chiefdom: Ngowahun 
PHU name: Kalangba (Ngowahun) CHC
Community name: Kalangba (N'Gowahun)
Name of school: Sierra Leone Muslim Brotherhood Primary School (2110-2-04605)(Kalangba (N'Gowahun), Kalangba (Ngowahun) CHC)
Enrollment: 437</t>
  </si>
  <si>
    <t>John D. conteh</t>
  </si>
  <si>
    <t>MTU05124037</t>
  </si>
  <si>
    <t>District: Bombali
Chiefdom: Gbanti (Bombali) 
PHU name: Panlap CHP
Community name: Rosint (Gbanti)
Name of school: Rosint Community Primary School (2104-2-04237)(Rosint (Gbanti), Panlap CHP)
Enrollment: 173</t>
  </si>
  <si>
    <t xml:space="preserve">Sarah </t>
  </si>
  <si>
    <t xml:space="preserve">Aminata </t>
  </si>
  <si>
    <t xml:space="preserve">Mariama </t>
  </si>
  <si>
    <t>HFT43822083</t>
  </si>
  <si>
    <t>District: Bombali
Chiefdom: Makarie 
PHU name: Makarie CHP
Community name: Mankneh Bana (Makari)
Name of school: Roman Catholic Primary School (2108-2-04343)(Mankneh Bana (Makari), Makarie CHP)
Enrollment: 355</t>
  </si>
  <si>
    <t xml:space="preserve">Osman </t>
  </si>
  <si>
    <t xml:space="preserve">Isatu </t>
  </si>
  <si>
    <t>GPF87912724</t>
  </si>
  <si>
    <t>District: Bombali
Chiefdom: Makarie 
PHU name: Punthun MCHP
Community name: Makondo (Makari)
Name of school: Sierra Leone Muslim Women Benevolent Organisation Primary School (2108-2-04363)(Makondo (Makari), Punthun MCHP)
Enrollment: 254</t>
  </si>
  <si>
    <t xml:space="preserve">Kanda A Turay </t>
  </si>
  <si>
    <t>IMK02682622</t>
  </si>
  <si>
    <t>District: Bombali
Chiefdom: Gbanti (Bombali) 
PHU name: Panlap CHP
Community name: Masuba Makeni (Gbanti)
Name of school: Ansarul Islamic Primary School Talent Town Makeni (2104-2-04164)(Masuba Makeni (Gbanti), Panlap CHP)
Enrollment: 133</t>
  </si>
  <si>
    <t xml:space="preserve">Abu saccoh </t>
  </si>
  <si>
    <t xml:space="preserve">John Y Sesay </t>
  </si>
  <si>
    <t xml:space="preserve">Alpha Koroma </t>
  </si>
  <si>
    <t>PJD95333060</t>
  </si>
  <si>
    <t>District: Bombali
Chiefdom: Gbanti (Bombali) 
PHU name: Stocco CHP
Community name: Conteh U Drive (Gbanti)
Name of school: Ramatulai Memorial School (2104-2-12032)(Conteh U Drive (Gbanti), Stocco CHP)
Enrollment: 189</t>
  </si>
  <si>
    <t>ORU54467526</t>
  </si>
  <si>
    <t>District: Bombali
Chiefdom: Gbanti (Bombali) 
PHU name: Panlap CHP
Community name: Gbasia Village (Gbanti)
Name of school: Gbasia Community Primary School (2104-2-04165)(Gbasia Village (Gbanti), Panlap CHP)
Enrollment: 45</t>
  </si>
  <si>
    <t>DFG98550531</t>
  </si>
  <si>
    <t>26-06-2025 11:17 AM</t>
  </si>
  <si>
    <t>District: Bombali
Chiefdom: Kamaranka 
PHU name: Kamaranka CHC
Community name: Kamba (Kamaranka)
Name of school: Roman Catholic Primary School (2106-2-04297)(Kamba (Kamaranka), Kamaranka CHC)
Enrollment: 299</t>
  </si>
  <si>
    <t xml:space="preserve">Among </t>
  </si>
  <si>
    <t>Sorious</t>
  </si>
  <si>
    <t xml:space="preserve">Fish </t>
  </si>
  <si>
    <t>ZGJ21841531</t>
  </si>
  <si>
    <t>District: Bombali
Chiefdom: Gbanti (Bombali) 
PHU name: Stocco CHP
Community name: New London Makeni (Gbanti)
Name of school: Adullam Mission Primary School, New London Makeni (2104-2-04230)(New London Makeni (Gbanti), Stocco CHP)
Enrollment: 74</t>
  </si>
  <si>
    <t xml:space="preserve">Maninty </t>
  </si>
  <si>
    <t>ZXF04347235</t>
  </si>
  <si>
    <t>District: Bombali
Chiefdom: Gbanti (Bombali) 
PHU name: Panlap CHP
Community name: Timbo (Gbanti)
Name of school: Al-Harrakan Islamic Primary School (2104-2-04197)(Timbo (Gbanti), Panlap CHP)
Enrollment: 510</t>
  </si>
  <si>
    <t xml:space="preserve">ABDUL AZIM MANSARAY </t>
  </si>
  <si>
    <t>NUE17311124</t>
  </si>
  <si>
    <t>District: Bombali
Chiefdom: Gbanti (Bombali) 
PHU name: Panlap CHP
Community name: Panlap Makeni
Name of school: God'S Will International  Academy (2104-2-14923)(Panlap Makeni, Panlap CHP)
Enrollment: 0</t>
  </si>
  <si>
    <t xml:space="preserve">Marian s sankoh </t>
  </si>
  <si>
    <t xml:space="preserve">Mohamed foday Tholley </t>
  </si>
  <si>
    <t>GVJ21755503</t>
  </si>
  <si>
    <t>26-06-2025 11:13 AM</t>
  </si>
  <si>
    <t>District: Bombali
Chiefdom: Mara 
PHU name: Mara CHC
Community name: Magbansor (Mara)
Name of school: Islamic Dawan Primary School Magburaka (2109-2-04573)(Magbansor (Mara), Mara CHC)
Enrollment: 389</t>
  </si>
  <si>
    <t xml:space="preserve">Sheriff Sheku </t>
  </si>
  <si>
    <t>Alpha Gbla</t>
  </si>
  <si>
    <t xml:space="preserve">Aminata M. Turay </t>
  </si>
  <si>
    <t>PVP25975903</t>
  </si>
  <si>
    <t>26-06-2025 11:08 AM</t>
  </si>
  <si>
    <t>District: Bombali
Chiefdom: Ngowahun 
PHU name: Tambiama CHP
Community name: Makahithe (N'Gowahun)
Name of school: Roman Catholic Primary School (2110-2-04591)(Makahithe (N'Gowahun), Tambiama CHP)
Enrollment: 121</t>
  </si>
  <si>
    <t xml:space="preserve">Sento </t>
  </si>
  <si>
    <t>Sorie</t>
  </si>
  <si>
    <t xml:space="preserve">Robert </t>
  </si>
  <si>
    <t>NHL00235913</t>
  </si>
  <si>
    <t>26-06-2025 10:57 AM</t>
  </si>
  <si>
    <t>District: Bo
Chiefdom: Bo City
PHU name: New Police Barracks CHC
Community name: New London (Bo Town)
Name of school: Ansarul Islamic Primary Sch. (4191-2-06478)(New London (Bo Town), New Police Barracks CHC)
Enrollment: 812</t>
  </si>
  <si>
    <t xml:space="preserve">Sattu Sandi </t>
  </si>
  <si>
    <t xml:space="preserve">Isata Kargbo </t>
  </si>
  <si>
    <t xml:space="preserve">Alusine Feika </t>
  </si>
  <si>
    <t>RCT08233292</t>
  </si>
  <si>
    <t>District: Bo
Chiefdom: Bo City
PHU name: Praise Foundation CHC
Community name: Kortugbuma (Bo Town)
Name of school: The Awada Primary School (4191-2-06398)(Kortugbuma (Bo Town), Praise Foundation CHC)
Enrollment: 235</t>
  </si>
  <si>
    <t>Rebecca Maseray Sandy</t>
  </si>
  <si>
    <t>Yeabu Blessing Kanu</t>
  </si>
  <si>
    <t>Mary Yanguba Senesie</t>
  </si>
  <si>
    <t>GXP70201123</t>
  </si>
  <si>
    <t>Unknown User</t>
  </si>
  <si>
    <t>26-06-2025 08:06 AM</t>
  </si>
  <si>
    <t>26-06-2025 10:16 AM</t>
  </si>
  <si>
    <t>District: Bo
Chiefdom: Kakua
PHU name: Gbanja Town CHP
Community name: Baiima Road (Bo Town)
Name of school: Young Women Christiana Association Primary School(Baiima Road (Bo Town), Gbanja Town CHP)
Enrollment: 185</t>
  </si>
  <si>
    <t>Aminata Sandi</t>
  </si>
  <si>
    <t>Memunatu morisana</t>
  </si>
  <si>
    <t>Mohamed. F.Bangalie</t>
  </si>
  <si>
    <t>KTN72961643</t>
  </si>
  <si>
    <t>26-06-2025 09:42 AM</t>
  </si>
  <si>
    <t>District: Bombali
Chiefdom: Safroko Limba 
PHU name: Kabonka CHP
Community name: Kadanda (Safroko Limba)
Name of school: Community Primary School (2112-2-04687)(Kadanda (Safroko Limba), Kabonka CHP)
Enrollment: 99</t>
  </si>
  <si>
    <t>Abdulai Jalloh</t>
  </si>
  <si>
    <t xml:space="preserve">Sallieu Kargbo </t>
  </si>
  <si>
    <t>Ibrahim sorie Bangura</t>
  </si>
  <si>
    <t>AQQ01993895</t>
  </si>
  <si>
    <t>26-06-2025 09:29 AM</t>
  </si>
  <si>
    <t>District: Bombali
Chiefdom: Safroko Limba 
PHU name: Binkolo CHC
Community name: Bombali Bana (Safroko Limba)
Name of school: Wesleyan Church Of Sierra Leone Primary (2112-2-04694)(Bombali Bana (Safroko Limba), Binkolo CHC)
Enrollment: 192</t>
  </si>
  <si>
    <t>Isatu kamara</t>
  </si>
  <si>
    <t xml:space="preserve">Abu koroma </t>
  </si>
  <si>
    <t>SDG39940785</t>
  </si>
  <si>
    <t>District: Bo
Chiefdom: Badjia
PHU name: Njandama MCHP
Community name: Jokibu
Name of school: R C Primary School(Jokibu, Njandama MCHP)
Enrollment: 261</t>
  </si>
  <si>
    <t>Ramatu onikeh kamara</t>
  </si>
  <si>
    <t>Thomas M Bangura</t>
  </si>
  <si>
    <t>Issa BD Thullah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</si>
</sst>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3.44"/>
    <col customWidth="1" min="2" max="2" width="21.78"/>
    <col customWidth="1" min="3" max="4" width="18.33"/>
    <col customWidth="1" min="5" max="5" width="57.33"/>
    <col customWidth="1" min="6" max="41" width="8.56"/>
    <col customWidth="1" min="42" max="42" width="23.56"/>
    <col customWidth="1" min="43" max="43" width="8.56"/>
    <col customWidth="1" min="44" max="44" width="25.89"/>
    <col customWidth="1" min="45" max="45" width="8.56"/>
    <col customWidth="1" min="46" max="46" width="24.33"/>
    <col customWidth="1" min="47" max="47" width="25.0"/>
    <col customWidth="1" min="48" max="48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ht="15.75" customHeight="1">
      <c r="A2" s="1" t="s">
        <v>45</v>
      </c>
      <c r="B2" s="1" t="s">
        <v>46</v>
      </c>
      <c r="C2" s="1" t="s">
        <v>47</v>
      </c>
      <c r="D2" s="1" t="s">
        <v>47</v>
      </c>
      <c r="E2" s="1" t="s">
        <v>48</v>
      </c>
      <c r="F2" s="1" t="s">
        <v>49</v>
      </c>
      <c r="G2" s="1">
        <v>250.0</v>
      </c>
      <c r="H2" s="1" t="s">
        <v>50</v>
      </c>
      <c r="I2" s="1">
        <v>69.0</v>
      </c>
      <c r="J2" s="1">
        <v>31.0</v>
      </c>
      <c r="K2" s="1">
        <v>29.0</v>
      </c>
      <c r="L2" s="1">
        <v>38.0</v>
      </c>
      <c r="M2" s="1">
        <v>36.0</v>
      </c>
      <c r="N2" s="1" t="s">
        <v>51</v>
      </c>
      <c r="O2" s="1">
        <v>38.0</v>
      </c>
      <c r="P2" s="1">
        <v>13.0</v>
      </c>
      <c r="Q2" s="1">
        <v>13.0</v>
      </c>
      <c r="R2" s="1">
        <v>25.0</v>
      </c>
      <c r="S2" s="1">
        <v>24.0</v>
      </c>
      <c r="T2" s="1" t="s">
        <v>52</v>
      </c>
      <c r="U2" s="1">
        <v>42.0</v>
      </c>
      <c r="V2" s="1">
        <v>18.0</v>
      </c>
      <c r="W2" s="1">
        <v>18.0</v>
      </c>
      <c r="X2" s="1">
        <v>24.0</v>
      </c>
      <c r="Y2" s="1">
        <v>22.0</v>
      </c>
      <c r="Z2" s="1" t="s">
        <v>53</v>
      </c>
      <c r="AA2" s="1">
        <v>42.0</v>
      </c>
      <c r="AB2" s="1">
        <v>22.0</v>
      </c>
      <c r="AC2" s="1">
        <v>21.0</v>
      </c>
      <c r="AD2" s="1">
        <v>20.0</v>
      </c>
      <c r="AE2" s="1">
        <v>19.0</v>
      </c>
      <c r="AF2" s="1" t="s">
        <v>54</v>
      </c>
      <c r="AG2" s="1">
        <v>31.0</v>
      </c>
      <c r="AH2" s="1">
        <v>17.0</v>
      </c>
      <c r="AI2" s="1">
        <v>14.0</v>
      </c>
      <c r="AJ2" s="1">
        <v>14.0</v>
      </c>
      <c r="AK2" s="1">
        <v>13.0</v>
      </c>
      <c r="AL2" s="1">
        <v>209.0</v>
      </c>
      <c r="AM2" s="1" t="s">
        <v>55</v>
      </c>
      <c r="AN2" s="1">
        <v>41.0</v>
      </c>
      <c r="AO2" s="1">
        <v>41.0</v>
      </c>
      <c r="AP2" s="1" t="s">
        <v>56</v>
      </c>
      <c r="AQ2" s="2" t="str">
        <f>HYPERLINK("https://icf.clappia.com/app/GMB253374/submission/HFJ22794410/ICF247370-GMB253374-663j8noche7200000000/SIG-20250630_124919oo8o.jpeg", "SIG-20250630_124919oo8o.jpeg")</f>
        <v>SIG-20250630_124919oo8o.jpeg</v>
      </c>
      <c r="AR2" s="1" t="s">
        <v>57</v>
      </c>
      <c r="AS2" s="2" t="str">
        <f>HYPERLINK("https://icf.clappia.com/app/GMB253374/submission/HFJ22794410/ICF247370-GMB253374-43pa2io1bh9m00000000/SIG-20250630_124913ema1.jpeg", "SIG-20250630_124913ema1.jpeg")</f>
        <v>SIG-20250630_124913ema1.jpeg</v>
      </c>
      <c r="AT2" s="1" t="s">
        <v>58</v>
      </c>
      <c r="AU2" s="2" t="str">
        <f>HYPERLINK("https://icf.clappia.com/app/GMB253374/submission/HFJ22794410/ICF247370-GMB253374-17diad2i3m1280000000/SIG-20250630_1249go9d2.jpeg", "SIG-20250630_1249go9d2.jpeg")</f>
        <v>SIG-20250630_1249go9d2.jpeg</v>
      </c>
      <c r="AV2" s="2" t="str">
        <f>HYPERLINK("https://www.google.com/maps/place/8.9147217%2C-12.0330667", "8.9147217,-12.0330667")</f>
        <v>8.9147217,-12.0330667</v>
      </c>
    </row>
    <row r="3" ht="15.75" customHeight="1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>
        <v>157.0</v>
      </c>
      <c r="H3" s="1" t="s">
        <v>50</v>
      </c>
      <c r="I3" s="1">
        <v>49.0</v>
      </c>
      <c r="J3" s="1">
        <v>18.0</v>
      </c>
      <c r="K3" s="1">
        <v>6.0</v>
      </c>
      <c r="L3" s="1">
        <v>31.0</v>
      </c>
      <c r="M3" s="1">
        <v>14.0</v>
      </c>
      <c r="N3" s="1" t="s">
        <v>51</v>
      </c>
      <c r="O3" s="1">
        <v>71.0</v>
      </c>
      <c r="P3" s="1">
        <v>32.0</v>
      </c>
      <c r="Q3" s="1">
        <v>16.0</v>
      </c>
      <c r="R3" s="1">
        <v>39.0</v>
      </c>
      <c r="S3" s="1">
        <v>21.0</v>
      </c>
      <c r="T3" s="1" t="s">
        <v>52</v>
      </c>
      <c r="U3" s="1">
        <v>44.0</v>
      </c>
      <c r="V3" s="1">
        <v>14.0</v>
      </c>
      <c r="W3" s="1">
        <v>14.0</v>
      </c>
      <c r="X3" s="1">
        <v>30.0</v>
      </c>
      <c r="Y3" s="1">
        <v>24.0</v>
      </c>
      <c r="Z3" s="1" t="s">
        <v>53</v>
      </c>
      <c r="AA3" s="1">
        <v>44.0</v>
      </c>
      <c r="AB3" s="1">
        <v>21.0</v>
      </c>
      <c r="AC3" s="1">
        <v>20.0</v>
      </c>
      <c r="AD3" s="1">
        <v>23.0</v>
      </c>
      <c r="AE3" s="1">
        <v>20.0</v>
      </c>
      <c r="AF3" s="1" t="s">
        <v>54</v>
      </c>
      <c r="AG3" s="1">
        <v>43.0</v>
      </c>
      <c r="AH3" s="1">
        <v>13.0</v>
      </c>
      <c r="AI3" s="1">
        <v>12.0</v>
      </c>
      <c r="AJ3" s="1">
        <v>30.0</v>
      </c>
      <c r="AK3" s="1">
        <v>10.0</v>
      </c>
      <c r="AL3" s="1">
        <v>157.0</v>
      </c>
      <c r="AM3" s="1" t="s">
        <v>55</v>
      </c>
      <c r="AN3" s="1" t="s">
        <v>55</v>
      </c>
      <c r="AO3" s="1" t="s">
        <v>55</v>
      </c>
      <c r="AP3" s="1" t="s">
        <v>65</v>
      </c>
      <c r="AQ3" s="2" t="str">
        <f>HYPERLINK("https://icf.clappia.com/app/GMB253374/submission/XEY73100732/ICF247370-GMB253374-2moa8eppjj6o00000000/SIG-20250630_122918jff4.jpeg", "SIG-20250630_122918jff4.jpeg")</f>
        <v>SIG-20250630_122918jff4.jpeg</v>
      </c>
      <c r="AR3" s="1" t="s">
        <v>66</v>
      </c>
      <c r="AS3" s="2" t="str">
        <f>HYPERLINK("https://icf.clappia.com/app/GMB253374/submission/XEY73100732/ICF247370-GMB253374-5bjob1n9i3le00000000/SIG-20250630_1229132gk2.jpeg", "SIG-20250630_1229132gk2.jpeg")</f>
        <v>SIG-20250630_1229132gk2.jpeg</v>
      </c>
      <c r="AT3" s="1" t="s">
        <v>67</v>
      </c>
      <c r="AU3" s="2" t="str">
        <f>HYPERLINK("https://icf.clappia.com/app/GMB253374/submission/XEY73100732/ICF247370-GMB253374-1oad6i854deee0000000/SIG-20250630_1242mkdnd.jpeg", "SIG-20250630_1242mkdnd.jpeg")</f>
        <v>SIG-20250630_1242mkdnd.jpeg</v>
      </c>
      <c r="AV3" s="2" t="str">
        <f>HYPERLINK("https://www.google.com/maps/place/7.9332386%2C-11.7187503", "7.9332386,-11.7187503")</f>
        <v>7.9332386,-11.7187503</v>
      </c>
    </row>
    <row r="4" ht="15.75" customHeight="1">
      <c r="A4" s="1" t="s">
        <v>68</v>
      </c>
      <c r="B4" s="1" t="s">
        <v>69</v>
      </c>
      <c r="C4" s="1" t="s">
        <v>62</v>
      </c>
      <c r="D4" s="1" t="s">
        <v>62</v>
      </c>
      <c r="E4" s="1" t="s">
        <v>70</v>
      </c>
      <c r="F4" s="1" t="s">
        <v>49</v>
      </c>
      <c r="G4" s="1">
        <v>100.0</v>
      </c>
      <c r="H4" s="1" t="s">
        <v>50</v>
      </c>
      <c r="I4" s="1">
        <v>26.0</v>
      </c>
      <c r="J4" s="1">
        <v>13.0</v>
      </c>
      <c r="K4" s="1">
        <v>12.0</v>
      </c>
      <c r="L4" s="1">
        <v>13.0</v>
      </c>
      <c r="M4" s="1">
        <v>8.0</v>
      </c>
      <c r="N4" s="1" t="s">
        <v>51</v>
      </c>
      <c r="O4" s="1">
        <v>13.0</v>
      </c>
      <c r="P4" s="1">
        <v>9.0</v>
      </c>
      <c r="Q4" s="1">
        <v>9.0</v>
      </c>
      <c r="R4" s="1">
        <v>4.0</v>
      </c>
      <c r="S4" s="1">
        <v>4.0</v>
      </c>
      <c r="T4" s="1" t="s">
        <v>52</v>
      </c>
      <c r="U4" s="1">
        <v>11.0</v>
      </c>
      <c r="V4" s="1">
        <v>5.0</v>
      </c>
      <c r="W4" s="1">
        <v>5.0</v>
      </c>
      <c r="X4" s="1">
        <v>6.0</v>
      </c>
      <c r="Y4" s="1">
        <v>6.0</v>
      </c>
      <c r="Z4" s="1" t="s">
        <v>53</v>
      </c>
      <c r="AA4" s="1">
        <v>8.0</v>
      </c>
      <c r="AB4" s="1">
        <v>3.0</v>
      </c>
      <c r="AC4" s="1">
        <v>3.0</v>
      </c>
      <c r="AD4" s="1">
        <v>5.0</v>
      </c>
      <c r="AE4" s="1">
        <v>5.0</v>
      </c>
      <c r="AF4" s="1" t="s">
        <v>54</v>
      </c>
      <c r="AG4" s="1">
        <v>11.0</v>
      </c>
      <c r="AH4" s="1">
        <v>6.0</v>
      </c>
      <c r="AI4" s="1">
        <v>5.0</v>
      </c>
      <c r="AJ4" s="1">
        <v>5.0</v>
      </c>
      <c r="AK4" s="1">
        <v>3.0</v>
      </c>
      <c r="AL4" s="1">
        <v>60.0</v>
      </c>
      <c r="AM4" s="1" t="s">
        <v>55</v>
      </c>
      <c r="AN4" s="1">
        <v>40.0</v>
      </c>
      <c r="AO4" s="1">
        <v>40.0</v>
      </c>
      <c r="AP4" s="1" t="s">
        <v>71</v>
      </c>
      <c r="AQ4" s="2" t="str">
        <f>HYPERLINK("https://icf.clappia.com/app/GMB253374/submission/YRY11174129/ICF247370-GMB253374-6abe5fghf4e000000000/SIG-20250630_12465d5ap.jpeg", "SIG-20250630_12465d5ap.jpeg")</f>
        <v>SIG-20250630_12465d5ap.jpeg</v>
      </c>
      <c r="AR4" s="1" t="s">
        <v>72</v>
      </c>
      <c r="AS4" s="2" t="str">
        <f>HYPERLINK("https://icf.clappia.com/app/GMB253374/submission/YRY11174129/ICF247370-GMB253374-19cofeng3d21m0000000/SIG-20250630_1247e78l6.jpeg", "SIG-20250630_1247e78l6.jpeg")</f>
        <v>SIG-20250630_1247e78l6.jpeg</v>
      </c>
      <c r="AT4" s="1" t="s">
        <v>73</v>
      </c>
      <c r="AU4" s="2" t="str">
        <f>HYPERLINK("https://icf.clappia.com/app/GMB253374/submission/YRY11174129/ICF247370-GMB253374-1i4go88d5jf8c0000000/SIG-20250630_1247db7de.jpeg", "SIG-20250630_1247db7de.jpeg")</f>
        <v>SIG-20250630_1247db7de.jpeg</v>
      </c>
      <c r="AV4" s="2" t="str">
        <f>HYPERLINK("https://www.google.com/maps/place/8.8682749%2C-12.0316671", "8.8682749,-12.0316671")</f>
        <v>8.8682749,-12.0316671</v>
      </c>
    </row>
    <row r="5" ht="15.75" customHeight="1">
      <c r="A5" s="1" t="s">
        <v>74</v>
      </c>
      <c r="B5" s="1" t="s">
        <v>75</v>
      </c>
      <c r="C5" s="1" t="s">
        <v>76</v>
      </c>
      <c r="D5" s="1" t="s">
        <v>76</v>
      </c>
      <c r="E5" s="1" t="s">
        <v>77</v>
      </c>
      <c r="F5" s="1" t="s">
        <v>64</v>
      </c>
      <c r="G5" s="1">
        <v>300.0</v>
      </c>
      <c r="H5" s="1" t="s">
        <v>50</v>
      </c>
      <c r="I5" s="1">
        <v>70.0</v>
      </c>
      <c r="J5" s="1">
        <v>36.0</v>
      </c>
      <c r="K5" s="1">
        <v>34.0</v>
      </c>
      <c r="L5" s="1">
        <v>34.0</v>
      </c>
      <c r="M5" s="1">
        <v>32.0</v>
      </c>
      <c r="N5" s="1" t="s">
        <v>51</v>
      </c>
      <c r="O5" s="1">
        <v>62.0</v>
      </c>
      <c r="P5" s="1">
        <v>30.0</v>
      </c>
      <c r="Q5" s="1">
        <v>30.0</v>
      </c>
      <c r="R5" s="1">
        <v>32.0</v>
      </c>
      <c r="S5" s="1">
        <v>30.0</v>
      </c>
      <c r="T5" s="1" t="s">
        <v>52</v>
      </c>
      <c r="U5" s="1">
        <v>52.0</v>
      </c>
      <c r="V5" s="1">
        <v>27.0</v>
      </c>
      <c r="W5" s="1">
        <v>27.0</v>
      </c>
      <c r="X5" s="1">
        <v>25.0</v>
      </c>
      <c r="Y5" s="1">
        <v>25.0</v>
      </c>
      <c r="Z5" s="1" t="s">
        <v>53</v>
      </c>
      <c r="AA5" s="1">
        <v>55.0</v>
      </c>
      <c r="AB5" s="1">
        <v>27.0</v>
      </c>
      <c r="AC5" s="1">
        <v>26.0</v>
      </c>
      <c r="AD5" s="1">
        <v>28.0</v>
      </c>
      <c r="AE5" s="1">
        <v>28.0</v>
      </c>
      <c r="AF5" s="1" t="s">
        <v>54</v>
      </c>
      <c r="AG5" s="1">
        <v>45.0</v>
      </c>
      <c r="AH5" s="1">
        <v>25.0</v>
      </c>
      <c r="AI5" s="1">
        <v>23.0</v>
      </c>
      <c r="AJ5" s="1">
        <v>20.0</v>
      </c>
      <c r="AK5" s="1">
        <v>19.0</v>
      </c>
      <c r="AL5" s="1">
        <v>274.0</v>
      </c>
      <c r="AM5" s="1">
        <v>10.0</v>
      </c>
      <c r="AN5" s="1">
        <v>16.0</v>
      </c>
      <c r="AO5" s="1">
        <v>16.0</v>
      </c>
      <c r="AP5" s="1" t="s">
        <v>78</v>
      </c>
      <c r="AQ5" s="2" t="str">
        <f>HYPERLINK("https://icf.clappia.com/app/GMB253374/submission/XCN67989682/ICF247370-GMB253374-68bhj8gbbmn200000000/SIG-20250630_1243keia5.jpeg", "SIG-20250630_1243keia5.jpeg")</f>
        <v>SIG-20250630_1243keia5.jpeg</v>
      </c>
      <c r="AR5" s="1" t="s">
        <v>79</v>
      </c>
      <c r="AS5" s="2" t="str">
        <f>HYPERLINK("https://icf.clappia.com/app/GMB253374/submission/XCN67989682/ICF247370-GMB253374-2054cndd5m8c80000000/SIG-20250630_1244mgc4k.jpeg", "SIG-20250630_1244mgc4k.jpeg")</f>
        <v>SIG-20250630_1244mgc4k.jpeg</v>
      </c>
      <c r="AT5" s="1" t="s">
        <v>80</v>
      </c>
      <c r="AU5" s="2" t="str">
        <f>HYPERLINK("https://icf.clappia.com/app/GMB253374/submission/XCN67989682/ICF247370-GMB253374-34h43j9c3fk400000000/SIG-20250630_124426i8d.jpeg", "SIG-20250630_124426i8d.jpeg")</f>
        <v>SIG-20250630_124426i8d.jpeg</v>
      </c>
      <c r="AV5" s="2" t="str">
        <f>HYPERLINK("https://www.google.com/maps/place/9.06745%2C-11.9543233", "9.06745,-11.9543233")</f>
        <v>9.06745,-11.9543233</v>
      </c>
    </row>
    <row r="6" ht="15.75" customHeight="1">
      <c r="A6" s="1" t="s">
        <v>81</v>
      </c>
      <c r="B6" s="1" t="s">
        <v>82</v>
      </c>
      <c r="C6" s="1" t="s">
        <v>61</v>
      </c>
      <c r="D6" s="1" t="s">
        <v>61</v>
      </c>
      <c r="E6" s="1" t="s">
        <v>83</v>
      </c>
      <c r="F6" s="1" t="s">
        <v>64</v>
      </c>
      <c r="G6" s="1">
        <v>300.0</v>
      </c>
      <c r="H6" s="1" t="s">
        <v>50</v>
      </c>
      <c r="I6" s="1">
        <v>200.0</v>
      </c>
      <c r="J6" s="1">
        <v>40.0</v>
      </c>
      <c r="K6" s="1">
        <v>40.0</v>
      </c>
      <c r="L6" s="1">
        <v>50.0</v>
      </c>
      <c r="M6" s="1">
        <v>50.0</v>
      </c>
      <c r="N6" s="1" t="s">
        <v>51</v>
      </c>
      <c r="O6" s="1">
        <v>60.0</v>
      </c>
      <c r="P6" s="1">
        <v>25.0</v>
      </c>
      <c r="Q6" s="1">
        <v>25.0</v>
      </c>
      <c r="R6" s="1">
        <v>35.0</v>
      </c>
      <c r="S6" s="1">
        <v>35.0</v>
      </c>
      <c r="T6" s="1" t="s">
        <v>52</v>
      </c>
      <c r="U6" s="1">
        <v>50.0</v>
      </c>
      <c r="V6" s="1">
        <v>20.0</v>
      </c>
      <c r="W6" s="1">
        <v>20.0</v>
      </c>
      <c r="X6" s="1">
        <v>30.0</v>
      </c>
      <c r="Y6" s="1">
        <v>30.0</v>
      </c>
      <c r="Z6" s="1" t="s">
        <v>53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54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>
        <v>200.0</v>
      </c>
      <c r="AM6" s="1" t="s">
        <v>55</v>
      </c>
      <c r="AN6" s="1">
        <v>100.0</v>
      </c>
      <c r="AO6" s="1" t="s">
        <v>55</v>
      </c>
      <c r="AP6" s="1" t="s">
        <v>84</v>
      </c>
      <c r="AQ6" s="2" t="str">
        <f>HYPERLINK("https://icf.clappia.com/app/GMB253374/submission/ZOM52930135/ICF247370-GMB253374-4laimd2bifg600000000/SIG-20250630_1242ffng.jpeg", "SIG-20250630_1242ffng.jpeg")</f>
        <v>SIG-20250630_1242ffng.jpeg</v>
      </c>
      <c r="AR6" s="1" t="s">
        <v>85</v>
      </c>
      <c r="AS6" s="2" t="str">
        <f>HYPERLINK("https://icf.clappia.com/app/GMB253374/submission/ZOM52930135/ICF247370-GMB253374-3mm4mlbcjc6000000000/SIG-20250630_1241131518.jpeg", "SIG-20250630_1241131518.jpeg")</f>
        <v>SIG-20250630_1241131518.jpeg</v>
      </c>
      <c r="AT6" s="1" t="s">
        <v>86</v>
      </c>
      <c r="AU6" s="2" t="str">
        <f>HYPERLINK("https://icf.clappia.com/app/GMB253374/submission/ZOM52930135/ICF247370-GMB253374-5bhlkkkkbg4000000000/SIG-20250630_1242ie0f7.jpeg", "SIG-20250630_1242ie0f7.jpeg")</f>
        <v>SIG-20250630_1242ie0f7.jpeg</v>
      </c>
      <c r="AV6" s="2" t="str">
        <f>HYPERLINK("https://www.google.com/maps/place/7.9286051%2C-11.4422549", "7.9286051,-11.4422549")</f>
        <v>7.9286051,-11.4422549</v>
      </c>
    </row>
    <row r="7" ht="15.75" customHeight="1">
      <c r="A7" s="1" t="s">
        <v>87</v>
      </c>
      <c r="B7" s="1" t="s">
        <v>88</v>
      </c>
      <c r="C7" s="1" t="s">
        <v>89</v>
      </c>
      <c r="D7" s="1" t="s">
        <v>89</v>
      </c>
      <c r="E7" s="1" t="s">
        <v>90</v>
      </c>
      <c r="F7" s="1" t="s">
        <v>64</v>
      </c>
      <c r="G7" s="1">
        <v>150.0</v>
      </c>
      <c r="H7" s="1" t="s">
        <v>50</v>
      </c>
      <c r="I7" s="1">
        <v>16.0</v>
      </c>
      <c r="J7" s="1">
        <v>9.0</v>
      </c>
      <c r="K7" s="1">
        <v>9.0</v>
      </c>
      <c r="L7" s="1">
        <v>7.0</v>
      </c>
      <c r="M7" s="1">
        <v>7.0</v>
      </c>
      <c r="N7" s="1" t="s">
        <v>51</v>
      </c>
      <c r="O7" s="1">
        <v>10.0</v>
      </c>
      <c r="P7" s="1">
        <v>3.0</v>
      </c>
      <c r="Q7" s="1">
        <v>3.0</v>
      </c>
      <c r="R7" s="1">
        <v>3.0</v>
      </c>
      <c r="S7" s="1">
        <v>3.0</v>
      </c>
      <c r="T7" s="1" t="s">
        <v>52</v>
      </c>
      <c r="U7" s="1">
        <v>5.0</v>
      </c>
      <c r="V7" s="1">
        <v>4.0</v>
      </c>
      <c r="W7" s="1">
        <v>4.0</v>
      </c>
      <c r="X7" s="1">
        <v>1.0</v>
      </c>
      <c r="Y7" s="1">
        <v>1.0</v>
      </c>
      <c r="Z7" s="1" t="s">
        <v>53</v>
      </c>
      <c r="AA7" s="1">
        <v>8.0</v>
      </c>
      <c r="AB7" s="1">
        <v>6.0</v>
      </c>
      <c r="AC7" s="1">
        <v>6.0</v>
      </c>
      <c r="AD7" s="1">
        <v>2.0</v>
      </c>
      <c r="AE7" s="1">
        <v>2.0</v>
      </c>
      <c r="AF7" s="1" t="s">
        <v>54</v>
      </c>
      <c r="AG7" s="1">
        <v>8.0</v>
      </c>
      <c r="AH7" s="1" t="s">
        <v>55</v>
      </c>
      <c r="AI7" s="1" t="s">
        <v>55</v>
      </c>
      <c r="AJ7" s="1">
        <v>2.0</v>
      </c>
      <c r="AK7" s="1">
        <v>2.0</v>
      </c>
      <c r="AL7" s="1">
        <v>37.0</v>
      </c>
      <c r="AM7" s="1">
        <v>10.0</v>
      </c>
      <c r="AN7" s="1">
        <v>103.0</v>
      </c>
      <c r="AO7" s="1">
        <v>103.0</v>
      </c>
      <c r="AP7" s="1" t="s">
        <v>91</v>
      </c>
      <c r="AQ7" s="2" t="str">
        <f>HYPERLINK("https://icf.clappia.com/app/GMB253374/submission/TSG59452380/ICF247370-GMB253374-5n13mibbghmo00000000/SIG-20250630_1233h43le.jpeg", "SIG-20250630_1233h43le.jpeg")</f>
        <v>SIG-20250630_1233h43le.jpeg</v>
      </c>
      <c r="AR7" s="1" t="s">
        <v>92</v>
      </c>
      <c r="AS7" s="2" t="str">
        <f>HYPERLINK("https://icf.clappia.com/app/GMB253374/submission/TSG59452380/ICF247370-GMB253374-25km4lekp47gk0000000/SIG-20250630_12348k427.jpeg", "SIG-20250630_12348k427.jpeg")</f>
        <v>SIG-20250630_12348k427.jpeg</v>
      </c>
      <c r="AT7" s="1" t="s">
        <v>93</v>
      </c>
      <c r="AU7" s="2" t="str">
        <f>HYPERLINK("https://icf.clappia.com/app/GMB253374/submission/TSG59452380/ICF247370-GMB253374-9073pdafdl280000000/SIG-20250630_12362841n.jpeg", "SIG-20250630_12362841n.jpeg")</f>
        <v>SIG-20250630_12362841n.jpeg</v>
      </c>
      <c r="AV7" s="2" t="str">
        <f>HYPERLINK("https://www.google.com/maps/place/8.0708742%2C-11.8202222", "8.0708742,-11.8202222")</f>
        <v>8.0708742,-11.8202222</v>
      </c>
    </row>
    <row r="8" ht="15.75" customHeight="1">
      <c r="A8" s="1" t="s">
        <v>94</v>
      </c>
      <c r="B8" s="1" t="s">
        <v>69</v>
      </c>
      <c r="C8" s="1" t="s">
        <v>95</v>
      </c>
      <c r="D8" s="1" t="s">
        <v>95</v>
      </c>
      <c r="E8" s="1" t="s">
        <v>96</v>
      </c>
      <c r="F8" s="1" t="s">
        <v>49</v>
      </c>
      <c r="G8" s="1">
        <v>150.0</v>
      </c>
      <c r="H8" s="1" t="s">
        <v>50</v>
      </c>
      <c r="I8" s="1">
        <v>26.0</v>
      </c>
      <c r="J8" s="1">
        <v>13.0</v>
      </c>
      <c r="K8" s="1">
        <v>10.0</v>
      </c>
      <c r="L8" s="1">
        <v>13.0</v>
      </c>
      <c r="M8" s="1">
        <v>6.0</v>
      </c>
      <c r="N8" s="1" t="s">
        <v>51</v>
      </c>
      <c r="O8" s="1">
        <v>19.0</v>
      </c>
      <c r="P8" s="1">
        <v>10.0</v>
      </c>
      <c r="Q8" s="1">
        <v>9.0</v>
      </c>
      <c r="R8" s="1">
        <v>9.0</v>
      </c>
      <c r="S8" s="1">
        <v>8.0</v>
      </c>
      <c r="T8" s="1" t="s">
        <v>52</v>
      </c>
      <c r="U8" s="1">
        <v>16.0</v>
      </c>
      <c r="V8" s="1">
        <v>5.0</v>
      </c>
      <c r="W8" s="1">
        <v>4.0</v>
      </c>
      <c r="X8" s="1">
        <v>11.0</v>
      </c>
      <c r="Y8" s="1">
        <v>9.0</v>
      </c>
      <c r="Z8" s="1" t="s">
        <v>53</v>
      </c>
      <c r="AA8" s="1">
        <v>19.0</v>
      </c>
      <c r="AB8" s="1">
        <v>12.0</v>
      </c>
      <c r="AC8" s="1">
        <v>11.0</v>
      </c>
      <c r="AD8" s="1">
        <v>7.0</v>
      </c>
      <c r="AE8" s="1">
        <v>4.0</v>
      </c>
      <c r="AF8" s="1" t="s">
        <v>54</v>
      </c>
      <c r="AG8" s="1">
        <v>13.0</v>
      </c>
      <c r="AH8" s="1">
        <v>4.0</v>
      </c>
      <c r="AI8" s="1">
        <v>4.0</v>
      </c>
      <c r="AJ8" s="1">
        <v>9.0</v>
      </c>
      <c r="AK8" s="1">
        <v>8.0</v>
      </c>
      <c r="AL8" s="1">
        <v>73.0</v>
      </c>
      <c r="AM8" s="1" t="s">
        <v>55</v>
      </c>
      <c r="AN8" s="1">
        <v>77.0</v>
      </c>
      <c r="AO8" s="1">
        <v>77.0</v>
      </c>
      <c r="AP8" s="1" t="s">
        <v>97</v>
      </c>
      <c r="AQ8" s="2" t="str">
        <f>HYPERLINK("https://icf.clappia.com/app/GMB253374/submission/XWH86274748/ICF247370-GMB253374-10ljep126bci40000000/SIG-20250630_12178c2ha.jpeg", "SIG-20250630_12178c2ha.jpeg")</f>
        <v>SIG-20250630_12178c2ha.jpeg</v>
      </c>
      <c r="AR8" s="1" t="s">
        <v>98</v>
      </c>
      <c r="AS8" s="2" t="str">
        <f>HYPERLINK("https://icf.clappia.com/app/GMB253374/submission/XWH86274748/ICF247370-GMB253374-64bbfoihohaa00000000/SIG-20250630_1234118c52.jpeg", "SIG-20250630_1234118c52.jpeg")</f>
        <v>SIG-20250630_1234118c52.jpeg</v>
      </c>
      <c r="AT8" s="1" t="s">
        <v>99</v>
      </c>
      <c r="AU8" s="2" t="str">
        <f>HYPERLINK("https://icf.clappia.com/app/GMB253374/submission/XWH86274748/ICF247370-GMB253374-4o86a66an3ok0000000/SIG-20250630_123382gj0.jpeg", "SIG-20250630_123382gj0.jpeg")</f>
        <v>SIG-20250630_123382gj0.jpeg</v>
      </c>
      <c r="AV8" s="2" t="str">
        <f>HYPERLINK("https://www.google.com/maps/place/8.87828%2C-12.0496783", "8.87828,-12.0496783")</f>
        <v>8.87828,-12.0496783</v>
      </c>
    </row>
    <row r="9" ht="15.75" customHeight="1">
      <c r="A9" s="1" t="s">
        <v>100</v>
      </c>
      <c r="B9" s="1" t="s">
        <v>101</v>
      </c>
      <c r="C9" s="1" t="s">
        <v>102</v>
      </c>
      <c r="D9" s="1" t="s">
        <v>102</v>
      </c>
      <c r="E9" s="1" t="s">
        <v>103</v>
      </c>
      <c r="F9" s="1" t="s">
        <v>64</v>
      </c>
      <c r="G9" s="1">
        <v>400.0</v>
      </c>
      <c r="H9" s="1" t="s">
        <v>50</v>
      </c>
      <c r="I9" s="1">
        <v>126.0</v>
      </c>
      <c r="J9" s="1" t="s">
        <v>55</v>
      </c>
      <c r="K9" s="1" t="s">
        <v>55</v>
      </c>
      <c r="L9" s="1">
        <v>126.0</v>
      </c>
      <c r="M9" s="1">
        <v>71.0</v>
      </c>
      <c r="N9" s="1" t="s">
        <v>51</v>
      </c>
      <c r="O9" s="1">
        <v>91.0</v>
      </c>
      <c r="P9" s="1" t="s">
        <v>55</v>
      </c>
      <c r="Q9" s="1" t="s">
        <v>55</v>
      </c>
      <c r="R9" s="1">
        <v>91.0</v>
      </c>
      <c r="S9" s="1">
        <v>58.0</v>
      </c>
      <c r="T9" s="1" t="s">
        <v>52</v>
      </c>
      <c r="U9" s="1">
        <v>79.0</v>
      </c>
      <c r="V9" s="1" t="s">
        <v>55</v>
      </c>
      <c r="W9" s="1" t="s">
        <v>55</v>
      </c>
      <c r="X9" s="1">
        <v>79.0</v>
      </c>
      <c r="Y9" s="1">
        <v>71.0</v>
      </c>
      <c r="Z9" s="1" t="s">
        <v>53</v>
      </c>
      <c r="AA9" s="1">
        <v>103.0</v>
      </c>
      <c r="AB9" s="1" t="s">
        <v>55</v>
      </c>
      <c r="AC9" s="1" t="s">
        <v>55</v>
      </c>
      <c r="AD9" s="1">
        <v>103.0</v>
      </c>
      <c r="AE9" s="1">
        <v>90.0</v>
      </c>
      <c r="AF9" s="1" t="s">
        <v>54</v>
      </c>
      <c r="AG9" s="1">
        <v>84.0</v>
      </c>
      <c r="AH9" s="1" t="s">
        <v>55</v>
      </c>
      <c r="AI9" s="1" t="s">
        <v>55</v>
      </c>
      <c r="AJ9" s="1">
        <v>84.0</v>
      </c>
      <c r="AK9" s="1">
        <v>74.0</v>
      </c>
      <c r="AL9" s="1">
        <v>364.0</v>
      </c>
      <c r="AM9" s="1">
        <v>10.0</v>
      </c>
      <c r="AN9" s="1">
        <v>26.0</v>
      </c>
      <c r="AO9" s="1">
        <v>16.0</v>
      </c>
      <c r="AP9" s="1" t="s">
        <v>104</v>
      </c>
      <c r="AQ9" s="2" t="str">
        <f>HYPERLINK("https://icf.clappia.com/app/GMB253374/submission/CCE58524124/ICF247370-GMB253374-4oa0hanp0dog00000000/SIG-20250630_122317efd7.jpeg", "SIG-20250630_122317efd7.jpeg")</f>
        <v>SIG-20250630_122317efd7.jpeg</v>
      </c>
      <c r="AR9" s="1" t="s">
        <v>105</v>
      </c>
      <c r="AS9" s="2" t="str">
        <f>HYPERLINK("https://icf.clappia.com/app/GMB253374/submission/CCE58524124/ICF247370-GMB253374-40fga2dkf50c0000000/SIG-20250630_122416afj9.jpeg", "SIG-20250630_122416afj9.jpeg")</f>
        <v>SIG-20250630_122416afj9.jpeg</v>
      </c>
      <c r="AT9" s="1" t="s">
        <v>106</v>
      </c>
      <c r="AU9" s="2" t="str">
        <f>HYPERLINK("https://icf.clappia.com/app/GMB253374/submission/CCE58524124/ICF247370-GMB253374-2kkpgn7gj48800000000/SIG-20250630_1229gh00p.jpeg", "SIG-20250630_1229gh00p.jpeg")</f>
        <v>SIG-20250630_1229gh00p.jpeg</v>
      </c>
      <c r="AV9" s="2" t="str">
        <f>HYPERLINK("https://www.google.com/maps/place/7.9538312%2C-11.7354775", "7.9538312,-11.7354775")</f>
        <v>7.9538312,-11.7354775</v>
      </c>
    </row>
    <row r="10" ht="15.75" customHeight="1">
      <c r="A10" s="1" t="s">
        <v>107</v>
      </c>
      <c r="B10" s="1" t="s">
        <v>101</v>
      </c>
      <c r="C10" s="1" t="s">
        <v>108</v>
      </c>
      <c r="D10" s="1" t="s">
        <v>108</v>
      </c>
      <c r="E10" s="1" t="s">
        <v>109</v>
      </c>
      <c r="F10" s="1" t="s">
        <v>64</v>
      </c>
      <c r="G10" s="1">
        <v>169.0</v>
      </c>
      <c r="H10" s="1" t="s">
        <v>50</v>
      </c>
      <c r="I10" s="1">
        <v>53.0</v>
      </c>
      <c r="J10" s="1">
        <v>30.0</v>
      </c>
      <c r="K10" s="1">
        <v>26.0</v>
      </c>
      <c r="L10" s="1">
        <v>23.0</v>
      </c>
      <c r="M10" s="1">
        <v>20.0</v>
      </c>
      <c r="N10" s="1" t="s">
        <v>51</v>
      </c>
      <c r="O10" s="1">
        <v>44.0</v>
      </c>
      <c r="P10" s="1">
        <v>20.0</v>
      </c>
      <c r="Q10" s="1">
        <v>16.0</v>
      </c>
      <c r="R10" s="1">
        <v>24.0</v>
      </c>
      <c r="S10" s="1">
        <v>23.0</v>
      </c>
      <c r="T10" s="1" t="s">
        <v>52</v>
      </c>
      <c r="U10" s="1">
        <v>39.0</v>
      </c>
      <c r="V10" s="1">
        <v>13.0</v>
      </c>
      <c r="W10" s="1">
        <v>13.0</v>
      </c>
      <c r="X10" s="1">
        <v>26.0</v>
      </c>
      <c r="Y10" s="1">
        <v>25.0</v>
      </c>
      <c r="Z10" s="1" t="s">
        <v>53</v>
      </c>
      <c r="AA10" s="1">
        <v>24.0</v>
      </c>
      <c r="AB10" s="1">
        <v>8.0</v>
      </c>
      <c r="AC10" s="1">
        <v>7.0</v>
      </c>
      <c r="AD10" s="1">
        <v>16.0</v>
      </c>
      <c r="AE10" s="1">
        <v>16.0</v>
      </c>
      <c r="AF10" s="1" t="s">
        <v>54</v>
      </c>
      <c r="AG10" s="1">
        <v>29.0</v>
      </c>
      <c r="AH10" s="1">
        <v>21.0</v>
      </c>
      <c r="AI10" s="1">
        <v>15.0</v>
      </c>
      <c r="AJ10" s="1">
        <v>8.0</v>
      </c>
      <c r="AK10" s="1">
        <v>8.0</v>
      </c>
      <c r="AL10" s="1">
        <v>169.0</v>
      </c>
      <c r="AM10" s="1" t="s">
        <v>55</v>
      </c>
      <c r="AN10" s="1" t="s">
        <v>55</v>
      </c>
      <c r="AO10" s="1" t="s">
        <v>55</v>
      </c>
      <c r="AP10" s="1" t="s">
        <v>110</v>
      </c>
      <c r="AQ10" s="2" t="str">
        <f>HYPERLINK("https://icf.clappia.com/app/GMB253374/submission/WDK81865760/ICF247370-GMB253374-n7gckgm0op280000000/SIG-20250630_122816mi6l.jpeg", "SIG-20250630_122816mi6l.jpeg")</f>
        <v>SIG-20250630_122816mi6l.jpeg</v>
      </c>
      <c r="AR10" s="1" t="s">
        <v>111</v>
      </c>
      <c r="AS10" s="2" t="str">
        <f>HYPERLINK("https://icf.clappia.com/app/GMB253374/submission/WDK81865760/ICF247370-GMB253374-l0of98361d840000000/SIG-20250630_1228160cgm.jpeg", "SIG-20250630_1228160cgm.jpeg")</f>
        <v>SIG-20250630_1228160cgm.jpeg</v>
      </c>
      <c r="AT10" s="1" t="s">
        <v>112</v>
      </c>
      <c r="AU10" s="2" t="str">
        <f>HYPERLINK("https://icf.clappia.com/app/GMB253374/submission/WDK81865760/ICF247370-GMB253374-1najdggm5fmii0000000/SIG-20250630_12311300ag.jpeg", "SIG-20250630_12311300ag.jpeg")</f>
        <v>SIG-20250630_12311300ag.jpeg</v>
      </c>
      <c r="AV10" s="2" t="str">
        <f>HYPERLINK("https://www.google.com/maps/place/7.9368267%2C-11.74965", "7.9368267,-11.74965")</f>
        <v>7.9368267,-11.74965</v>
      </c>
    </row>
    <row r="11" ht="15.75" customHeight="1">
      <c r="A11" s="1" t="s">
        <v>113</v>
      </c>
      <c r="B11" s="1" t="s">
        <v>114</v>
      </c>
      <c r="C11" s="1" t="s">
        <v>115</v>
      </c>
      <c r="D11" s="1" t="s">
        <v>115</v>
      </c>
      <c r="E11" s="1" t="s">
        <v>116</v>
      </c>
      <c r="F11" s="1" t="s">
        <v>64</v>
      </c>
      <c r="G11" s="1">
        <v>300.0</v>
      </c>
      <c r="H11" s="1" t="s">
        <v>50</v>
      </c>
      <c r="I11" s="1">
        <v>63.0</v>
      </c>
      <c r="J11" s="1">
        <v>41.0</v>
      </c>
      <c r="K11" s="1">
        <v>41.0</v>
      </c>
      <c r="L11" s="1">
        <v>22.0</v>
      </c>
      <c r="M11" s="1">
        <v>22.0</v>
      </c>
      <c r="N11" s="1" t="s">
        <v>51</v>
      </c>
      <c r="O11" s="1">
        <v>48.0</v>
      </c>
      <c r="P11" s="1">
        <v>34.0</v>
      </c>
      <c r="Q11" s="1">
        <v>34.0</v>
      </c>
      <c r="R11" s="1">
        <v>14.0</v>
      </c>
      <c r="S11" s="1">
        <v>14.0</v>
      </c>
      <c r="T11" s="1" t="s">
        <v>52</v>
      </c>
      <c r="U11" s="1">
        <v>57.0</v>
      </c>
      <c r="V11" s="1">
        <v>25.0</v>
      </c>
      <c r="W11" s="1">
        <v>25.0</v>
      </c>
      <c r="X11" s="1">
        <v>32.0</v>
      </c>
      <c r="Y11" s="1">
        <v>32.0</v>
      </c>
      <c r="Z11" s="1" t="s">
        <v>53</v>
      </c>
      <c r="AA11" s="1">
        <v>55.0</v>
      </c>
      <c r="AB11" s="1">
        <v>25.0</v>
      </c>
      <c r="AC11" s="1">
        <v>25.0</v>
      </c>
      <c r="AD11" s="1">
        <v>30.0</v>
      </c>
      <c r="AE11" s="1">
        <v>30.0</v>
      </c>
      <c r="AF11" s="1" t="s">
        <v>54</v>
      </c>
      <c r="AG11" s="1">
        <v>47.0</v>
      </c>
      <c r="AH11" s="1">
        <v>25.0</v>
      </c>
      <c r="AI11" s="1">
        <v>25.0</v>
      </c>
      <c r="AJ11" s="1">
        <v>22.0</v>
      </c>
      <c r="AK11" s="1">
        <v>22.0</v>
      </c>
      <c r="AL11" s="1">
        <v>270.0</v>
      </c>
      <c r="AM11" s="1" t="s">
        <v>55</v>
      </c>
      <c r="AN11" s="1">
        <v>30.0</v>
      </c>
      <c r="AO11" s="1">
        <v>30.0</v>
      </c>
      <c r="AP11" s="1" t="s">
        <v>117</v>
      </c>
      <c r="AQ11" s="2" t="str">
        <f>HYPERLINK("https://icf.clappia.com/app/GMB253374/submission/HVD62101551/ICF247370-GMB253374-a9e9m99lopbm0000000/SIG-20250630_12237kn7a.jpeg", "SIG-20250630_12237kn7a.jpeg")</f>
        <v>SIG-20250630_12237kn7a.jpeg</v>
      </c>
      <c r="AR11" s="1" t="s">
        <v>118</v>
      </c>
      <c r="AS11" s="2" t="str">
        <f>HYPERLINK("https://icf.clappia.com/app/GMB253374/submission/HVD62101551/ICF247370-GMB253374-4cj5j22ca81c00000000/SIG-20250630_1223npeep.jpeg", "SIG-20250630_1223npeep.jpeg")</f>
        <v>SIG-20250630_1223npeep.jpeg</v>
      </c>
      <c r="AT11" s="1" t="s">
        <v>119</v>
      </c>
      <c r="AU11" s="2" t="str">
        <f>HYPERLINK("https://icf.clappia.com/app/GMB253374/submission/HVD62101551/ICF247370-GMB253374-k4djjn5f1hjm0000000/SIG-20250630_12285o5jh.jpeg", "SIG-20250630_12285o5jh.jpeg")</f>
        <v>SIG-20250630_12285o5jh.jpeg</v>
      </c>
      <c r="AV11" s="2" t="str">
        <f>HYPERLINK("https://www.google.com/maps/place/8.9515667%2C-12.224055", "8.9515667,-12.224055")</f>
        <v>8.9515667,-12.224055</v>
      </c>
    </row>
    <row r="12" ht="15.75" customHeight="1">
      <c r="A12" s="1" t="s">
        <v>120</v>
      </c>
      <c r="B12" s="1" t="s">
        <v>60</v>
      </c>
      <c r="C12" s="1" t="s">
        <v>121</v>
      </c>
      <c r="D12" s="1" t="s">
        <v>121</v>
      </c>
      <c r="E12" s="1" t="s">
        <v>122</v>
      </c>
      <c r="F12" s="1" t="s">
        <v>49</v>
      </c>
      <c r="G12" s="1">
        <v>66.0</v>
      </c>
      <c r="H12" s="1" t="s">
        <v>50</v>
      </c>
      <c r="I12" s="1">
        <v>10.0</v>
      </c>
      <c r="J12" s="1">
        <v>5.0</v>
      </c>
      <c r="K12" s="1">
        <v>5.0</v>
      </c>
      <c r="L12" s="1">
        <v>5.0</v>
      </c>
      <c r="M12" s="1">
        <v>5.0</v>
      </c>
      <c r="N12" s="1" t="s">
        <v>51</v>
      </c>
      <c r="O12" s="1">
        <v>13.0</v>
      </c>
      <c r="P12" s="1">
        <v>9.0</v>
      </c>
      <c r="Q12" s="1">
        <v>4.0</v>
      </c>
      <c r="R12" s="1">
        <v>4.0</v>
      </c>
      <c r="S12" s="1">
        <v>1.0</v>
      </c>
      <c r="T12" s="1" t="s">
        <v>52</v>
      </c>
      <c r="U12" s="1">
        <v>7.0</v>
      </c>
      <c r="V12" s="1">
        <v>4.0</v>
      </c>
      <c r="W12" s="1">
        <v>1.0</v>
      </c>
      <c r="X12" s="1">
        <v>3.0</v>
      </c>
      <c r="Y12" s="1">
        <v>2.0</v>
      </c>
      <c r="Z12" s="1" t="s">
        <v>53</v>
      </c>
      <c r="AA12" s="1">
        <v>7.0</v>
      </c>
      <c r="AB12" s="1">
        <v>3.0</v>
      </c>
      <c r="AC12" s="1">
        <v>2.0</v>
      </c>
      <c r="AD12" s="1">
        <v>4.0</v>
      </c>
      <c r="AE12" s="1">
        <v>3.0</v>
      </c>
      <c r="AF12" s="1" t="s">
        <v>54</v>
      </c>
      <c r="AG12" s="1">
        <v>5.0</v>
      </c>
      <c r="AH12" s="1">
        <v>1.0</v>
      </c>
      <c r="AI12" s="1">
        <v>1.0</v>
      </c>
      <c r="AJ12" s="1">
        <v>4.0</v>
      </c>
      <c r="AK12" s="1" t="s">
        <v>55</v>
      </c>
      <c r="AL12" s="1">
        <v>24.0</v>
      </c>
      <c r="AM12" s="1">
        <v>10.0</v>
      </c>
      <c r="AN12" s="1">
        <v>32.0</v>
      </c>
      <c r="AO12" s="1">
        <v>32.0</v>
      </c>
      <c r="AP12" s="1" t="s">
        <v>123</v>
      </c>
      <c r="AQ12" s="2" t="str">
        <f>HYPERLINK("https://icf.clappia.com/app/GMB253374/submission/UAL61708653/ICF247370-GMB253374-1jdkne8e4jkn20000000/SIG-20250630_121310l4l.jpeg", "SIG-20250630_121310l4l.jpeg")</f>
        <v>SIG-20250630_121310l4l.jpeg</v>
      </c>
      <c r="AR12" s="1" t="s">
        <v>124</v>
      </c>
      <c r="AS12" s="2" t="str">
        <f>HYPERLINK("https://icf.clappia.com/app/GMB253374/submission/UAL61708653/ICF247370-GMB253374-61cf5ee396km000000/SIG-20250630_121416b0fd.jpeg", "SIG-20250630_121416b0fd.jpeg")</f>
        <v>SIG-20250630_121416b0fd.jpeg</v>
      </c>
      <c r="AT12" s="1" t="s">
        <v>125</v>
      </c>
      <c r="AU12" s="2" t="str">
        <f>HYPERLINK("https://icf.clappia.com/app/GMB253374/submission/UAL61708653/ICF247370-GMB253374-675bdd3l86n600000000/SIG-20250630_1218mmll9.jpeg", "SIG-20250630_1218mmll9.jpeg")</f>
        <v>SIG-20250630_1218mmll9.jpeg</v>
      </c>
      <c r="AV12" s="2" t="str">
        <f>HYPERLINK("https://www.google.com/maps/place/7.9474455%2C-11.6825576", "7.9474455,-11.6825576")</f>
        <v>7.9474455,-11.6825576</v>
      </c>
    </row>
    <row r="13" ht="15.75" customHeight="1">
      <c r="A13" s="1" t="s">
        <v>126</v>
      </c>
      <c r="B13" s="1" t="s">
        <v>127</v>
      </c>
      <c r="C13" s="1" t="s">
        <v>128</v>
      </c>
      <c r="D13" s="1" t="s">
        <v>128</v>
      </c>
      <c r="E13" s="1" t="s">
        <v>129</v>
      </c>
      <c r="F13" s="1" t="s">
        <v>64</v>
      </c>
      <c r="G13" s="1">
        <v>150.0</v>
      </c>
      <c r="H13" s="1" t="s">
        <v>50</v>
      </c>
      <c r="I13" s="1">
        <v>68.0</v>
      </c>
      <c r="J13" s="1">
        <v>35.0</v>
      </c>
      <c r="K13" s="1">
        <v>25.0</v>
      </c>
      <c r="L13" s="1">
        <v>33.0</v>
      </c>
      <c r="M13" s="1">
        <v>24.0</v>
      </c>
      <c r="N13" s="1" t="s">
        <v>51</v>
      </c>
      <c r="O13" s="1">
        <v>60.0</v>
      </c>
      <c r="P13" s="1">
        <v>31.0</v>
      </c>
      <c r="Q13" s="1">
        <v>20.0</v>
      </c>
      <c r="R13" s="1">
        <v>29.0</v>
      </c>
      <c r="S13" s="1">
        <v>18.0</v>
      </c>
      <c r="T13" s="1" t="s">
        <v>52</v>
      </c>
      <c r="U13" s="1">
        <v>53.0</v>
      </c>
      <c r="V13" s="1">
        <v>28.0</v>
      </c>
      <c r="W13" s="1">
        <v>18.0</v>
      </c>
      <c r="X13" s="1">
        <v>25.0</v>
      </c>
      <c r="Y13" s="1">
        <v>16.0</v>
      </c>
      <c r="Z13" s="1" t="s">
        <v>53</v>
      </c>
      <c r="AA13" s="1">
        <v>44.0</v>
      </c>
      <c r="AB13" s="1">
        <v>25.0</v>
      </c>
      <c r="AC13" s="1">
        <v>8.0</v>
      </c>
      <c r="AD13" s="1">
        <v>19.0</v>
      </c>
      <c r="AE13" s="1">
        <v>4.0</v>
      </c>
      <c r="AF13" s="1" t="s">
        <v>54</v>
      </c>
      <c r="AG13" s="1">
        <v>34.0</v>
      </c>
      <c r="AH13" s="1">
        <v>18.0</v>
      </c>
      <c r="AI13" s="1">
        <v>10.0</v>
      </c>
      <c r="AJ13" s="1">
        <v>16.0</v>
      </c>
      <c r="AK13" s="1">
        <v>7.0</v>
      </c>
      <c r="AL13" s="1">
        <v>150.0</v>
      </c>
      <c r="AM13" s="1" t="s">
        <v>55</v>
      </c>
      <c r="AN13" s="1" t="s">
        <v>55</v>
      </c>
      <c r="AO13" s="1" t="s">
        <v>55</v>
      </c>
      <c r="AP13" s="1" t="s">
        <v>130</v>
      </c>
      <c r="AQ13" s="2" t="str">
        <f>HYPERLINK("https://icf.clappia.com/app/GMB253374/submission/ZFJ65860817/ICF247370-GMB253374-24861f4ja20480000000/SIG-20250630_1213pke54.jpeg", "SIG-20250630_1213pke54.jpeg")</f>
        <v>SIG-20250630_1213pke54.jpeg</v>
      </c>
      <c r="AR13" s="1" t="s">
        <v>131</v>
      </c>
      <c r="AS13" s="2" t="str">
        <f>HYPERLINK("https://icf.clappia.com/app/GMB253374/submission/ZFJ65860817/ICF247370-GMB253374-2m4b5opaaohi00000000/SIG-20250630_1214ge8ka.jpeg", "SIG-20250630_1214ge8ka.jpeg")</f>
        <v>SIG-20250630_1214ge8ka.jpeg</v>
      </c>
      <c r="AT13" s="1" t="s">
        <v>132</v>
      </c>
      <c r="AU13" s="2" t="str">
        <f>HYPERLINK("https://icf.clappia.com/app/GMB253374/submission/ZFJ65860817/ICF247370-GMB253374-llchfk3c47520000000/SIG-20250630_121715fikh.jpeg", "SIG-20250630_121715fikh.jpeg")</f>
        <v>SIG-20250630_121715fikh.jpeg</v>
      </c>
      <c r="AV13" s="2" t="str">
        <f>HYPERLINK("https://www.google.com/maps/place/7.439225%2C-11.8886374", "7.439225,-11.8886374")</f>
        <v>7.439225,-11.8886374</v>
      </c>
    </row>
    <row r="14" ht="15.75" customHeight="1">
      <c r="A14" s="1" t="s">
        <v>133</v>
      </c>
      <c r="B14" s="1" t="s">
        <v>46</v>
      </c>
      <c r="C14" s="1" t="s">
        <v>134</v>
      </c>
      <c r="D14" s="1" t="s">
        <v>134</v>
      </c>
      <c r="E14" s="1" t="s">
        <v>135</v>
      </c>
      <c r="F14" s="1" t="s">
        <v>49</v>
      </c>
      <c r="G14" s="1">
        <v>150.0</v>
      </c>
      <c r="H14" s="1" t="s">
        <v>50</v>
      </c>
      <c r="I14" s="1">
        <v>43.0</v>
      </c>
      <c r="J14" s="1">
        <v>25.0</v>
      </c>
      <c r="K14" s="1">
        <v>19.0</v>
      </c>
      <c r="L14" s="1">
        <v>18.0</v>
      </c>
      <c r="M14" s="1">
        <v>16.0</v>
      </c>
      <c r="N14" s="1" t="s">
        <v>51</v>
      </c>
      <c r="O14" s="1">
        <v>34.0</v>
      </c>
      <c r="P14" s="1">
        <v>18.0</v>
      </c>
      <c r="Q14" s="1">
        <v>18.0</v>
      </c>
      <c r="R14" s="1">
        <v>16.0</v>
      </c>
      <c r="S14" s="1">
        <v>16.0</v>
      </c>
      <c r="T14" s="1" t="s">
        <v>52</v>
      </c>
      <c r="U14" s="1">
        <v>18.0</v>
      </c>
      <c r="V14" s="1">
        <v>7.0</v>
      </c>
      <c r="W14" s="1">
        <v>7.0</v>
      </c>
      <c r="X14" s="1">
        <v>11.0</v>
      </c>
      <c r="Y14" s="1">
        <v>11.0</v>
      </c>
      <c r="Z14" s="1" t="s">
        <v>53</v>
      </c>
      <c r="AA14" s="1">
        <v>6.0</v>
      </c>
      <c r="AB14" s="1">
        <v>2.0</v>
      </c>
      <c r="AC14" s="1">
        <v>2.0</v>
      </c>
      <c r="AD14" s="1">
        <v>4.0</v>
      </c>
      <c r="AE14" s="1">
        <v>3.0</v>
      </c>
      <c r="AF14" s="1" t="s">
        <v>54</v>
      </c>
      <c r="AG14" s="1">
        <v>14.0</v>
      </c>
      <c r="AH14" s="1">
        <v>7.0</v>
      </c>
      <c r="AI14" s="1">
        <v>7.0</v>
      </c>
      <c r="AJ14" s="1">
        <v>7.0</v>
      </c>
      <c r="AK14" s="1">
        <v>6.0</v>
      </c>
      <c r="AL14" s="1">
        <v>105.0</v>
      </c>
      <c r="AM14" s="1">
        <v>10.0</v>
      </c>
      <c r="AN14" s="1">
        <v>35.0</v>
      </c>
      <c r="AO14" s="1">
        <v>35.0</v>
      </c>
      <c r="AP14" s="1" t="s">
        <v>136</v>
      </c>
      <c r="AQ14" s="2" t="str">
        <f>HYPERLINK("https://icf.clappia.com/app/GMB253374/submission/SSQ62369537/ICF247370-GMB253374-i4i8b5n5aohe0000000/SIG-20250630_1100dggje.jpeg", "SIG-20250630_1100dggje.jpeg")</f>
        <v>SIG-20250630_1100dggje.jpeg</v>
      </c>
      <c r="AR14" s="1" t="s">
        <v>137</v>
      </c>
      <c r="AS14" s="2" t="str">
        <f>HYPERLINK("https://icf.clappia.com/app/GMB253374/submission/SSQ62369537/ICF247370-GMB253374-3ld3mi7jld1c00000000/SIG-20250630_11001n815.jpeg", "SIG-20250630_11001n815.jpeg")</f>
        <v>SIG-20250630_11001n815.jpeg</v>
      </c>
      <c r="AT14" s="1" t="s">
        <v>138</v>
      </c>
      <c r="AU14" s="2" t="str">
        <f>HYPERLINK("https://icf.clappia.com/app/GMB253374/submission/SSQ62369537/ICF247370-GMB253374-4o2lapkae6oa00000000/SIG-20250630_1101e2ph8.jpeg", "SIG-20250630_1101e2ph8.jpeg")</f>
        <v>SIG-20250630_1101e2ph8.jpeg</v>
      </c>
      <c r="AV14" s="2" t="str">
        <f>HYPERLINK("https://www.google.com/maps/place/9.0299533%2C-12.15762", "9.0299533,-12.15762")</f>
        <v>9.0299533,-12.15762</v>
      </c>
    </row>
    <row r="15" ht="15.75" customHeight="1">
      <c r="A15" s="1" t="s">
        <v>139</v>
      </c>
      <c r="B15" s="1" t="s">
        <v>88</v>
      </c>
      <c r="C15" s="1" t="s">
        <v>140</v>
      </c>
      <c r="D15" s="1" t="s">
        <v>140</v>
      </c>
      <c r="E15" s="1" t="s">
        <v>141</v>
      </c>
      <c r="F15" s="1" t="s">
        <v>64</v>
      </c>
      <c r="G15" s="1">
        <v>76.0</v>
      </c>
      <c r="H15" s="1" t="s">
        <v>50</v>
      </c>
      <c r="I15" s="1">
        <v>17.0</v>
      </c>
      <c r="J15" s="1">
        <v>8.0</v>
      </c>
      <c r="K15" s="1">
        <v>8.0</v>
      </c>
      <c r="L15" s="1">
        <v>9.0</v>
      </c>
      <c r="M15" s="1">
        <v>9.0</v>
      </c>
      <c r="N15" s="1" t="s">
        <v>51</v>
      </c>
      <c r="O15" s="1">
        <v>23.0</v>
      </c>
      <c r="P15" s="1">
        <v>13.0</v>
      </c>
      <c r="Q15" s="1">
        <v>13.0</v>
      </c>
      <c r="R15" s="1">
        <v>10.0</v>
      </c>
      <c r="S15" s="1">
        <v>10.0</v>
      </c>
      <c r="T15" s="1" t="s">
        <v>52</v>
      </c>
      <c r="U15" s="1">
        <v>12.0</v>
      </c>
      <c r="V15" s="1">
        <v>7.0</v>
      </c>
      <c r="W15" s="1">
        <v>7.0</v>
      </c>
      <c r="X15" s="1">
        <v>5.0</v>
      </c>
      <c r="Y15" s="1">
        <v>5.0</v>
      </c>
      <c r="Z15" s="1" t="s">
        <v>53</v>
      </c>
      <c r="AA15" s="1">
        <v>13.0</v>
      </c>
      <c r="AB15" s="1">
        <v>5.0</v>
      </c>
      <c r="AC15" s="1">
        <v>5.0</v>
      </c>
      <c r="AD15" s="1">
        <v>8.0</v>
      </c>
      <c r="AE15" s="1">
        <v>8.0</v>
      </c>
      <c r="AF15" s="1" t="s">
        <v>54</v>
      </c>
      <c r="AG15" s="1">
        <v>11.0</v>
      </c>
      <c r="AH15" s="1">
        <v>6.0</v>
      </c>
      <c r="AI15" s="1">
        <v>6.0</v>
      </c>
      <c r="AJ15" s="1">
        <v>5.0</v>
      </c>
      <c r="AK15" s="1">
        <v>5.0</v>
      </c>
      <c r="AL15" s="1">
        <v>76.0</v>
      </c>
      <c r="AM15" s="1" t="s">
        <v>55</v>
      </c>
      <c r="AN15" s="1" t="s">
        <v>55</v>
      </c>
      <c r="AO15" s="1" t="s">
        <v>55</v>
      </c>
      <c r="AP15" s="1" t="s">
        <v>142</v>
      </c>
      <c r="AQ15" s="2" t="str">
        <f>HYPERLINK("https://icf.clappia.com/app/GMB253374/submission/DEW52932994/ICF247370-GMB253374-2olb2684maic00000000/SIG-20250630_09517f36l.jpeg", "SIG-20250630_09517f36l.jpeg")</f>
        <v>SIG-20250630_09517f36l.jpeg</v>
      </c>
      <c r="AR15" s="1" t="s">
        <v>143</v>
      </c>
      <c r="AS15" s="2" t="str">
        <f>HYPERLINK("https://icf.clappia.com/app/GMB253374/submission/DEW52932994/ICF247370-GMB253374-42jod7eipb7000000000/SIG-20250630_0952e4o0f.jpeg", "SIG-20250630_0952e4o0f.jpeg")</f>
        <v>SIG-20250630_0952e4o0f.jpeg</v>
      </c>
      <c r="AT15" s="1" t="s">
        <v>144</v>
      </c>
      <c r="AU15" s="2" t="str">
        <f>HYPERLINK("https://icf.clappia.com/app/GMB253374/submission/DEW52932994/ICF247370-GMB253374-48c7om0c6hpm00000000/SIG-20250630_110610o59p.jpeg", "SIG-20250630_110610o59p.jpeg")</f>
        <v>SIG-20250630_110610o59p.jpeg</v>
      </c>
      <c r="AV15" s="2" t="str">
        <f>HYPERLINK("https://www.google.com/maps/place/7.991295%2C-11.86878", "7.991295,-11.86878")</f>
        <v>7.991295,-11.86878</v>
      </c>
    </row>
    <row r="16" ht="15.75" customHeight="1">
      <c r="A16" s="1" t="s">
        <v>145</v>
      </c>
      <c r="B16" s="1" t="s">
        <v>146</v>
      </c>
      <c r="C16" s="1" t="s">
        <v>147</v>
      </c>
      <c r="D16" s="1" t="s">
        <v>147</v>
      </c>
      <c r="E16" s="1" t="s">
        <v>148</v>
      </c>
      <c r="F16" s="1" t="s">
        <v>64</v>
      </c>
      <c r="G16" s="1">
        <v>165.0</v>
      </c>
      <c r="H16" s="1" t="s">
        <v>50</v>
      </c>
      <c r="I16" s="1">
        <v>60.0</v>
      </c>
      <c r="J16" s="1">
        <v>35.0</v>
      </c>
      <c r="K16" s="1">
        <v>31.0</v>
      </c>
      <c r="L16" s="1">
        <v>25.0</v>
      </c>
      <c r="M16" s="1">
        <v>18.0</v>
      </c>
      <c r="N16" s="1" t="s">
        <v>51</v>
      </c>
      <c r="O16" s="1">
        <v>36.0</v>
      </c>
      <c r="P16" s="1">
        <v>19.0</v>
      </c>
      <c r="Q16" s="1">
        <v>15.0</v>
      </c>
      <c r="R16" s="1">
        <v>17.0</v>
      </c>
      <c r="S16" s="1">
        <v>7.0</v>
      </c>
      <c r="T16" s="1" t="s">
        <v>52</v>
      </c>
      <c r="U16" s="1">
        <v>47.0</v>
      </c>
      <c r="V16" s="1">
        <v>25.0</v>
      </c>
      <c r="W16" s="1">
        <v>15.0</v>
      </c>
      <c r="X16" s="1">
        <v>22.0</v>
      </c>
      <c r="Y16" s="1">
        <v>22.0</v>
      </c>
      <c r="Z16" s="1" t="s">
        <v>53</v>
      </c>
      <c r="AA16" s="1">
        <v>32.0</v>
      </c>
      <c r="AB16" s="1">
        <v>16.0</v>
      </c>
      <c r="AC16" s="1">
        <v>14.0</v>
      </c>
      <c r="AD16" s="1">
        <v>16.0</v>
      </c>
      <c r="AE16" s="1">
        <v>14.0</v>
      </c>
      <c r="AF16" s="1" t="s">
        <v>54</v>
      </c>
      <c r="AG16" s="1">
        <v>13.0</v>
      </c>
      <c r="AH16" s="1">
        <v>5.0</v>
      </c>
      <c r="AI16" s="1">
        <v>5.0</v>
      </c>
      <c r="AJ16" s="1">
        <v>8.0</v>
      </c>
      <c r="AK16" s="1">
        <v>8.0</v>
      </c>
      <c r="AL16" s="1">
        <v>149.0</v>
      </c>
      <c r="AM16" s="1" t="s">
        <v>55</v>
      </c>
      <c r="AN16" s="1">
        <v>16.0</v>
      </c>
      <c r="AO16" s="1">
        <v>16.0</v>
      </c>
      <c r="AP16" s="1" t="s">
        <v>149</v>
      </c>
      <c r="AQ16" s="2" t="str">
        <f>HYPERLINK("https://icf.clappia.com/app/GMB253374/submission/LVH98427672/ICF247370-GMB253374-5n7816hdmhg400000000/SIG-20250630_12018pnc6.jpeg", "SIG-20250630_12018pnc6.jpeg")</f>
        <v>SIG-20250630_12018pnc6.jpeg</v>
      </c>
      <c r="AR16" s="1" t="s">
        <v>150</v>
      </c>
      <c r="AS16" s="2" t="str">
        <f>HYPERLINK("https://icf.clappia.com/app/GMB253374/submission/LVH98427672/ICF247370-GMB253374-3af9ppd4629600000000/SIG-20250630_1204jak1f.jpeg", "SIG-20250630_1204jak1f.jpeg")</f>
        <v>SIG-20250630_1204jak1f.jpeg</v>
      </c>
      <c r="AT16" s="1" t="s">
        <v>151</v>
      </c>
      <c r="AU16" s="2" t="str">
        <f>HYPERLINK("https://icf.clappia.com/app/GMB253374/submission/LVH98427672/ICF247370-GMB253374-5cp7o9c7m10800000000/SIG-20250630_120610h455.jpeg", "SIG-20250630_120610h455.jpeg")</f>
        <v>SIG-20250630_120610h455.jpeg</v>
      </c>
      <c r="AV16" s="2" t="str">
        <f>HYPERLINK("https://www.google.com/maps/place/9.0177183%2C-12.0442283", "9.0177183,-12.0442283")</f>
        <v>9.0177183,-12.0442283</v>
      </c>
    </row>
    <row r="17" ht="15.75" customHeight="1">
      <c r="A17" s="1" t="s">
        <v>152</v>
      </c>
      <c r="B17" s="1" t="s">
        <v>153</v>
      </c>
      <c r="C17" s="1" t="s">
        <v>147</v>
      </c>
      <c r="D17" s="1" t="s">
        <v>147</v>
      </c>
      <c r="E17" s="1" t="s">
        <v>154</v>
      </c>
      <c r="F17" s="1" t="s">
        <v>64</v>
      </c>
      <c r="G17" s="1">
        <v>200.0</v>
      </c>
      <c r="H17" s="1" t="s">
        <v>50</v>
      </c>
      <c r="I17" s="1">
        <v>55.0</v>
      </c>
      <c r="J17" s="1">
        <v>25.0</v>
      </c>
      <c r="K17" s="1">
        <v>14.0</v>
      </c>
      <c r="L17" s="1">
        <v>30.0</v>
      </c>
      <c r="M17" s="1">
        <v>18.0</v>
      </c>
      <c r="N17" s="1" t="s">
        <v>51</v>
      </c>
      <c r="O17" s="1">
        <v>50.0</v>
      </c>
      <c r="P17" s="1">
        <v>20.0</v>
      </c>
      <c r="Q17" s="1">
        <v>10.0</v>
      </c>
      <c r="R17" s="1">
        <v>30.0</v>
      </c>
      <c r="S17" s="1">
        <v>10.0</v>
      </c>
      <c r="T17" s="1" t="s">
        <v>52</v>
      </c>
      <c r="U17" s="1">
        <v>37.0</v>
      </c>
      <c r="V17" s="1">
        <v>27.0</v>
      </c>
      <c r="W17" s="1">
        <v>7.0</v>
      </c>
      <c r="X17" s="1">
        <v>10.0</v>
      </c>
      <c r="Y17" s="1">
        <v>6.0</v>
      </c>
      <c r="Z17" s="1" t="s">
        <v>53</v>
      </c>
      <c r="AA17" s="1">
        <v>20.0</v>
      </c>
      <c r="AB17" s="1">
        <v>8.0</v>
      </c>
      <c r="AC17" s="1">
        <v>5.0</v>
      </c>
      <c r="AD17" s="1">
        <v>12.0</v>
      </c>
      <c r="AE17" s="1">
        <v>9.0</v>
      </c>
      <c r="AF17" s="1" t="s">
        <v>54</v>
      </c>
      <c r="AG17" s="1">
        <v>15.0</v>
      </c>
      <c r="AH17" s="1">
        <v>7.0</v>
      </c>
      <c r="AI17" s="1">
        <v>5.0</v>
      </c>
      <c r="AJ17" s="1">
        <v>8.0</v>
      </c>
      <c r="AK17" s="1">
        <v>6.0</v>
      </c>
      <c r="AL17" s="1">
        <v>90.0</v>
      </c>
      <c r="AM17" s="1">
        <v>10.0</v>
      </c>
      <c r="AN17" s="1">
        <v>100.0</v>
      </c>
      <c r="AO17" s="1">
        <v>100.0</v>
      </c>
      <c r="AP17" s="1" t="s">
        <v>155</v>
      </c>
      <c r="AQ17" s="2" t="str">
        <f>HYPERLINK("https://icf.clappia.com/app/GMB253374/submission/UOJ36407166/ICF247370-GMB253374-3j3604emc1a200000000/SIG-20250630_115914go2b.jpeg", "SIG-20250630_115914go2b.jpeg")</f>
        <v>SIG-20250630_115914go2b.jpeg</v>
      </c>
      <c r="AR17" s="1" t="s">
        <v>156</v>
      </c>
      <c r="AS17" s="2" t="str">
        <f>HYPERLINK("https://icf.clappia.com/app/GMB253374/submission/UOJ36407166/ICF247370-GMB253374-52j8lpkaejk000000000/SIG-20250630_1159c86na.jpeg", "SIG-20250630_1159c86na.jpeg")</f>
        <v>SIG-20250630_1159c86na.jpeg</v>
      </c>
      <c r="AT17" s="1" t="s">
        <v>157</v>
      </c>
      <c r="AU17" s="2" t="str">
        <f>HYPERLINK("https://icf.clappia.com/app/GMB253374/submission/UOJ36407166/ICF247370-GMB253374-672j4daf89k800000000/SIG-20250630_12069841l.jpeg", "SIG-20250630_12069841l.jpeg")</f>
        <v>SIG-20250630_12069841l.jpeg</v>
      </c>
      <c r="AV17" s="2" t="str">
        <f>HYPERLINK("https://www.google.com/maps/place/8.87714%2C-12.0952533", "8.87714,-12.0952533")</f>
        <v>8.87714,-12.0952533</v>
      </c>
    </row>
    <row r="18" ht="15.75" customHeight="1">
      <c r="A18" s="1" t="s">
        <v>158</v>
      </c>
      <c r="B18" s="1" t="s">
        <v>159</v>
      </c>
      <c r="C18" s="1" t="s">
        <v>160</v>
      </c>
      <c r="D18" s="1" t="s">
        <v>160</v>
      </c>
      <c r="E18" s="1" t="s">
        <v>161</v>
      </c>
      <c r="F18" s="1" t="s">
        <v>64</v>
      </c>
      <c r="G18" s="1">
        <v>154.0</v>
      </c>
      <c r="H18" s="1" t="s">
        <v>50</v>
      </c>
      <c r="I18" s="1">
        <v>43.0</v>
      </c>
      <c r="J18" s="1">
        <v>20.0</v>
      </c>
      <c r="K18" s="1">
        <v>20.0</v>
      </c>
      <c r="L18" s="1">
        <v>23.0</v>
      </c>
      <c r="M18" s="1">
        <v>23.0</v>
      </c>
      <c r="N18" s="1" t="s">
        <v>51</v>
      </c>
      <c r="O18" s="1">
        <v>35.0</v>
      </c>
      <c r="P18" s="1">
        <v>17.0</v>
      </c>
      <c r="Q18" s="1">
        <v>17.0</v>
      </c>
      <c r="R18" s="1">
        <v>18.0</v>
      </c>
      <c r="S18" s="1">
        <v>18.0</v>
      </c>
      <c r="T18" s="1" t="s">
        <v>52</v>
      </c>
      <c r="U18" s="1">
        <v>32.0</v>
      </c>
      <c r="V18" s="1">
        <v>12.0</v>
      </c>
      <c r="W18" s="1">
        <v>12.0</v>
      </c>
      <c r="X18" s="1">
        <v>20.0</v>
      </c>
      <c r="Y18" s="1">
        <v>20.0</v>
      </c>
      <c r="Z18" s="1" t="s">
        <v>53</v>
      </c>
      <c r="AA18" s="1">
        <v>24.0</v>
      </c>
      <c r="AB18" s="1">
        <v>10.0</v>
      </c>
      <c r="AC18" s="1">
        <v>10.0</v>
      </c>
      <c r="AD18" s="1">
        <v>14.0</v>
      </c>
      <c r="AE18" s="1">
        <v>14.0</v>
      </c>
      <c r="AF18" s="1" t="s">
        <v>54</v>
      </c>
      <c r="AG18" s="1">
        <v>20.0</v>
      </c>
      <c r="AH18" s="1">
        <v>10.0</v>
      </c>
      <c r="AI18" s="1">
        <v>10.0</v>
      </c>
      <c r="AJ18" s="1">
        <v>10.0</v>
      </c>
      <c r="AK18" s="1">
        <v>10.0</v>
      </c>
      <c r="AL18" s="1">
        <v>154.0</v>
      </c>
      <c r="AM18" s="1" t="s">
        <v>55</v>
      </c>
      <c r="AN18" s="1" t="s">
        <v>55</v>
      </c>
      <c r="AO18" s="1" t="s">
        <v>55</v>
      </c>
      <c r="AP18" s="1" t="s">
        <v>162</v>
      </c>
      <c r="AQ18" s="2" t="str">
        <f>HYPERLINK("https://icf.clappia.com/app/GMB253374/submission/IAB95995918/ICF247370-GMB253374-3fj48po403b400000000/SIG-20250630_1039aaoii.jpeg", "SIG-20250630_1039aaoii.jpeg")</f>
        <v>SIG-20250630_1039aaoii.jpeg</v>
      </c>
      <c r="AR18" s="1" t="s">
        <v>163</v>
      </c>
      <c r="AS18" s="2" t="str">
        <f>HYPERLINK("https://icf.clappia.com/app/GMB253374/submission/IAB95995918/ICF247370-GMB253374-hkla5cg5p81e0000000/SIG-20250630_1039dfh8g.jpeg", "SIG-20250630_1039dfh8g.jpeg")</f>
        <v>SIG-20250630_1039dfh8g.jpeg</v>
      </c>
      <c r="AT18" s="1" t="s">
        <v>164</v>
      </c>
      <c r="AU18" s="2" t="str">
        <f>HYPERLINK("https://icf.clappia.com/app/GMB253374/submission/IAB95995918/ICF247370-GMB253374-26l4p83c7p43a0000000/SIG-20250630_1042akkeb.jpeg", "SIG-20250630_1042akkeb.jpeg")</f>
        <v>SIG-20250630_1042akkeb.jpeg</v>
      </c>
      <c r="AV18" s="2" t="str">
        <f>HYPERLINK("https://www.google.com/maps/place/7.86584%2C-11.706605", "7.86584,-11.706605")</f>
        <v>7.86584,-11.706605</v>
      </c>
    </row>
    <row r="19" ht="15.75" customHeight="1">
      <c r="A19" s="1" t="s">
        <v>165</v>
      </c>
      <c r="B19" s="1" t="s">
        <v>159</v>
      </c>
      <c r="C19" s="1" t="s">
        <v>166</v>
      </c>
      <c r="D19" s="1" t="s">
        <v>166</v>
      </c>
      <c r="E19" s="1" t="s">
        <v>167</v>
      </c>
      <c r="F19" s="1" t="s">
        <v>49</v>
      </c>
      <c r="G19" s="1">
        <v>140.0</v>
      </c>
      <c r="H19" s="1" t="s">
        <v>50</v>
      </c>
      <c r="I19" s="1">
        <v>25.0</v>
      </c>
      <c r="J19" s="1">
        <v>12.0</v>
      </c>
      <c r="K19" s="1">
        <v>12.0</v>
      </c>
      <c r="L19" s="1">
        <v>13.0</v>
      </c>
      <c r="M19" s="1">
        <v>13.0</v>
      </c>
      <c r="N19" s="1" t="s">
        <v>51</v>
      </c>
      <c r="O19" s="1">
        <v>35.0</v>
      </c>
      <c r="P19" s="1">
        <v>20.0</v>
      </c>
      <c r="Q19" s="1">
        <v>20.0</v>
      </c>
      <c r="R19" s="1">
        <v>15.0</v>
      </c>
      <c r="S19" s="1">
        <v>15.0</v>
      </c>
      <c r="T19" s="1" t="s">
        <v>52</v>
      </c>
      <c r="U19" s="1">
        <v>30.0</v>
      </c>
      <c r="V19" s="1">
        <v>10.0</v>
      </c>
      <c r="W19" s="1">
        <v>10.0</v>
      </c>
      <c r="X19" s="1">
        <v>20.0</v>
      </c>
      <c r="Y19" s="1">
        <v>20.0</v>
      </c>
      <c r="Z19" s="1" t="s">
        <v>53</v>
      </c>
      <c r="AA19" s="1">
        <v>25.0</v>
      </c>
      <c r="AB19" s="1">
        <v>15.0</v>
      </c>
      <c r="AC19" s="1">
        <v>15.0</v>
      </c>
      <c r="AD19" s="1">
        <v>10.0</v>
      </c>
      <c r="AE19" s="1">
        <v>10.0</v>
      </c>
      <c r="AF19" s="1" t="s">
        <v>54</v>
      </c>
      <c r="AG19" s="1">
        <v>25.0</v>
      </c>
      <c r="AH19" s="1">
        <v>15.0</v>
      </c>
      <c r="AI19" s="1">
        <v>15.0</v>
      </c>
      <c r="AJ19" s="1">
        <v>10.0</v>
      </c>
      <c r="AK19" s="1">
        <v>10.0</v>
      </c>
      <c r="AL19" s="1">
        <v>140.0</v>
      </c>
      <c r="AM19" s="1" t="s">
        <v>55</v>
      </c>
      <c r="AN19" s="1" t="s">
        <v>55</v>
      </c>
      <c r="AO19" s="1" t="s">
        <v>55</v>
      </c>
      <c r="AP19" s="1" t="s">
        <v>168</v>
      </c>
      <c r="AQ19" s="2" t="str">
        <f>HYPERLINK("https://icf.clappia.com/app/GMB253374/submission/TAR58962652/ICF247370-GMB253374-1lggc8mcai4pg0000000/SIG-20250630_10413g23f.jpeg", "SIG-20250630_10413g23f.jpeg")</f>
        <v>SIG-20250630_10413g23f.jpeg</v>
      </c>
      <c r="AR19" s="1" t="s">
        <v>169</v>
      </c>
      <c r="AS19" s="2" t="str">
        <f>HYPERLINK("https://icf.clappia.com/app/GMB253374/submission/TAR58962652/ICF247370-GMB253374-i8io46fhom0o0000000/SIG-20250630_1041jh982.jpeg", "SIG-20250630_1041jh982.jpeg")</f>
        <v>SIG-20250630_1041jh982.jpeg</v>
      </c>
      <c r="AT19" s="1" t="s">
        <v>170</v>
      </c>
      <c r="AU19" s="2" t="str">
        <f>HYPERLINK("https://icf.clappia.com/app/GMB253374/submission/TAR58962652/ICF247370-GMB253374-60i8omd7nde000000000/SIG-20250630_1049gapi4.jpeg", "SIG-20250630_1049gapi4.jpeg")</f>
        <v>SIG-20250630_1049gapi4.jpeg</v>
      </c>
      <c r="AV19" s="2" t="str">
        <f>HYPERLINK("https://www.google.com/maps/place/7.9609283%2C-11.7685717", "7.9609283,-11.7685717")</f>
        <v>7.9609283,-11.7685717</v>
      </c>
    </row>
    <row r="20" ht="15.75" customHeight="1">
      <c r="A20" s="1" t="s">
        <v>171</v>
      </c>
      <c r="B20" s="1" t="s">
        <v>159</v>
      </c>
      <c r="C20" s="1" t="s">
        <v>166</v>
      </c>
      <c r="D20" s="1" t="s">
        <v>166</v>
      </c>
      <c r="E20" s="1" t="s">
        <v>172</v>
      </c>
      <c r="F20" s="1" t="s">
        <v>64</v>
      </c>
      <c r="G20" s="1">
        <v>260.0</v>
      </c>
      <c r="H20" s="1" t="s">
        <v>50</v>
      </c>
      <c r="I20" s="1">
        <v>64.0</v>
      </c>
      <c r="J20" s="1">
        <v>34.0</v>
      </c>
      <c r="K20" s="1">
        <v>31.0</v>
      </c>
      <c r="L20" s="1">
        <v>30.0</v>
      </c>
      <c r="M20" s="1">
        <v>30.0</v>
      </c>
      <c r="N20" s="1" t="s">
        <v>51</v>
      </c>
      <c r="O20" s="1">
        <v>52.0</v>
      </c>
      <c r="P20" s="1">
        <v>28.0</v>
      </c>
      <c r="Q20" s="1">
        <v>26.0</v>
      </c>
      <c r="R20" s="1">
        <v>24.0</v>
      </c>
      <c r="S20" s="1">
        <v>23.0</v>
      </c>
      <c r="T20" s="1" t="s">
        <v>52</v>
      </c>
      <c r="U20" s="1">
        <v>46.0</v>
      </c>
      <c r="V20" s="1">
        <v>22.0</v>
      </c>
      <c r="W20" s="1">
        <v>13.0</v>
      </c>
      <c r="X20" s="1">
        <v>24.0</v>
      </c>
      <c r="Y20" s="1">
        <v>17.0</v>
      </c>
      <c r="Z20" s="1" t="s">
        <v>53</v>
      </c>
      <c r="AA20" s="1">
        <v>41.0</v>
      </c>
      <c r="AB20" s="1">
        <v>21.0</v>
      </c>
      <c r="AC20" s="1">
        <v>20.0</v>
      </c>
      <c r="AD20" s="1">
        <v>20.0</v>
      </c>
      <c r="AE20" s="1">
        <v>16.0</v>
      </c>
      <c r="AF20" s="1" t="s">
        <v>54</v>
      </c>
      <c r="AG20" s="1">
        <v>42.0</v>
      </c>
      <c r="AH20" s="1">
        <v>25.0</v>
      </c>
      <c r="AI20" s="1">
        <v>20.0</v>
      </c>
      <c r="AJ20" s="1">
        <v>17.0</v>
      </c>
      <c r="AK20" s="1">
        <v>14.0</v>
      </c>
      <c r="AL20" s="1">
        <v>210.0</v>
      </c>
      <c r="AM20" s="1" t="s">
        <v>55</v>
      </c>
      <c r="AN20" s="1">
        <v>50.0</v>
      </c>
      <c r="AO20" s="1">
        <v>50.0</v>
      </c>
      <c r="AP20" s="1" t="s">
        <v>173</v>
      </c>
      <c r="AQ20" s="2" t="str">
        <f>HYPERLINK("https://icf.clappia.com/app/GMB253374/submission/BXE49992194/ICF247370-GMB253374-plidmbg0k4bo0000000/SIG-20250630_1157enlld.jpeg", "SIG-20250630_1157enlld.jpeg")</f>
        <v>SIG-20250630_1157enlld.jpeg</v>
      </c>
      <c r="AR20" s="1" t="s">
        <v>174</v>
      </c>
      <c r="AS20" s="2" t="str">
        <f>HYPERLINK("https://icf.clappia.com/app/GMB253374/submission/BXE49992194/ICF247370-GMB253374-cf2hc92595200000000/SIG-20250630_1159bgb32.jpeg", "SIG-20250630_1159bgb32.jpeg")</f>
        <v>SIG-20250630_1159bgb32.jpeg</v>
      </c>
      <c r="AT20" s="1" t="s">
        <v>175</v>
      </c>
      <c r="AU20" s="2" t="str">
        <f>HYPERLINK("https://icf.clappia.com/app/GMB253374/submission/BXE49992194/ICF247370-GMB253374-19m08pp4ggaf20000000/SIG-20250630_115918pkad.jpeg", "SIG-20250630_115918pkad.jpeg")</f>
        <v>SIG-20250630_115918pkad.jpeg</v>
      </c>
      <c r="AV20" s="2" t="str">
        <f>HYPERLINK("https://www.google.com/maps/place/7.8651519%2C-11.7043539", "7.8651519,-11.7043539")</f>
        <v>7.8651519,-11.7043539</v>
      </c>
    </row>
    <row r="21" ht="15.75" customHeight="1">
      <c r="A21" s="1" t="s">
        <v>176</v>
      </c>
      <c r="B21" s="1" t="s">
        <v>177</v>
      </c>
      <c r="C21" s="1" t="s">
        <v>166</v>
      </c>
      <c r="D21" s="1" t="s">
        <v>166</v>
      </c>
      <c r="E21" s="1" t="s">
        <v>178</v>
      </c>
      <c r="F21" s="1" t="s">
        <v>64</v>
      </c>
      <c r="G21" s="1">
        <v>150.0</v>
      </c>
      <c r="H21" s="1" t="s">
        <v>50</v>
      </c>
      <c r="I21" s="1">
        <v>57.0</v>
      </c>
      <c r="J21" s="1">
        <v>23.0</v>
      </c>
      <c r="K21" s="1">
        <v>10.0</v>
      </c>
      <c r="L21" s="1">
        <v>34.0</v>
      </c>
      <c r="M21" s="1">
        <v>17.0</v>
      </c>
      <c r="N21" s="1" t="s">
        <v>51</v>
      </c>
      <c r="O21" s="1">
        <v>41.0</v>
      </c>
      <c r="P21" s="1">
        <v>24.0</v>
      </c>
      <c r="Q21" s="1">
        <v>16.0</v>
      </c>
      <c r="R21" s="1">
        <v>17.0</v>
      </c>
      <c r="S21" s="1">
        <v>6.0</v>
      </c>
      <c r="T21" s="1" t="s">
        <v>52</v>
      </c>
      <c r="U21" s="1">
        <v>49.0</v>
      </c>
      <c r="V21" s="1">
        <v>20.0</v>
      </c>
      <c r="W21" s="1">
        <v>11.0</v>
      </c>
      <c r="X21" s="1">
        <v>29.0</v>
      </c>
      <c r="Y21" s="1">
        <v>24.0</v>
      </c>
      <c r="Z21" s="1" t="s">
        <v>53</v>
      </c>
      <c r="AA21" s="1">
        <v>56.0</v>
      </c>
      <c r="AB21" s="1">
        <v>24.0</v>
      </c>
      <c r="AC21" s="1">
        <v>10.0</v>
      </c>
      <c r="AD21" s="1">
        <v>30.0</v>
      </c>
      <c r="AE21" s="1">
        <v>15.0</v>
      </c>
      <c r="AF21" s="1" t="s">
        <v>54</v>
      </c>
      <c r="AG21" s="1">
        <v>50.0</v>
      </c>
      <c r="AH21" s="1">
        <v>24.0</v>
      </c>
      <c r="AI21" s="1">
        <v>20.0</v>
      </c>
      <c r="AJ21" s="1">
        <v>26.0</v>
      </c>
      <c r="AK21" s="1">
        <v>21.0</v>
      </c>
      <c r="AL21" s="1">
        <v>150.0</v>
      </c>
      <c r="AM21" s="1" t="s">
        <v>55</v>
      </c>
      <c r="AN21" s="1" t="s">
        <v>55</v>
      </c>
      <c r="AO21" s="1" t="s">
        <v>55</v>
      </c>
      <c r="AP21" s="1" t="s">
        <v>179</v>
      </c>
      <c r="AQ21" s="2" t="str">
        <f>HYPERLINK("https://icf.clappia.com/app/GMB253374/submission/MTO06577109/ICF247370-GMB253374-3f50f3g3hdj200000000/SIG-20250630_1149pi68a.jpeg", "SIG-20250630_1149pi68a.jpeg")</f>
        <v>SIG-20250630_1149pi68a.jpeg</v>
      </c>
      <c r="AR21" s="1" t="s">
        <v>180</v>
      </c>
      <c r="AS21" s="2" t="str">
        <f>HYPERLINK("https://icf.clappia.com/app/GMB253374/submission/MTO06577109/ICF247370-GMB253374-2ki8eanf4j9i00000000/SIG-20250630_1149378f5.jpeg", "SIG-20250630_1149378f5.jpeg")</f>
        <v>SIG-20250630_1149378f5.jpeg</v>
      </c>
      <c r="AT21" s="1" t="s">
        <v>181</v>
      </c>
      <c r="AU21" s="2" t="str">
        <f>HYPERLINK("https://icf.clappia.com/app/GMB253374/submission/MTO06577109/ICF247370-GMB253374-1ncfl02hn6iak0000000/SIG-20250630_115649ohi.jpeg", "SIG-20250630_115649ohi.jpeg")</f>
        <v>SIG-20250630_115649ohi.jpeg</v>
      </c>
      <c r="AV21" s="2" t="str">
        <f>HYPERLINK("https://www.google.com/maps/place/9.1071179%2C-12.2052686", "9.1071179,-12.2052686")</f>
        <v>9.1071179,-12.2052686</v>
      </c>
    </row>
    <row r="22" ht="15.75" customHeight="1">
      <c r="A22" s="1" t="s">
        <v>182</v>
      </c>
      <c r="B22" s="1" t="s">
        <v>69</v>
      </c>
      <c r="C22" s="1" t="s">
        <v>183</v>
      </c>
      <c r="D22" s="1" t="s">
        <v>183</v>
      </c>
      <c r="E22" s="1" t="s">
        <v>184</v>
      </c>
      <c r="F22" s="1" t="s">
        <v>64</v>
      </c>
      <c r="G22" s="1">
        <v>168.0</v>
      </c>
      <c r="H22" s="1" t="s">
        <v>50</v>
      </c>
      <c r="I22" s="1">
        <v>28.0</v>
      </c>
      <c r="J22" s="1">
        <v>11.0</v>
      </c>
      <c r="K22" s="1">
        <v>11.0</v>
      </c>
      <c r="L22" s="1">
        <v>17.0</v>
      </c>
      <c r="M22" s="1">
        <v>17.0</v>
      </c>
      <c r="N22" s="1" t="s">
        <v>51</v>
      </c>
      <c r="O22" s="1">
        <v>27.0</v>
      </c>
      <c r="P22" s="1">
        <v>11.0</v>
      </c>
      <c r="Q22" s="1">
        <v>11.0</v>
      </c>
      <c r="R22" s="1">
        <v>16.0</v>
      </c>
      <c r="S22" s="1">
        <v>16.0</v>
      </c>
      <c r="T22" s="1" t="s">
        <v>52</v>
      </c>
      <c r="U22" s="1">
        <v>20.0</v>
      </c>
      <c r="V22" s="1">
        <v>8.0</v>
      </c>
      <c r="W22" s="1">
        <v>8.0</v>
      </c>
      <c r="X22" s="1">
        <v>12.0</v>
      </c>
      <c r="Y22" s="1">
        <v>12.0</v>
      </c>
      <c r="Z22" s="1" t="s">
        <v>53</v>
      </c>
      <c r="AA22" s="1">
        <v>28.0</v>
      </c>
      <c r="AB22" s="1">
        <v>12.0</v>
      </c>
      <c r="AC22" s="1">
        <v>12.0</v>
      </c>
      <c r="AD22" s="1">
        <v>16.0</v>
      </c>
      <c r="AE22" s="1">
        <v>16.0</v>
      </c>
      <c r="AF22" s="1" t="s">
        <v>54</v>
      </c>
      <c r="AG22" s="1">
        <v>17.0</v>
      </c>
      <c r="AH22" s="1">
        <v>9.0</v>
      </c>
      <c r="AI22" s="1">
        <v>9.0</v>
      </c>
      <c r="AJ22" s="1">
        <v>8.0</v>
      </c>
      <c r="AK22" s="1">
        <v>8.0</v>
      </c>
      <c r="AL22" s="1">
        <v>120.0</v>
      </c>
      <c r="AM22" s="1" t="s">
        <v>55</v>
      </c>
      <c r="AN22" s="1">
        <v>48.0</v>
      </c>
      <c r="AO22" s="1">
        <v>48.0</v>
      </c>
      <c r="AP22" s="1" t="s">
        <v>185</v>
      </c>
      <c r="AQ22" s="2" t="str">
        <f>HYPERLINK("https://icf.clappia.com/app/GMB253374/submission/DGJ92740467/ICF247370-GMB253374-1b98454of51360000000/SIG-20250630_11521glop.jpeg", "SIG-20250630_11521glop.jpeg")</f>
        <v>SIG-20250630_11521glop.jpeg</v>
      </c>
      <c r="AR22" s="1" t="s">
        <v>186</v>
      </c>
      <c r="AS22" s="2" t="str">
        <f>HYPERLINK("https://icf.clappia.com/app/GMB253374/submission/DGJ92740467/ICF247370-GMB253374-4oobk5k6na0c00000000/SIG-20250630_11521a3i8k.jpeg", "SIG-20250630_11521a3i8k.jpeg")</f>
        <v>SIG-20250630_11521a3i8k.jpeg</v>
      </c>
      <c r="AT22" s="1" t="s">
        <v>187</v>
      </c>
      <c r="AU22" s="2" t="str">
        <f>HYPERLINK("https://icf.clappia.com/app/GMB253374/submission/DGJ92740467/ICF247370-GMB253374-1104ofcibjiog0000000/SIG-20250630_115496i2o.jpeg", "SIG-20250630_115496i2o.jpeg")</f>
        <v>SIG-20250630_115496i2o.jpeg</v>
      </c>
      <c r="AV22" s="2" t="str">
        <f>HYPERLINK("https://www.google.com/maps/place/8.8917917%2C-12.0475767", "8.8917917,-12.0475767")</f>
        <v>8.8917917,-12.0475767</v>
      </c>
    </row>
    <row r="23" ht="15.75" customHeight="1">
      <c r="A23" s="1" t="s">
        <v>188</v>
      </c>
      <c r="B23" s="1" t="s">
        <v>101</v>
      </c>
      <c r="C23" s="1" t="s">
        <v>183</v>
      </c>
      <c r="D23" s="1" t="s">
        <v>183</v>
      </c>
      <c r="E23" s="1" t="s">
        <v>189</v>
      </c>
      <c r="F23" s="1" t="s">
        <v>64</v>
      </c>
      <c r="G23" s="1">
        <v>87.0</v>
      </c>
      <c r="H23" s="1" t="s">
        <v>50</v>
      </c>
      <c r="I23" s="1">
        <v>34.0</v>
      </c>
      <c r="J23" s="1">
        <v>16.0</v>
      </c>
      <c r="K23" s="1">
        <v>16.0</v>
      </c>
      <c r="L23" s="1">
        <v>18.0</v>
      </c>
      <c r="M23" s="1">
        <v>18.0</v>
      </c>
      <c r="N23" s="1" t="s">
        <v>51</v>
      </c>
      <c r="O23" s="1">
        <v>13.0</v>
      </c>
      <c r="P23" s="1">
        <v>6.0</v>
      </c>
      <c r="Q23" s="1">
        <v>6.0</v>
      </c>
      <c r="R23" s="1">
        <v>7.0</v>
      </c>
      <c r="S23" s="1">
        <v>7.0</v>
      </c>
      <c r="T23" s="1" t="s">
        <v>52</v>
      </c>
      <c r="U23" s="1">
        <v>13.0</v>
      </c>
      <c r="V23" s="1">
        <v>5.0</v>
      </c>
      <c r="W23" s="1">
        <v>5.0</v>
      </c>
      <c r="X23" s="1">
        <v>8.0</v>
      </c>
      <c r="Y23" s="1">
        <v>8.0</v>
      </c>
      <c r="Z23" s="1" t="s">
        <v>53</v>
      </c>
      <c r="AA23" s="1">
        <v>11.0</v>
      </c>
      <c r="AB23" s="1">
        <v>5.0</v>
      </c>
      <c r="AC23" s="1">
        <v>5.0</v>
      </c>
      <c r="AD23" s="1">
        <v>6.0</v>
      </c>
      <c r="AE23" s="1">
        <v>6.0</v>
      </c>
      <c r="AF23" s="1" t="s">
        <v>54</v>
      </c>
      <c r="AG23" s="1">
        <v>10.0</v>
      </c>
      <c r="AH23" s="1">
        <v>4.0</v>
      </c>
      <c r="AI23" s="1">
        <v>4.0</v>
      </c>
      <c r="AJ23" s="1">
        <v>6.0</v>
      </c>
      <c r="AK23" s="1">
        <v>6.0</v>
      </c>
      <c r="AL23" s="1">
        <v>81.0</v>
      </c>
      <c r="AM23" s="1">
        <v>6.0</v>
      </c>
      <c r="AN23" s="1" t="s">
        <v>55</v>
      </c>
      <c r="AO23" s="1" t="s">
        <v>55</v>
      </c>
      <c r="AP23" s="1" t="s">
        <v>190</v>
      </c>
      <c r="AQ23" s="2" t="str">
        <f>HYPERLINK("https://icf.clappia.com/app/GMB253374/submission/XPO38892450/ICF247370-GMB253374-5c1elfigc1p600000000/SIG-20250630_114715ej06.jpeg", "SIG-20250630_114715ej06.jpeg")</f>
        <v>SIG-20250630_114715ej06.jpeg</v>
      </c>
      <c r="AR23" s="1" t="s">
        <v>191</v>
      </c>
      <c r="AS23" s="2" t="str">
        <f>HYPERLINK("https://icf.clappia.com/app/GMB253374/submission/XPO38892450/ICF247370-GMB253374-1a6ko9f7ff1ok0000000/SIG-20250630_115413c4gd.jpeg", "SIG-20250630_115413c4gd.jpeg")</f>
        <v>SIG-20250630_115413c4gd.jpeg</v>
      </c>
      <c r="AT23" s="1" t="s">
        <v>192</v>
      </c>
      <c r="AU23" s="2" t="str">
        <f>HYPERLINK("https://icf.clappia.com/app/GMB253374/submission/XPO38892450/ICF247370-GMB253374-420pe1d9g1f200000000/SIG-20250630_1155n31k.jpeg", "SIG-20250630_1155n31k.jpeg")</f>
        <v>SIG-20250630_1155n31k.jpeg</v>
      </c>
      <c r="AV23" s="2" t="str">
        <f>HYPERLINK("https://www.google.com/maps/place/7.9505082%2C-11.7487157", "7.9505082,-11.7487157")</f>
        <v>7.9505082,-11.7487157</v>
      </c>
    </row>
    <row r="24" ht="15.75" customHeight="1">
      <c r="A24" s="1" t="s">
        <v>193</v>
      </c>
      <c r="B24" s="1" t="s">
        <v>60</v>
      </c>
      <c r="C24" s="1" t="s">
        <v>194</v>
      </c>
      <c r="D24" s="1" t="s">
        <v>194</v>
      </c>
      <c r="E24" s="1" t="s">
        <v>195</v>
      </c>
      <c r="F24" s="1" t="s">
        <v>64</v>
      </c>
      <c r="G24" s="1">
        <v>42.0</v>
      </c>
      <c r="H24" s="1" t="s">
        <v>50</v>
      </c>
      <c r="I24" s="1">
        <v>10.0</v>
      </c>
      <c r="J24" s="1">
        <v>6.0</v>
      </c>
      <c r="K24" s="1">
        <v>5.0</v>
      </c>
      <c r="L24" s="1">
        <v>4.0</v>
      </c>
      <c r="M24" s="1">
        <v>3.0</v>
      </c>
      <c r="N24" s="1" t="s">
        <v>51</v>
      </c>
      <c r="O24" s="1">
        <v>8.0</v>
      </c>
      <c r="P24" s="1">
        <v>2.0</v>
      </c>
      <c r="Q24" s="1">
        <v>1.0</v>
      </c>
      <c r="R24" s="1">
        <v>6.0</v>
      </c>
      <c r="S24" s="1">
        <v>3.0</v>
      </c>
      <c r="T24" s="1" t="s">
        <v>52</v>
      </c>
      <c r="U24" s="1">
        <v>8.0</v>
      </c>
      <c r="V24" s="1">
        <v>5.0</v>
      </c>
      <c r="W24" s="1">
        <v>3.0</v>
      </c>
      <c r="X24" s="1">
        <v>3.0</v>
      </c>
      <c r="Y24" s="1">
        <v>3.0</v>
      </c>
      <c r="Z24" s="1" t="s">
        <v>53</v>
      </c>
      <c r="AA24" s="1">
        <v>7.0</v>
      </c>
      <c r="AB24" s="1">
        <v>3.0</v>
      </c>
      <c r="AC24" s="1">
        <v>3.0</v>
      </c>
      <c r="AD24" s="1">
        <v>4.0</v>
      </c>
      <c r="AE24" s="1">
        <v>4.0</v>
      </c>
      <c r="AF24" s="1" t="s">
        <v>54</v>
      </c>
      <c r="AG24" s="1">
        <v>9.0</v>
      </c>
      <c r="AH24" s="1">
        <v>2.0</v>
      </c>
      <c r="AI24" s="1" t="s">
        <v>55</v>
      </c>
      <c r="AJ24" s="1">
        <v>7.0</v>
      </c>
      <c r="AK24" s="1">
        <v>2.0</v>
      </c>
      <c r="AL24" s="1">
        <v>27.0</v>
      </c>
      <c r="AM24" s="1">
        <v>2.0</v>
      </c>
      <c r="AN24" s="1">
        <v>13.0</v>
      </c>
      <c r="AO24" s="1">
        <v>13.0</v>
      </c>
      <c r="AP24" s="1" t="s">
        <v>196</v>
      </c>
      <c r="AQ24" s="2" t="str">
        <f>HYPERLINK("https://icf.clappia.com/app/GMB253374/submission/OII57933828/ICF247370-GMB253374-4l3ibflni5lc00000000/SIG-20250630_1152akae9.jpeg", "SIG-20250630_1152akae9.jpeg")</f>
        <v>SIG-20250630_1152akae9.jpeg</v>
      </c>
      <c r="AR24" s="1" t="s">
        <v>197</v>
      </c>
      <c r="AS24" s="2" t="str">
        <f>HYPERLINK("https://icf.clappia.com/app/GMB253374/submission/OII57933828/ICF247370-GMB253374-5f0n060hgaco00000000/SIG-20250630_115331ho5.jpeg", "SIG-20250630_115331ho5.jpeg")</f>
        <v>SIG-20250630_115331ho5.jpeg</v>
      </c>
      <c r="AT24" s="1" t="s">
        <v>198</v>
      </c>
      <c r="AU24" s="2" t="str">
        <f>HYPERLINK("https://icf.clappia.com/app/GMB253374/submission/OII57933828/ICF247370-GMB253374-6a626n8354mg00000000/SIG-20250630_1153jlp1c.jpeg", "SIG-20250630_1153jlp1c.jpeg")</f>
        <v>SIG-20250630_1153jlp1c.jpeg</v>
      </c>
      <c r="AV24" s="2" t="str">
        <f>HYPERLINK("https://www.google.com/maps/place/7.9946399%2C-11.7707201", "7.9946399,-11.7707201")</f>
        <v>7.9946399,-11.7707201</v>
      </c>
    </row>
    <row r="25" ht="15.75" customHeight="1">
      <c r="A25" s="1" t="s">
        <v>199</v>
      </c>
      <c r="B25" s="1" t="s">
        <v>46</v>
      </c>
      <c r="C25" s="1" t="s">
        <v>200</v>
      </c>
      <c r="D25" s="1" t="s">
        <v>200</v>
      </c>
      <c r="E25" s="1" t="s">
        <v>201</v>
      </c>
      <c r="F25" s="1" t="s">
        <v>64</v>
      </c>
      <c r="G25" s="1">
        <v>98.0</v>
      </c>
      <c r="H25" s="1" t="s">
        <v>50</v>
      </c>
      <c r="I25" s="1">
        <v>20.0</v>
      </c>
      <c r="J25" s="1">
        <v>12.0</v>
      </c>
      <c r="K25" s="1">
        <v>6.0</v>
      </c>
      <c r="L25" s="1">
        <v>8.0</v>
      </c>
      <c r="M25" s="1">
        <v>3.0</v>
      </c>
      <c r="N25" s="1" t="s">
        <v>51</v>
      </c>
      <c r="O25" s="1">
        <v>20.0</v>
      </c>
      <c r="P25" s="1">
        <v>10.0</v>
      </c>
      <c r="Q25" s="1">
        <v>4.0</v>
      </c>
      <c r="R25" s="1">
        <v>10.0</v>
      </c>
      <c r="S25" s="1">
        <v>4.0</v>
      </c>
      <c r="T25" s="1" t="s">
        <v>52</v>
      </c>
      <c r="U25" s="1">
        <v>19.0</v>
      </c>
      <c r="V25" s="1">
        <v>10.0</v>
      </c>
      <c r="W25" s="1">
        <v>4.0</v>
      </c>
      <c r="X25" s="1">
        <v>9.0</v>
      </c>
      <c r="Y25" s="1">
        <v>3.0</v>
      </c>
      <c r="Z25" s="1" t="s">
        <v>53</v>
      </c>
      <c r="AA25" s="1">
        <v>15.0</v>
      </c>
      <c r="AB25" s="1">
        <v>7.0</v>
      </c>
      <c r="AC25" s="1">
        <v>6.0</v>
      </c>
      <c r="AD25" s="1">
        <v>8.0</v>
      </c>
      <c r="AE25" s="1">
        <v>6.0</v>
      </c>
      <c r="AF25" s="1" t="s">
        <v>54</v>
      </c>
      <c r="AG25" s="1">
        <v>19.0</v>
      </c>
      <c r="AH25" s="1">
        <v>15.0</v>
      </c>
      <c r="AI25" s="1">
        <v>3.0</v>
      </c>
      <c r="AJ25" s="1">
        <v>4.0</v>
      </c>
      <c r="AK25" s="1">
        <v>1.0</v>
      </c>
      <c r="AL25" s="1">
        <v>40.0</v>
      </c>
      <c r="AM25" s="1">
        <v>2.0</v>
      </c>
      <c r="AN25" s="1">
        <v>56.0</v>
      </c>
      <c r="AO25" s="1">
        <v>56.0</v>
      </c>
      <c r="AP25" s="1" t="s">
        <v>202</v>
      </c>
      <c r="AQ25" s="2" t="str">
        <f>HYPERLINK("https://icf.clappia.com/app/GMB253374/submission/FOF95163005/ICF247370-GMB253374-5e661fo9fl6600000000/SIG-20250630_1148j7nce.jpeg", "SIG-20250630_1148j7nce.jpeg")</f>
        <v>SIG-20250630_1148j7nce.jpeg</v>
      </c>
      <c r="AR25" s="1" t="s">
        <v>203</v>
      </c>
      <c r="AS25" s="2" t="str">
        <f>HYPERLINK("https://icf.clappia.com/app/GMB253374/submission/FOF95163005/ICF247370-GMB253374-d700e46ej77c0000000/SIG-20250630_11481311ad.jpeg", "SIG-20250630_11481311ad.jpeg")</f>
        <v>SIG-20250630_11481311ad.jpeg</v>
      </c>
      <c r="AT25" s="1" t="s">
        <v>204</v>
      </c>
      <c r="AU25" s="2" t="str">
        <f>HYPERLINK("https://icf.clappia.com/app/GMB253374/submission/FOF95163005/ICF247370-GMB253374-i4936cf8hmco0000000/SIG-20250630_1149nn42n.jpeg", "SIG-20250630_1149nn42n.jpeg")</f>
        <v>SIG-20250630_1149nn42n.jpeg</v>
      </c>
      <c r="AV25" s="2" t="str">
        <f t="shared" ref="AV25:AV26" si="1">HYPERLINK("https://www.google.com/maps/place/8.8042684%2C-12.2832285", "8.8042684,-12.2832285")</f>
        <v>8.8042684,-12.2832285</v>
      </c>
    </row>
    <row r="26" ht="15.75" customHeight="1">
      <c r="A26" s="1" t="s">
        <v>205</v>
      </c>
      <c r="B26" s="1" t="s">
        <v>206</v>
      </c>
      <c r="C26" s="1" t="s">
        <v>200</v>
      </c>
      <c r="D26" s="1" t="s">
        <v>200</v>
      </c>
      <c r="E26" s="1" t="s">
        <v>207</v>
      </c>
      <c r="F26" s="1" t="s">
        <v>64</v>
      </c>
      <c r="G26" s="1">
        <v>100.0</v>
      </c>
      <c r="H26" s="1" t="s">
        <v>50</v>
      </c>
      <c r="I26" s="1">
        <v>29.0</v>
      </c>
      <c r="J26" s="1">
        <v>15.0</v>
      </c>
      <c r="K26" s="1">
        <v>15.0</v>
      </c>
      <c r="L26" s="1">
        <v>14.0</v>
      </c>
      <c r="M26" s="1">
        <v>14.0</v>
      </c>
      <c r="N26" s="1" t="s">
        <v>51</v>
      </c>
      <c r="O26" s="1">
        <v>28.0</v>
      </c>
      <c r="P26" s="1">
        <v>15.0</v>
      </c>
      <c r="Q26" s="1">
        <v>15.0</v>
      </c>
      <c r="R26" s="1">
        <v>13.0</v>
      </c>
      <c r="S26" s="1">
        <v>13.0</v>
      </c>
      <c r="T26" s="1" t="s">
        <v>52</v>
      </c>
      <c r="U26" s="1">
        <v>14.0</v>
      </c>
      <c r="V26" s="1">
        <v>7.0</v>
      </c>
      <c r="W26" s="1">
        <v>7.0</v>
      </c>
      <c r="X26" s="1">
        <v>7.0</v>
      </c>
      <c r="Y26" s="1">
        <v>7.0</v>
      </c>
      <c r="Z26" s="1" t="s">
        <v>53</v>
      </c>
      <c r="AA26" s="1">
        <v>9.0</v>
      </c>
      <c r="AB26" s="1">
        <v>5.0</v>
      </c>
      <c r="AC26" s="1">
        <v>5.0</v>
      </c>
      <c r="AD26" s="1">
        <v>4.0</v>
      </c>
      <c r="AE26" s="1">
        <v>4.0</v>
      </c>
      <c r="AF26" s="1" t="s">
        <v>54</v>
      </c>
      <c r="AG26" s="1">
        <v>20.0</v>
      </c>
      <c r="AH26" s="1">
        <v>10.0</v>
      </c>
      <c r="AI26" s="1">
        <v>10.0</v>
      </c>
      <c r="AJ26" s="1">
        <v>10.0</v>
      </c>
      <c r="AK26" s="1">
        <v>10.0</v>
      </c>
      <c r="AL26" s="1">
        <v>100.0</v>
      </c>
      <c r="AM26" s="1" t="s">
        <v>55</v>
      </c>
      <c r="AN26" s="1" t="s">
        <v>55</v>
      </c>
      <c r="AO26" s="1" t="s">
        <v>55</v>
      </c>
      <c r="AP26" s="1" t="s">
        <v>208</v>
      </c>
      <c r="AQ26" s="2" t="str">
        <f>HYPERLINK("https://icf.clappia.com/app/GMB253374/submission/PWC02903528/ICF247370-GMB253374-3o0bph3mll7e00000000/SIG-20250630_1144eo63l.jpeg", "SIG-20250630_1144eo63l.jpeg")</f>
        <v>SIG-20250630_1144eo63l.jpeg</v>
      </c>
      <c r="AR26" s="1" t="s">
        <v>209</v>
      </c>
      <c r="AS26" s="2" t="str">
        <f>HYPERLINK("https://icf.clappia.com/app/GMB253374/submission/PWC02903528/ICF247370-GMB253374-21ogd7g68aj520000000/SIG-20250630_114517kg4j.jpeg", "SIG-20250630_114517kg4j.jpeg")</f>
        <v>SIG-20250630_114517kg4j.jpeg</v>
      </c>
      <c r="AT26" s="1" t="s">
        <v>210</v>
      </c>
      <c r="AU26" s="2" t="str">
        <f>HYPERLINK("https://icf.clappia.com/app/GMB253374/submission/PWC02903528/ICF247370-GMB253374-461nf7k12mci00000000/SIG-20250630_114818jdec.jpeg", "SIG-20250630_114818jdec.jpeg")</f>
        <v>SIG-20250630_114818jdec.jpeg</v>
      </c>
      <c r="AV26" s="2" t="str">
        <f t="shared" si="1"/>
        <v>8.8042684,-12.2832285</v>
      </c>
    </row>
    <row r="27" ht="15.75" customHeight="1">
      <c r="A27" s="1" t="s">
        <v>211</v>
      </c>
      <c r="B27" s="1" t="s">
        <v>60</v>
      </c>
      <c r="C27" s="1" t="s">
        <v>212</v>
      </c>
      <c r="D27" s="1" t="s">
        <v>212</v>
      </c>
      <c r="E27" s="1" t="s">
        <v>213</v>
      </c>
      <c r="F27" s="1" t="s">
        <v>64</v>
      </c>
      <c r="G27" s="1">
        <v>273.0</v>
      </c>
      <c r="H27" s="1" t="s">
        <v>50</v>
      </c>
      <c r="I27" s="1">
        <v>100.0</v>
      </c>
      <c r="J27" s="1">
        <v>50.0</v>
      </c>
      <c r="K27" s="1">
        <v>50.0</v>
      </c>
      <c r="L27" s="1">
        <v>50.0</v>
      </c>
      <c r="M27" s="1">
        <v>50.0</v>
      </c>
      <c r="N27" s="1" t="s">
        <v>51</v>
      </c>
      <c r="O27" s="1">
        <v>50.0</v>
      </c>
      <c r="P27" s="1">
        <v>24.0</v>
      </c>
      <c r="Q27" s="1">
        <v>24.0</v>
      </c>
      <c r="R27" s="1">
        <v>26.0</v>
      </c>
      <c r="S27" s="1">
        <v>26.0</v>
      </c>
      <c r="T27" s="1" t="s">
        <v>52</v>
      </c>
      <c r="U27" s="1">
        <v>40.0</v>
      </c>
      <c r="V27" s="1">
        <v>14.0</v>
      </c>
      <c r="W27" s="1">
        <v>14.0</v>
      </c>
      <c r="X27" s="1">
        <v>26.0</v>
      </c>
      <c r="Y27" s="1">
        <v>26.0</v>
      </c>
      <c r="Z27" s="1" t="s">
        <v>53</v>
      </c>
      <c r="AA27" s="1">
        <v>43.0</v>
      </c>
      <c r="AB27" s="1">
        <v>19.0</v>
      </c>
      <c r="AC27" s="1">
        <v>19.0</v>
      </c>
      <c r="AD27" s="1">
        <v>24.0</v>
      </c>
      <c r="AE27" s="1">
        <v>24.0</v>
      </c>
      <c r="AF27" s="1" t="s">
        <v>54</v>
      </c>
      <c r="AG27" s="1">
        <v>40.0</v>
      </c>
      <c r="AH27" s="1">
        <v>22.0</v>
      </c>
      <c r="AI27" s="1">
        <v>22.0</v>
      </c>
      <c r="AJ27" s="1">
        <v>18.0</v>
      </c>
      <c r="AK27" s="1">
        <v>18.0</v>
      </c>
      <c r="AL27" s="1">
        <v>273.0</v>
      </c>
      <c r="AM27" s="1" t="s">
        <v>55</v>
      </c>
      <c r="AN27" s="1" t="s">
        <v>55</v>
      </c>
      <c r="AO27" s="1" t="s">
        <v>55</v>
      </c>
      <c r="AP27" s="1" t="s">
        <v>214</v>
      </c>
      <c r="AQ27" s="2" t="str">
        <f>HYPERLINK("https://icf.clappia.com/app/GMB253374/submission/KSK14026686/ICF247370-GMB253374-15m52lcaja4le000000/SIG-20250630_114513nj07.jpeg", "SIG-20250630_114513nj07.jpeg")</f>
        <v>SIG-20250630_114513nj07.jpeg</v>
      </c>
      <c r="AR27" s="1" t="s">
        <v>215</v>
      </c>
      <c r="AS27" s="2" t="str">
        <f>HYPERLINK("https://icf.clappia.com/app/GMB253374/submission/KSK14026686/ICF247370-GMB253374-3mi8deffb4eo00000000/SIG-20250630_1146bel67.jpeg", "SIG-20250630_1146bel67.jpeg")</f>
        <v>SIG-20250630_1146bel67.jpeg</v>
      </c>
      <c r="AT27" s="1" t="s">
        <v>55</v>
      </c>
      <c r="AU27" s="2" t="str">
        <f>HYPERLINK("https://icf.clappia.com/app/GMB253374/submission/KSK14026686/ICF247370-GMB253374-19d485pggm5ck0000000/SIG-20250630_1148190gpg.jpeg", "SIG-20250630_1148190gpg.jpeg")</f>
        <v>SIG-20250630_1148190gpg.jpeg</v>
      </c>
      <c r="AV27" s="2" t="str">
        <f>HYPERLINK("https://www.google.com/maps/place/8.0131345%2C-11.7792656", "8.0131345,-11.7792656")</f>
        <v>8.0131345,-11.7792656</v>
      </c>
    </row>
    <row r="28" ht="15.75" customHeight="1">
      <c r="A28" s="1" t="s">
        <v>216</v>
      </c>
      <c r="B28" s="1" t="s">
        <v>101</v>
      </c>
      <c r="C28" s="1" t="s">
        <v>217</v>
      </c>
      <c r="D28" s="1" t="s">
        <v>217</v>
      </c>
      <c r="E28" s="1" t="s">
        <v>218</v>
      </c>
      <c r="F28" s="1" t="s">
        <v>64</v>
      </c>
      <c r="G28" s="1">
        <v>100.0</v>
      </c>
      <c r="H28" s="1" t="s">
        <v>50</v>
      </c>
      <c r="I28" s="1">
        <v>62.0</v>
      </c>
      <c r="J28" s="1">
        <v>29.0</v>
      </c>
      <c r="K28" s="1">
        <v>27.0</v>
      </c>
      <c r="L28" s="1">
        <v>33.0</v>
      </c>
      <c r="M28" s="1">
        <v>23.0</v>
      </c>
      <c r="N28" s="1" t="s">
        <v>51</v>
      </c>
      <c r="O28" s="1">
        <v>46.0</v>
      </c>
      <c r="P28" s="1">
        <v>26.0</v>
      </c>
      <c r="Q28" s="1">
        <v>8.0</v>
      </c>
      <c r="R28" s="1">
        <v>20.0</v>
      </c>
      <c r="S28" s="1">
        <v>17.0</v>
      </c>
      <c r="T28" s="1" t="s">
        <v>52</v>
      </c>
      <c r="U28" s="1">
        <v>33.0</v>
      </c>
      <c r="V28" s="1">
        <v>16.0</v>
      </c>
      <c r="W28" s="1">
        <v>8.0</v>
      </c>
      <c r="X28" s="1">
        <v>17.0</v>
      </c>
      <c r="Y28" s="1">
        <v>5.0</v>
      </c>
      <c r="Z28" s="1" t="s">
        <v>53</v>
      </c>
      <c r="AA28" s="1">
        <v>49.0</v>
      </c>
      <c r="AB28" s="1">
        <v>26.0</v>
      </c>
      <c r="AC28" s="1">
        <v>6.0</v>
      </c>
      <c r="AD28" s="1">
        <v>23.0</v>
      </c>
      <c r="AE28" s="1">
        <v>6.0</v>
      </c>
      <c r="AF28" s="1" t="s">
        <v>54</v>
      </c>
      <c r="AG28" s="1">
        <v>37.0</v>
      </c>
      <c r="AH28" s="1">
        <v>21.0</v>
      </c>
      <c r="AI28" s="1" t="s">
        <v>55</v>
      </c>
      <c r="AJ28" s="1">
        <v>16.0</v>
      </c>
      <c r="AK28" s="1" t="s">
        <v>55</v>
      </c>
      <c r="AL28" s="1">
        <v>100.0</v>
      </c>
      <c r="AM28" s="1" t="s">
        <v>55</v>
      </c>
      <c r="AN28" s="1" t="s">
        <v>55</v>
      </c>
      <c r="AO28" s="1" t="s">
        <v>55</v>
      </c>
      <c r="AP28" s="1" t="s">
        <v>219</v>
      </c>
      <c r="AQ28" s="2" t="str">
        <f>HYPERLINK("https://icf.clappia.com/app/GMB253374/submission/NCI73589757/ICF247370-GMB253374-157iendeb538c0000000/SIG-20250630_114257bj7.jpeg", "SIG-20250630_114257bj7.jpeg")</f>
        <v>SIG-20250630_114257bj7.jpeg</v>
      </c>
      <c r="AR28" s="1" t="s">
        <v>220</v>
      </c>
      <c r="AS28" s="2" t="str">
        <f>HYPERLINK("https://icf.clappia.com/app/GMB253374/submission/NCI73589757/ICF247370-GMB253374-582j2hf5ipeg0000000/SIG-20250630_11437pje4.jpeg", "SIG-20250630_11437pje4.jpeg")</f>
        <v>SIG-20250630_11437pje4.jpeg</v>
      </c>
      <c r="AT28" s="1" t="s">
        <v>221</v>
      </c>
      <c r="AU28" s="2" t="str">
        <f>HYPERLINK("https://icf.clappia.com/app/GMB253374/submission/NCI73589757/ICF247370-GMB253374-inp989mdkpp20000000/SIG-20250630_114411ie2.jpeg", "SIG-20250630_114411ie2.jpeg")</f>
        <v>SIG-20250630_114411ie2.jpeg</v>
      </c>
      <c r="AV28" s="2" t="str">
        <f>HYPERLINK("https://www.google.com/maps/place/7.9642912%2C-11.7205297", "7.9642912,-11.7205297")</f>
        <v>7.9642912,-11.7205297</v>
      </c>
    </row>
    <row r="29" ht="15.75" customHeight="1">
      <c r="A29" s="1" t="s">
        <v>222</v>
      </c>
      <c r="B29" s="1" t="s">
        <v>223</v>
      </c>
      <c r="C29" s="1" t="s">
        <v>224</v>
      </c>
      <c r="D29" s="1" t="s">
        <v>224</v>
      </c>
      <c r="E29" s="1" t="s">
        <v>225</v>
      </c>
      <c r="F29" s="1" t="s">
        <v>64</v>
      </c>
      <c r="G29" s="1">
        <v>105.0</v>
      </c>
      <c r="H29" s="1" t="s">
        <v>50</v>
      </c>
      <c r="I29" s="1">
        <v>40.0</v>
      </c>
      <c r="J29" s="1">
        <v>20.0</v>
      </c>
      <c r="K29" s="1">
        <v>20.0</v>
      </c>
      <c r="L29" s="1">
        <v>20.0</v>
      </c>
      <c r="M29" s="1">
        <v>20.0</v>
      </c>
      <c r="N29" s="1" t="s">
        <v>51</v>
      </c>
      <c r="O29" s="1">
        <v>20.0</v>
      </c>
      <c r="P29" s="1">
        <v>10.0</v>
      </c>
      <c r="Q29" s="1">
        <v>10.0</v>
      </c>
      <c r="R29" s="1">
        <v>10.0</v>
      </c>
      <c r="S29" s="1">
        <v>10.0</v>
      </c>
      <c r="T29" s="1" t="s">
        <v>52</v>
      </c>
      <c r="U29" s="1">
        <v>21.0</v>
      </c>
      <c r="V29" s="1">
        <v>11.0</v>
      </c>
      <c r="W29" s="1">
        <v>11.0</v>
      </c>
      <c r="X29" s="1">
        <v>10.0</v>
      </c>
      <c r="Y29" s="1">
        <v>10.0</v>
      </c>
      <c r="Z29" s="1" t="s">
        <v>53</v>
      </c>
      <c r="AA29" s="1">
        <v>19.0</v>
      </c>
      <c r="AB29" s="1">
        <v>11.0</v>
      </c>
      <c r="AC29" s="1">
        <v>11.0</v>
      </c>
      <c r="AD29" s="1">
        <v>8.0</v>
      </c>
      <c r="AE29" s="1">
        <v>8.0</v>
      </c>
      <c r="AF29" s="1" t="s">
        <v>54</v>
      </c>
      <c r="AG29" s="1">
        <v>5.0</v>
      </c>
      <c r="AH29" s="1">
        <v>3.0</v>
      </c>
      <c r="AI29" s="1">
        <v>3.0</v>
      </c>
      <c r="AJ29" s="1">
        <v>2.0</v>
      </c>
      <c r="AK29" s="1">
        <v>2.0</v>
      </c>
      <c r="AL29" s="1">
        <v>105.0</v>
      </c>
      <c r="AM29" s="1" t="s">
        <v>55</v>
      </c>
      <c r="AN29" s="1" t="s">
        <v>55</v>
      </c>
      <c r="AO29" s="1" t="s">
        <v>55</v>
      </c>
      <c r="AP29" s="1" t="s">
        <v>226</v>
      </c>
      <c r="AQ29" s="2" t="str">
        <f>HYPERLINK("https://icf.clappia.com/app/GMB253374/submission/EXH27204622/ICF247370-GMB253374-51nm9a43dj5m00000000/SIG-20250630_0933oaekn.jpeg", "SIG-20250630_0933oaekn.jpeg")</f>
        <v>SIG-20250630_0933oaekn.jpeg</v>
      </c>
      <c r="AR29" s="1" t="s">
        <v>227</v>
      </c>
      <c r="AS29" s="2" t="str">
        <f>HYPERLINK("https://icf.clappia.com/app/GMB253374/submission/EXH27204622/ICF247370-GMB253374-2am8kegoo71ci0000000/SIG-20250630_093314i6j1.jpeg", "SIG-20250630_093314i6j1.jpeg")</f>
        <v>SIG-20250630_093314i6j1.jpeg</v>
      </c>
      <c r="AT29" s="1" t="s">
        <v>228</v>
      </c>
      <c r="AU29" s="2" t="str">
        <f>HYPERLINK("https://icf.clappia.com/app/GMB253374/submission/EXH27204622/ICF247370-GMB253374-59j46pm4ak6k00000000/SIG-20250630_0934h844e.jpeg", "SIG-20250630_0934h844e.jpeg")</f>
        <v>SIG-20250630_0934h844e.jpeg</v>
      </c>
      <c r="AV29" s="2" t="str">
        <f>HYPERLINK("https://www.google.com/maps/place/8.0810267%2C-11.6273083", "8.0810267,-11.6273083")</f>
        <v>8.0810267,-11.6273083</v>
      </c>
    </row>
    <row r="30" ht="15.75" customHeight="1">
      <c r="A30" s="1" t="s">
        <v>229</v>
      </c>
      <c r="B30" s="1" t="s">
        <v>101</v>
      </c>
      <c r="C30" s="1" t="s">
        <v>230</v>
      </c>
      <c r="D30" s="1" t="s">
        <v>230</v>
      </c>
      <c r="E30" s="1" t="s">
        <v>231</v>
      </c>
      <c r="F30" s="1" t="s">
        <v>64</v>
      </c>
      <c r="G30" s="1">
        <v>200.0</v>
      </c>
      <c r="H30" s="1" t="s">
        <v>50</v>
      </c>
      <c r="I30" s="1">
        <v>35.0</v>
      </c>
      <c r="J30" s="1">
        <v>15.0</v>
      </c>
      <c r="K30" s="1">
        <v>15.0</v>
      </c>
      <c r="L30" s="1">
        <v>20.0</v>
      </c>
      <c r="M30" s="1">
        <v>15.0</v>
      </c>
      <c r="N30" s="1" t="s">
        <v>51</v>
      </c>
      <c r="O30" s="1">
        <v>37.0</v>
      </c>
      <c r="P30" s="1">
        <v>14.0</v>
      </c>
      <c r="Q30" s="1">
        <v>14.0</v>
      </c>
      <c r="R30" s="1">
        <v>21.0</v>
      </c>
      <c r="S30" s="1">
        <v>12.0</v>
      </c>
      <c r="T30" s="1" t="s">
        <v>52</v>
      </c>
      <c r="U30" s="1">
        <v>37.0</v>
      </c>
      <c r="V30" s="1">
        <v>15.0</v>
      </c>
      <c r="W30" s="1">
        <v>5.0</v>
      </c>
      <c r="X30" s="1">
        <v>22.0</v>
      </c>
      <c r="Y30" s="1">
        <v>17.0</v>
      </c>
      <c r="Z30" s="1" t="s">
        <v>53</v>
      </c>
      <c r="AA30" s="1">
        <v>34.0</v>
      </c>
      <c r="AB30" s="1">
        <v>19.0</v>
      </c>
      <c r="AC30" s="1">
        <v>18.0</v>
      </c>
      <c r="AD30" s="1">
        <v>15.0</v>
      </c>
      <c r="AE30" s="1">
        <v>6.0</v>
      </c>
      <c r="AF30" s="1" t="s">
        <v>54</v>
      </c>
      <c r="AG30" s="1">
        <v>35.0</v>
      </c>
      <c r="AH30" s="1">
        <v>19.0</v>
      </c>
      <c r="AI30" s="1">
        <v>10.0</v>
      </c>
      <c r="AJ30" s="1">
        <v>16.0</v>
      </c>
      <c r="AK30" s="1">
        <v>16.0</v>
      </c>
      <c r="AL30" s="1">
        <v>128.0</v>
      </c>
      <c r="AM30" s="1" t="s">
        <v>55</v>
      </c>
      <c r="AN30" s="1">
        <v>72.0</v>
      </c>
      <c r="AO30" s="1">
        <v>70.0</v>
      </c>
      <c r="AP30" s="1" t="s">
        <v>232</v>
      </c>
      <c r="AQ30" s="2" t="str">
        <f>HYPERLINK("https://icf.clappia.com/app/GMB253374/submission/APR80629155/ICF247370-GMB253374-6bm74bo5fm0a00000000/SIG-20250630_1141nf7el.jpeg", "SIG-20250630_1141nf7el.jpeg")</f>
        <v>SIG-20250630_1141nf7el.jpeg</v>
      </c>
      <c r="AR30" s="1" t="s">
        <v>233</v>
      </c>
      <c r="AS30" s="2" t="str">
        <f>HYPERLINK("https://icf.clappia.com/app/GMB253374/submission/APR80629155/ICF247370-GMB253374-oacop83ij6640000000/SIG-20250630_1141c8k4n.jpeg", "SIG-20250630_1141c8k4n.jpeg")</f>
        <v>SIG-20250630_1141c8k4n.jpeg</v>
      </c>
      <c r="AT30" s="1" t="s">
        <v>234</v>
      </c>
      <c r="AU30" s="2" t="str">
        <f>HYPERLINK("https://icf.clappia.com/app/GMB253374/submission/APR80629155/ICF247370-GMB253374-fj2ahmo9ikfi0000000/SIG-20250630_1141mlaoa.jpeg", "SIG-20250630_1141mlaoa.jpeg")</f>
        <v>SIG-20250630_1141mlaoa.jpeg</v>
      </c>
      <c r="AV30" s="2" t="str">
        <f>HYPERLINK("https://www.google.com/maps/place/7.9411267%2C-11.7308717", "7.9411267,-11.7308717")</f>
        <v>7.9411267,-11.7308717</v>
      </c>
    </row>
    <row r="31" ht="15.75" customHeight="1">
      <c r="A31" s="1" t="s">
        <v>235</v>
      </c>
      <c r="B31" s="1" t="s">
        <v>223</v>
      </c>
      <c r="C31" s="1" t="s">
        <v>236</v>
      </c>
      <c r="D31" s="1" t="s">
        <v>236</v>
      </c>
      <c r="E31" s="1" t="s">
        <v>237</v>
      </c>
      <c r="F31" s="1" t="s">
        <v>64</v>
      </c>
      <c r="G31" s="1">
        <v>178.0</v>
      </c>
      <c r="H31" s="1" t="s">
        <v>50</v>
      </c>
      <c r="I31" s="1">
        <v>81.0</v>
      </c>
      <c r="J31" s="1">
        <v>42.0</v>
      </c>
      <c r="K31" s="1">
        <v>42.0</v>
      </c>
      <c r="L31" s="1">
        <v>39.0</v>
      </c>
      <c r="M31" s="1">
        <v>36.0</v>
      </c>
      <c r="N31" s="1" t="s">
        <v>51</v>
      </c>
      <c r="O31" s="1">
        <v>45.0</v>
      </c>
      <c r="P31" s="1">
        <v>23.0</v>
      </c>
      <c r="Q31" s="1">
        <v>10.0</v>
      </c>
      <c r="R31" s="1">
        <v>22.0</v>
      </c>
      <c r="S31" s="1">
        <v>8.0</v>
      </c>
      <c r="T31" s="1" t="s">
        <v>52</v>
      </c>
      <c r="U31" s="1">
        <v>35.0</v>
      </c>
      <c r="V31" s="1">
        <v>20.0</v>
      </c>
      <c r="W31" s="1">
        <v>18.0</v>
      </c>
      <c r="X31" s="1">
        <v>15.0</v>
      </c>
      <c r="Y31" s="1">
        <v>12.0</v>
      </c>
      <c r="Z31" s="1" t="s">
        <v>53</v>
      </c>
      <c r="AA31" s="1">
        <v>25.0</v>
      </c>
      <c r="AB31" s="1">
        <v>14.0</v>
      </c>
      <c r="AC31" s="1">
        <v>11.0</v>
      </c>
      <c r="AD31" s="1">
        <v>11.0</v>
      </c>
      <c r="AE31" s="1">
        <v>5.0</v>
      </c>
      <c r="AF31" s="1" t="s">
        <v>54</v>
      </c>
      <c r="AG31" s="1">
        <v>27.0</v>
      </c>
      <c r="AH31" s="1">
        <v>14.0</v>
      </c>
      <c r="AI31" s="1">
        <v>7.0</v>
      </c>
      <c r="AJ31" s="1">
        <v>11.0</v>
      </c>
      <c r="AK31" s="1">
        <v>9.0</v>
      </c>
      <c r="AL31" s="1">
        <v>158.0</v>
      </c>
      <c r="AM31" s="1" t="s">
        <v>55</v>
      </c>
      <c r="AN31" s="1">
        <v>20.0</v>
      </c>
      <c r="AO31" s="1">
        <v>20.0</v>
      </c>
      <c r="AP31" s="1" t="s">
        <v>238</v>
      </c>
      <c r="AQ31" s="2" t="str">
        <f>HYPERLINK("https://icf.clappia.com/app/GMB253374/submission/LMG35734104/ICF247370-GMB253374-4jc1c8850d3000000000/SIG-20250630_1137dcei8.jpeg", "SIG-20250630_1137dcei8.jpeg")</f>
        <v>SIG-20250630_1137dcei8.jpeg</v>
      </c>
      <c r="AR31" s="1" t="s">
        <v>239</v>
      </c>
      <c r="AS31" s="2" t="str">
        <f>HYPERLINK("https://icf.clappia.com/app/GMB253374/submission/LMG35734104/ICF247370-GMB253374-49o836619jag00000000/SIG-20250630_103518mdef.jpeg", "SIG-20250630_103518mdef.jpeg")</f>
        <v>SIG-20250630_103518mdef.jpeg</v>
      </c>
      <c r="AT31" s="1" t="s">
        <v>240</v>
      </c>
      <c r="AU31" s="2" t="str">
        <f>HYPERLINK("https://icf.clappia.com/app/GMB253374/submission/LMG35734104/ICF247370-GMB253374-53k3174bo1hm00000000/SIG-20250630_113868dij.jpeg", "SIG-20250630_113868dij.jpeg")</f>
        <v>SIG-20250630_113868dij.jpeg</v>
      </c>
      <c r="AV31" s="2" t="str">
        <f>HYPERLINK("https://www.google.com/maps/place/8.1264317%2C-11.6167517", "8.1264317,-11.6167517")</f>
        <v>8.1264317,-11.6167517</v>
      </c>
    </row>
    <row r="32" ht="15.75" customHeight="1">
      <c r="A32" s="1" t="s">
        <v>241</v>
      </c>
      <c r="B32" s="1" t="s">
        <v>242</v>
      </c>
      <c r="C32" s="1" t="s">
        <v>243</v>
      </c>
      <c r="D32" s="1" t="s">
        <v>243</v>
      </c>
      <c r="E32" s="1" t="s">
        <v>244</v>
      </c>
      <c r="F32" s="1" t="s">
        <v>64</v>
      </c>
      <c r="G32" s="1">
        <v>247.0</v>
      </c>
      <c r="H32" s="1" t="s">
        <v>50</v>
      </c>
      <c r="I32" s="1">
        <v>54.0</v>
      </c>
      <c r="J32" s="1">
        <v>25.0</v>
      </c>
      <c r="K32" s="1">
        <v>25.0</v>
      </c>
      <c r="L32" s="1">
        <v>29.0</v>
      </c>
      <c r="M32" s="1">
        <v>27.0</v>
      </c>
      <c r="N32" s="1" t="s">
        <v>51</v>
      </c>
      <c r="O32" s="1">
        <v>53.0</v>
      </c>
      <c r="P32" s="1">
        <v>29.0</v>
      </c>
      <c r="Q32" s="1">
        <v>28.0</v>
      </c>
      <c r="R32" s="1">
        <v>24.0</v>
      </c>
      <c r="S32" s="1">
        <v>23.0</v>
      </c>
      <c r="T32" s="1" t="s">
        <v>52</v>
      </c>
      <c r="U32" s="1">
        <v>50.0</v>
      </c>
      <c r="V32" s="1">
        <v>14.0</v>
      </c>
      <c r="W32" s="1">
        <v>14.0</v>
      </c>
      <c r="X32" s="1">
        <v>36.0</v>
      </c>
      <c r="Y32" s="1">
        <v>35.0</v>
      </c>
      <c r="Z32" s="1" t="s">
        <v>53</v>
      </c>
      <c r="AA32" s="1">
        <v>40.0</v>
      </c>
      <c r="AB32" s="1">
        <v>20.0</v>
      </c>
      <c r="AC32" s="1">
        <v>20.0</v>
      </c>
      <c r="AD32" s="1">
        <v>20.0</v>
      </c>
      <c r="AE32" s="1">
        <v>20.0</v>
      </c>
      <c r="AF32" s="1" t="s">
        <v>54</v>
      </c>
      <c r="AG32" s="1">
        <v>50.0</v>
      </c>
      <c r="AH32" s="1">
        <v>26.0</v>
      </c>
      <c r="AI32" s="1">
        <v>26.0</v>
      </c>
      <c r="AJ32" s="1">
        <v>24.0</v>
      </c>
      <c r="AK32" s="1">
        <v>24.0</v>
      </c>
      <c r="AL32" s="1">
        <v>242.0</v>
      </c>
      <c r="AM32" s="1">
        <v>5.0</v>
      </c>
      <c r="AN32" s="1" t="s">
        <v>55</v>
      </c>
      <c r="AO32" s="1" t="s">
        <v>55</v>
      </c>
      <c r="AP32" s="1" t="s">
        <v>245</v>
      </c>
      <c r="AQ32" s="2" t="str">
        <f>HYPERLINK("https://icf.clappia.com/app/GMB253374/submission/BXU62986863/ICF247370-GMB253374-5j4c887bhmo000000000/SIG-20250630_1135189715.jpeg", "SIG-20250630_1135189715.jpeg")</f>
        <v>SIG-20250630_1135189715.jpeg</v>
      </c>
      <c r="AR32" s="1" t="s">
        <v>246</v>
      </c>
      <c r="AS32" s="2" t="str">
        <f>HYPERLINK("https://icf.clappia.com/app/GMB253374/submission/BXU62986863/ICF247370-GMB253374-43cfd5dno4kg00000000/SIG-20250630_1140en8e5.jpeg", "SIG-20250630_1140en8e5.jpeg")</f>
        <v>SIG-20250630_1140en8e5.jpeg</v>
      </c>
      <c r="AT32" s="1" t="s">
        <v>247</v>
      </c>
      <c r="AU32" s="2" t="str">
        <f>HYPERLINK("https://icf.clappia.com/app/GMB253374/submission/BXU62986863/ICF247370-GMB253374-3pm81jgnkao400000000/SIG-20250630_11363dkdl.jpeg", "SIG-20250630_11363dkdl.jpeg")</f>
        <v>SIG-20250630_11363dkdl.jpeg</v>
      </c>
      <c r="AV32" s="2" t="str">
        <f>HYPERLINK("https://www.google.com/maps/place/7.6783569%2C-11.8234282", "7.6783569,-11.8234282")</f>
        <v>7.6783569,-11.8234282</v>
      </c>
    </row>
    <row r="33" ht="15.75" customHeight="1">
      <c r="A33" s="1" t="s">
        <v>248</v>
      </c>
      <c r="B33" s="1" t="s">
        <v>46</v>
      </c>
      <c r="C33" s="1" t="s">
        <v>249</v>
      </c>
      <c r="D33" s="1" t="s">
        <v>249</v>
      </c>
      <c r="E33" s="1" t="s">
        <v>250</v>
      </c>
      <c r="F33" s="1" t="s">
        <v>64</v>
      </c>
      <c r="G33" s="1">
        <v>100.0</v>
      </c>
      <c r="H33" s="1" t="s">
        <v>50</v>
      </c>
      <c r="I33" s="1">
        <v>25.0</v>
      </c>
      <c r="J33" s="1">
        <v>17.0</v>
      </c>
      <c r="K33" s="1">
        <v>17.0</v>
      </c>
      <c r="L33" s="1">
        <v>8.0</v>
      </c>
      <c r="M33" s="1">
        <v>8.0</v>
      </c>
      <c r="N33" s="1" t="s">
        <v>51</v>
      </c>
      <c r="O33" s="1">
        <v>19.0</v>
      </c>
      <c r="P33" s="1">
        <v>13.0</v>
      </c>
      <c r="Q33" s="1">
        <v>13.0</v>
      </c>
      <c r="R33" s="1">
        <v>6.0</v>
      </c>
      <c r="S33" s="1">
        <v>6.0</v>
      </c>
      <c r="T33" s="1" t="s">
        <v>52</v>
      </c>
      <c r="U33" s="1">
        <v>16.0</v>
      </c>
      <c r="V33" s="1">
        <v>9.0</v>
      </c>
      <c r="W33" s="1">
        <v>9.0</v>
      </c>
      <c r="X33" s="1">
        <v>7.0</v>
      </c>
      <c r="Y33" s="1">
        <v>7.0</v>
      </c>
      <c r="Z33" s="1" t="s">
        <v>53</v>
      </c>
      <c r="AA33" s="1">
        <v>15.0</v>
      </c>
      <c r="AB33" s="1">
        <v>8.0</v>
      </c>
      <c r="AC33" s="1">
        <v>8.0</v>
      </c>
      <c r="AD33" s="1">
        <v>7.0</v>
      </c>
      <c r="AE33" s="1">
        <v>7.0</v>
      </c>
      <c r="AF33" s="1" t="s">
        <v>54</v>
      </c>
      <c r="AG33" s="1">
        <v>20.0</v>
      </c>
      <c r="AH33" s="1">
        <v>11.0</v>
      </c>
      <c r="AI33" s="1">
        <v>11.0</v>
      </c>
      <c r="AJ33" s="1">
        <v>9.0</v>
      </c>
      <c r="AK33" s="1">
        <v>9.0</v>
      </c>
      <c r="AL33" s="1">
        <v>95.0</v>
      </c>
      <c r="AM33" s="1" t="s">
        <v>55</v>
      </c>
      <c r="AN33" s="1">
        <v>5.0</v>
      </c>
      <c r="AO33" s="1">
        <v>5.0</v>
      </c>
      <c r="AP33" s="1" t="s">
        <v>251</v>
      </c>
      <c r="AQ33" s="2" t="str">
        <f>HYPERLINK("https://icf.clappia.com/app/GMB253374/submission/ZVE26292877/ICF247370-GMB253374-32222dnbige000000000/SIG-20250630_11345jbfm.jpeg", "SIG-20250630_11345jbfm.jpeg")</f>
        <v>SIG-20250630_11345jbfm.jpeg</v>
      </c>
      <c r="AR33" s="1" t="s">
        <v>252</v>
      </c>
      <c r="AS33" s="2" t="str">
        <f>HYPERLINK("https://icf.clappia.com/app/GMB253374/submission/ZVE26292877/ICF247370-GMB253374-khfnhlh21fje0000000/SIG-20250630_1139am6e2.jpeg", "SIG-20250630_1139am6e2.jpeg")</f>
        <v>SIG-20250630_1139am6e2.jpeg</v>
      </c>
      <c r="AT33" s="1" t="s">
        <v>253</v>
      </c>
      <c r="AU33" s="2" t="str">
        <f>HYPERLINK("https://icf.clappia.com/app/GMB253374/submission/ZVE26292877/ICF247370-GMB253374-3kfgl18lj31a00000000/SIG-20250630_113814jko2.jpeg", "SIG-20250630_113814jko2.jpeg")</f>
        <v>SIG-20250630_113814jko2.jpeg</v>
      </c>
      <c r="AV33" s="2" t="str">
        <f>HYPERLINK("https://www.google.com/maps/place/8.8402267%2C-12.2548267", "8.8402267,-12.2548267")</f>
        <v>8.8402267,-12.2548267</v>
      </c>
    </row>
    <row r="34" ht="15.75" customHeight="1">
      <c r="A34" s="1" t="s">
        <v>254</v>
      </c>
      <c r="B34" s="1" t="s">
        <v>60</v>
      </c>
      <c r="C34" s="1" t="s">
        <v>255</v>
      </c>
      <c r="D34" s="1" t="s">
        <v>255</v>
      </c>
      <c r="E34" s="1" t="s">
        <v>256</v>
      </c>
      <c r="F34" s="1" t="s">
        <v>64</v>
      </c>
      <c r="G34" s="1">
        <v>124.0</v>
      </c>
      <c r="H34" s="1" t="s">
        <v>50</v>
      </c>
      <c r="I34" s="1">
        <v>40.0</v>
      </c>
      <c r="J34" s="1">
        <v>20.0</v>
      </c>
      <c r="K34" s="1">
        <v>17.0</v>
      </c>
      <c r="L34" s="1">
        <v>20.0</v>
      </c>
      <c r="M34" s="1">
        <v>17.0</v>
      </c>
      <c r="N34" s="1" t="s">
        <v>51</v>
      </c>
      <c r="O34" s="1">
        <v>22.0</v>
      </c>
      <c r="P34" s="1">
        <v>10.0</v>
      </c>
      <c r="Q34" s="1">
        <v>6.0</v>
      </c>
      <c r="R34" s="1">
        <v>12.0</v>
      </c>
      <c r="S34" s="1">
        <v>12.0</v>
      </c>
      <c r="T34" s="1" t="s">
        <v>52</v>
      </c>
      <c r="U34" s="1">
        <v>29.0</v>
      </c>
      <c r="V34" s="1">
        <v>11.0</v>
      </c>
      <c r="W34" s="1">
        <v>9.0</v>
      </c>
      <c r="X34" s="1">
        <v>18.0</v>
      </c>
      <c r="Y34" s="1">
        <v>12.0</v>
      </c>
      <c r="Z34" s="1" t="s">
        <v>53</v>
      </c>
      <c r="AA34" s="1">
        <v>16.0</v>
      </c>
      <c r="AB34" s="1">
        <v>5.0</v>
      </c>
      <c r="AC34" s="1">
        <v>4.0</v>
      </c>
      <c r="AD34" s="1">
        <v>11.0</v>
      </c>
      <c r="AE34" s="1">
        <v>10.0</v>
      </c>
      <c r="AF34" s="1" t="s">
        <v>54</v>
      </c>
      <c r="AG34" s="1">
        <v>17.0</v>
      </c>
      <c r="AH34" s="1">
        <v>5.0</v>
      </c>
      <c r="AI34" s="1">
        <v>3.0</v>
      </c>
      <c r="AJ34" s="1">
        <v>12.0</v>
      </c>
      <c r="AK34" s="1">
        <v>12.0</v>
      </c>
      <c r="AL34" s="1">
        <v>102.0</v>
      </c>
      <c r="AM34" s="1">
        <v>9.0</v>
      </c>
      <c r="AN34" s="1">
        <v>13.0</v>
      </c>
      <c r="AO34" s="1">
        <v>13.0</v>
      </c>
      <c r="AP34" s="1" t="s">
        <v>257</v>
      </c>
      <c r="AQ34" s="2" t="str">
        <f>HYPERLINK("https://icf.clappia.com/app/GMB253374/submission/MPD68460165/ICF247370-GMB253374-1fmcflp7nl98e0000000/SIG-20250630_1133130m3o.jpeg", "SIG-20250630_1133130m3o.jpeg")</f>
        <v>SIG-20250630_1133130m3o.jpeg</v>
      </c>
      <c r="AR34" s="1" t="s">
        <v>258</v>
      </c>
      <c r="AS34" s="2" t="str">
        <f>HYPERLINK("https://icf.clappia.com/app/GMB253374/submission/MPD68460165/ICF247370-GMB253374-5p8ci164d8a400000000/SIG-20250630_11352k5fn.jpeg", "SIG-20250630_11352k5fn.jpeg")</f>
        <v>SIG-20250630_11352k5fn.jpeg</v>
      </c>
      <c r="AT34" s="1" t="s">
        <v>259</v>
      </c>
      <c r="AU34" s="2" t="str">
        <f>HYPERLINK("https://icf.clappia.com/app/GMB253374/submission/MPD68460165/ICF247370-GMB253374-21iea85ccf1hg0000000/SIG-20250630_1134l0ke1.jpeg", "SIG-20250630_1134l0ke1.jpeg")</f>
        <v>SIG-20250630_1134l0ke1.jpeg</v>
      </c>
      <c r="AV34" s="2" t="str">
        <f>HYPERLINK("https://www.google.com/maps/place/7.9455029%2C-11.6855522", "7.9455029,-11.6855522")</f>
        <v>7.9455029,-11.6855522</v>
      </c>
    </row>
    <row r="35" ht="15.75" customHeight="1">
      <c r="A35" s="1" t="s">
        <v>260</v>
      </c>
      <c r="B35" s="1" t="s">
        <v>206</v>
      </c>
      <c r="C35" s="1" t="s">
        <v>261</v>
      </c>
      <c r="D35" s="1" t="s">
        <v>261</v>
      </c>
      <c r="E35" s="1" t="s">
        <v>262</v>
      </c>
      <c r="F35" s="1" t="s">
        <v>64</v>
      </c>
      <c r="G35" s="1">
        <v>250.0</v>
      </c>
      <c r="H35" s="1" t="s">
        <v>50</v>
      </c>
      <c r="I35" s="1">
        <v>69.0</v>
      </c>
      <c r="J35" s="1">
        <v>38.0</v>
      </c>
      <c r="K35" s="1">
        <v>38.0</v>
      </c>
      <c r="L35" s="1">
        <v>31.0</v>
      </c>
      <c r="M35" s="1">
        <v>31.0</v>
      </c>
      <c r="N35" s="1" t="s">
        <v>51</v>
      </c>
      <c r="O35" s="1">
        <v>33.0</v>
      </c>
      <c r="P35" s="1">
        <v>19.0</v>
      </c>
      <c r="Q35" s="1">
        <v>19.0</v>
      </c>
      <c r="R35" s="1">
        <v>14.0</v>
      </c>
      <c r="S35" s="1">
        <v>14.0</v>
      </c>
      <c r="T35" s="1" t="s">
        <v>52</v>
      </c>
      <c r="U35" s="1">
        <v>52.0</v>
      </c>
      <c r="V35" s="1">
        <v>29.0</v>
      </c>
      <c r="W35" s="1">
        <v>29.0</v>
      </c>
      <c r="X35" s="1">
        <v>23.0</v>
      </c>
      <c r="Y35" s="1">
        <v>23.0</v>
      </c>
      <c r="Z35" s="1" t="s">
        <v>53</v>
      </c>
      <c r="AA35" s="1">
        <v>53.0</v>
      </c>
      <c r="AB35" s="1">
        <v>24.0</v>
      </c>
      <c r="AC35" s="1">
        <v>24.0</v>
      </c>
      <c r="AD35" s="1">
        <v>29.0</v>
      </c>
      <c r="AE35" s="1">
        <v>29.0</v>
      </c>
      <c r="AF35" s="1" t="s">
        <v>54</v>
      </c>
      <c r="AG35" s="1">
        <v>40.0</v>
      </c>
      <c r="AH35" s="1">
        <v>20.0</v>
      </c>
      <c r="AI35" s="1">
        <v>20.0</v>
      </c>
      <c r="AJ35" s="1">
        <v>20.0</v>
      </c>
      <c r="AK35" s="1">
        <v>20.0</v>
      </c>
      <c r="AL35" s="1">
        <v>247.0</v>
      </c>
      <c r="AM35" s="1">
        <v>1.0</v>
      </c>
      <c r="AN35" s="1">
        <v>2.0</v>
      </c>
      <c r="AO35" s="1">
        <v>2.0</v>
      </c>
      <c r="AP35" s="1" t="s">
        <v>263</v>
      </c>
      <c r="AQ35" s="2" t="str">
        <f>HYPERLINK("https://icf.clappia.com/app/GMB253374/submission/REC58566440/ICF247370-GMB253374-cje73k96h97m0000000/SIG-20250630_11239n6h8.jpeg", "SIG-20250630_11239n6h8.jpeg")</f>
        <v>SIG-20250630_11239n6h8.jpeg</v>
      </c>
      <c r="AR35" s="1" t="s">
        <v>264</v>
      </c>
      <c r="AS35" s="2" t="str">
        <f>HYPERLINK("https://icf.clappia.com/app/GMB253374/submission/REC58566440/ICF247370-GMB253374-1f2oo7fjeih5a0000000/SIG-20250630_11241icbe.jpeg", "SIG-20250630_11241icbe.jpeg")</f>
        <v>SIG-20250630_11241icbe.jpeg</v>
      </c>
      <c r="AT35" s="1" t="s">
        <v>265</v>
      </c>
      <c r="AU35" s="2" t="str">
        <f>HYPERLINK("https://icf.clappia.com/app/GMB253374/submission/REC58566440/ICF247370-GMB253374-1d0bk34p71od60000000/SIG-20250630_1124pgpjl.jpeg", "SIG-20250630_1124pgpjl.jpeg")</f>
        <v>SIG-20250630_1124pgpjl.jpeg</v>
      </c>
      <c r="AV35" s="2" t="str">
        <f>HYPERLINK("https://www.google.com/maps/place/8.7331417%2C-12.07897", "8.7331417,-12.07897")</f>
        <v>8.7331417,-12.07897</v>
      </c>
    </row>
    <row r="36" ht="15.75" customHeight="1">
      <c r="A36" s="1" t="s">
        <v>266</v>
      </c>
      <c r="B36" s="1" t="s">
        <v>60</v>
      </c>
      <c r="C36" s="1" t="s">
        <v>261</v>
      </c>
      <c r="D36" s="1" t="s">
        <v>261</v>
      </c>
      <c r="E36" s="1" t="s">
        <v>267</v>
      </c>
      <c r="F36" s="1" t="s">
        <v>49</v>
      </c>
      <c r="G36" s="1">
        <v>50.0</v>
      </c>
      <c r="H36" s="1" t="s">
        <v>50</v>
      </c>
      <c r="I36" s="1">
        <v>8.0</v>
      </c>
      <c r="J36" s="1">
        <v>4.0</v>
      </c>
      <c r="K36" s="1">
        <v>4.0</v>
      </c>
      <c r="L36" s="1">
        <v>4.0</v>
      </c>
      <c r="M36" s="1">
        <v>4.0</v>
      </c>
      <c r="N36" s="1" t="s">
        <v>51</v>
      </c>
      <c r="O36" s="1">
        <v>2.0</v>
      </c>
      <c r="P36" s="1">
        <v>2.0</v>
      </c>
      <c r="Q36" s="1">
        <v>2.0</v>
      </c>
      <c r="R36" s="1" t="s">
        <v>55</v>
      </c>
      <c r="S36" s="1" t="s">
        <v>55</v>
      </c>
      <c r="T36" s="1" t="s">
        <v>52</v>
      </c>
      <c r="U36" s="1">
        <v>15.0</v>
      </c>
      <c r="V36" s="1">
        <v>7.0</v>
      </c>
      <c r="W36" s="1">
        <v>7.0</v>
      </c>
      <c r="X36" s="1">
        <v>8.0</v>
      </c>
      <c r="Y36" s="1">
        <v>8.0</v>
      </c>
      <c r="Z36" s="1" t="s">
        <v>53</v>
      </c>
      <c r="AA36" s="1">
        <v>10.0</v>
      </c>
      <c r="AB36" s="1">
        <v>5.0</v>
      </c>
      <c r="AC36" s="1">
        <v>5.0</v>
      </c>
      <c r="AD36" s="1">
        <v>5.0</v>
      </c>
      <c r="AE36" s="1">
        <v>5.0</v>
      </c>
      <c r="AF36" s="1" t="s">
        <v>54</v>
      </c>
      <c r="AG36" s="1">
        <v>4.0</v>
      </c>
      <c r="AH36" s="1">
        <v>1.0</v>
      </c>
      <c r="AI36" s="1">
        <v>1.0</v>
      </c>
      <c r="AJ36" s="1">
        <v>3.0</v>
      </c>
      <c r="AK36" s="1">
        <v>3.0</v>
      </c>
      <c r="AL36" s="1">
        <v>39.0</v>
      </c>
      <c r="AM36" s="1">
        <v>10.0</v>
      </c>
      <c r="AN36" s="1">
        <v>1.0</v>
      </c>
      <c r="AO36" s="1">
        <v>1.0</v>
      </c>
      <c r="AP36" s="1" t="s">
        <v>268</v>
      </c>
      <c r="AQ36" s="2" t="str">
        <f>HYPERLINK("https://icf.clappia.com/app/GMB253374/submission/TOE84451698/ICF247370-GMB253374-5mm567k2d4fa00000000/SIG-20250630_11247fb36.jpeg", "SIG-20250630_11247fb36.jpeg")</f>
        <v>SIG-20250630_11247fb36.jpeg</v>
      </c>
      <c r="AR36" s="1" t="s">
        <v>269</v>
      </c>
      <c r="AS36" s="2" t="str">
        <f>HYPERLINK("https://icf.clappia.com/app/GMB253374/submission/TOE84451698/ICF247370-GMB253374-149nlkn91cpm00000000/SIG-20250630_11252pa9k.jpeg", "SIG-20250630_11252pa9k.jpeg")</f>
        <v>SIG-20250630_11252pa9k.jpeg</v>
      </c>
      <c r="AT36" s="1" t="s">
        <v>270</v>
      </c>
      <c r="AU36" s="2" t="str">
        <f>HYPERLINK("https://icf.clappia.com/app/GMB253374/submission/TOE84451698/ICF247370-GMB253374-2i0p72mokoo400000000/SIG-20250630_1126o10o.jpeg", "SIG-20250630_1126o10o.jpeg")</f>
        <v>SIG-20250630_1126o10o.jpeg</v>
      </c>
      <c r="AV36" s="2" t="str">
        <f>HYPERLINK("https://www.google.com/maps/place/7.9920217%2C-11.7677883", "7.9920217,-11.7677883")</f>
        <v>7.9920217,-11.7677883</v>
      </c>
    </row>
    <row r="37" ht="15.75" customHeight="1">
      <c r="A37" s="1" t="s">
        <v>271</v>
      </c>
      <c r="B37" s="1" t="s">
        <v>159</v>
      </c>
      <c r="C37" s="1" t="s">
        <v>272</v>
      </c>
      <c r="D37" s="1" t="s">
        <v>272</v>
      </c>
      <c r="E37" s="1" t="s">
        <v>273</v>
      </c>
      <c r="F37" s="1" t="s">
        <v>49</v>
      </c>
      <c r="G37" s="1">
        <v>192.0</v>
      </c>
      <c r="H37" s="1" t="s">
        <v>50</v>
      </c>
      <c r="I37" s="1">
        <v>38.0</v>
      </c>
      <c r="J37" s="1">
        <v>20.0</v>
      </c>
      <c r="K37" s="1">
        <v>20.0</v>
      </c>
      <c r="L37" s="1">
        <v>18.0</v>
      </c>
      <c r="M37" s="1">
        <v>18.0</v>
      </c>
      <c r="N37" s="1" t="s">
        <v>51</v>
      </c>
      <c r="O37" s="1">
        <v>30.0</v>
      </c>
      <c r="P37" s="1">
        <v>10.0</v>
      </c>
      <c r="Q37" s="1">
        <v>10.0</v>
      </c>
      <c r="R37" s="1">
        <v>20.0</v>
      </c>
      <c r="S37" s="1">
        <v>20.0</v>
      </c>
      <c r="T37" s="1" t="s">
        <v>52</v>
      </c>
      <c r="U37" s="1">
        <v>31.0</v>
      </c>
      <c r="V37" s="1">
        <v>11.0</v>
      </c>
      <c r="W37" s="1">
        <v>11.0</v>
      </c>
      <c r="X37" s="1">
        <v>20.0</v>
      </c>
      <c r="Y37" s="1">
        <v>20.0</v>
      </c>
      <c r="Z37" s="1" t="s">
        <v>53</v>
      </c>
      <c r="AA37" s="1">
        <v>20.0</v>
      </c>
      <c r="AB37" s="1">
        <v>9.0</v>
      </c>
      <c r="AC37" s="1">
        <v>9.0</v>
      </c>
      <c r="AD37" s="1">
        <v>11.0</v>
      </c>
      <c r="AE37" s="1">
        <v>11.0</v>
      </c>
      <c r="AF37" s="1" t="s">
        <v>54</v>
      </c>
      <c r="AG37" s="1">
        <v>30.0</v>
      </c>
      <c r="AH37" s="1">
        <v>15.0</v>
      </c>
      <c r="AI37" s="1">
        <v>15.0</v>
      </c>
      <c r="AJ37" s="1">
        <v>15.0</v>
      </c>
      <c r="AK37" s="1">
        <v>15.0</v>
      </c>
      <c r="AL37" s="1">
        <v>149.0</v>
      </c>
      <c r="AM37" s="1" t="s">
        <v>55</v>
      </c>
      <c r="AN37" s="1">
        <v>43.0</v>
      </c>
      <c r="AO37" s="1">
        <v>43.0</v>
      </c>
      <c r="AP37" s="1" t="s">
        <v>274</v>
      </c>
      <c r="AQ37" s="2" t="str">
        <f>HYPERLINK("https://icf.clappia.com/app/GMB253374/submission/SBM01803467/ICF247370-GMB253374-2dc85i2fb48a00000000/SIG-20250630_112315e9e9.jpeg", "SIG-20250630_112315e9e9.jpeg")</f>
        <v>SIG-20250630_112315e9e9.jpeg</v>
      </c>
      <c r="AR37" s="1" t="s">
        <v>275</v>
      </c>
      <c r="AS37" s="2" t="str">
        <f>HYPERLINK("https://icf.clappia.com/app/GMB253374/submission/SBM01803467/ICF247370-GMB253374-3m5bnk9jp6lo00000000/SIG-20250630_11238cj8k.jpeg", "SIG-20250630_11238cj8k.jpeg")</f>
        <v>SIG-20250630_11238cj8k.jpeg</v>
      </c>
      <c r="AT37" s="1" t="s">
        <v>276</v>
      </c>
      <c r="AU37" s="2" t="str">
        <f>HYPERLINK("https://icf.clappia.com/app/GMB253374/submission/SBM01803467/ICF247370-GMB253374-18j78j5m9fkn20000000/SIG-20250630_1120147ej5.jpeg", "SIG-20250630_1120147ej5.jpeg")</f>
        <v>SIG-20250630_1120147ej5.jpeg</v>
      </c>
      <c r="AV37" s="2" t="str">
        <f>HYPERLINK("https://www.google.com/maps/place/7.9516513%2C-11.7650236", "7.9516513,-11.7650236")</f>
        <v>7.9516513,-11.7650236</v>
      </c>
    </row>
    <row r="38" ht="15.75" customHeight="1">
      <c r="A38" s="1" t="s">
        <v>277</v>
      </c>
      <c r="B38" s="1" t="s">
        <v>159</v>
      </c>
      <c r="C38" s="1" t="s">
        <v>278</v>
      </c>
      <c r="D38" s="1" t="s">
        <v>278</v>
      </c>
      <c r="E38" s="1" t="s">
        <v>279</v>
      </c>
      <c r="F38" s="1" t="s">
        <v>64</v>
      </c>
      <c r="G38" s="1">
        <v>100.0</v>
      </c>
      <c r="H38" s="1" t="s">
        <v>50</v>
      </c>
      <c r="I38" s="1">
        <v>50.0</v>
      </c>
      <c r="J38" s="1">
        <v>27.0</v>
      </c>
      <c r="K38" s="1">
        <v>27.0</v>
      </c>
      <c r="L38" s="1">
        <v>23.0</v>
      </c>
      <c r="M38" s="1">
        <v>20.0</v>
      </c>
      <c r="N38" s="1" t="s">
        <v>51</v>
      </c>
      <c r="O38" s="1">
        <v>9.0</v>
      </c>
      <c r="P38" s="1">
        <v>6.0</v>
      </c>
      <c r="Q38" s="1">
        <v>1.0</v>
      </c>
      <c r="R38" s="1">
        <v>2.0</v>
      </c>
      <c r="S38" s="1">
        <v>2.0</v>
      </c>
      <c r="T38" s="1" t="s">
        <v>52</v>
      </c>
      <c r="U38" s="1">
        <v>17.0</v>
      </c>
      <c r="V38" s="1">
        <v>8.0</v>
      </c>
      <c r="W38" s="1">
        <v>8.0</v>
      </c>
      <c r="X38" s="1">
        <v>9.0</v>
      </c>
      <c r="Y38" s="1">
        <v>9.0</v>
      </c>
      <c r="Z38" s="1" t="s">
        <v>53</v>
      </c>
      <c r="AA38" s="1">
        <v>8.0</v>
      </c>
      <c r="AB38" s="1">
        <v>5.0</v>
      </c>
      <c r="AC38" s="1">
        <v>5.0</v>
      </c>
      <c r="AD38" s="1">
        <v>3.0</v>
      </c>
      <c r="AE38" s="1">
        <v>3.0</v>
      </c>
      <c r="AF38" s="1" t="s">
        <v>54</v>
      </c>
      <c r="AG38" s="1">
        <v>12.0</v>
      </c>
      <c r="AH38" s="1">
        <v>10.0</v>
      </c>
      <c r="AI38" s="1">
        <v>10.0</v>
      </c>
      <c r="AJ38" s="1">
        <v>2.0</v>
      </c>
      <c r="AK38" s="1">
        <v>2.0</v>
      </c>
      <c r="AL38" s="1">
        <v>87.0</v>
      </c>
      <c r="AM38" s="1" t="s">
        <v>55</v>
      </c>
      <c r="AN38" s="1">
        <v>13.0</v>
      </c>
      <c r="AO38" s="1">
        <v>13.0</v>
      </c>
      <c r="AP38" s="1" t="s">
        <v>280</v>
      </c>
      <c r="AQ38" s="2" t="str">
        <f>HYPERLINK("https://icf.clappia.com/app/GMB253374/submission/OAH65104744/ICF247370-GMB253374-35338m4i68ia0000000/SIG-20250630_1119180n2f.jpeg", "SIG-20250630_1119180n2f.jpeg")</f>
        <v>SIG-20250630_1119180n2f.jpeg</v>
      </c>
      <c r="AR38" s="1" t="s">
        <v>281</v>
      </c>
      <c r="AS38" s="2" t="str">
        <f>HYPERLINK("https://icf.clappia.com/app/GMB253374/submission/OAH65104744/ICF247370-GMB253374-20baaj9b2b86c0000000/SIG-20250630_112019e578.jpeg", "SIG-20250630_112019e578.jpeg")</f>
        <v>SIG-20250630_112019e578.jpeg</v>
      </c>
      <c r="AT38" s="1" t="s">
        <v>282</v>
      </c>
      <c r="AU38" s="2" t="str">
        <f>HYPERLINK("https://icf.clappia.com/app/GMB253374/submission/OAH65104744/ICF247370-GMB253374-2hlnbg2pk4ho0000000/SIG-20250630_11211a2khm.jpeg", "SIG-20250630_11211a2khm.jpeg")</f>
        <v>SIG-20250630_11211a2khm.jpeg</v>
      </c>
      <c r="AV38" s="2" t="str">
        <f>HYPERLINK("https://www.google.com/maps/place/7.9814404%2C-11.7643115", "7.9814404,-11.7643115")</f>
        <v>7.9814404,-11.7643115</v>
      </c>
    </row>
    <row r="39" ht="15.75" customHeight="1">
      <c r="A39" s="1" t="s">
        <v>283</v>
      </c>
      <c r="B39" s="1" t="s">
        <v>46</v>
      </c>
      <c r="C39" s="1" t="s">
        <v>284</v>
      </c>
      <c r="D39" s="1" t="s">
        <v>284</v>
      </c>
      <c r="E39" s="1" t="s">
        <v>285</v>
      </c>
      <c r="F39" s="1" t="s">
        <v>64</v>
      </c>
      <c r="G39" s="1">
        <v>200.0</v>
      </c>
      <c r="H39" s="1" t="s">
        <v>50</v>
      </c>
      <c r="I39" s="1">
        <v>42.0</v>
      </c>
      <c r="J39" s="1">
        <v>17.0</v>
      </c>
      <c r="K39" s="1">
        <v>14.0</v>
      </c>
      <c r="L39" s="1">
        <v>25.0</v>
      </c>
      <c r="M39" s="1">
        <v>24.0</v>
      </c>
      <c r="N39" s="1" t="s">
        <v>51</v>
      </c>
      <c r="O39" s="1">
        <v>44.0</v>
      </c>
      <c r="P39" s="1">
        <v>21.0</v>
      </c>
      <c r="Q39" s="1">
        <v>21.0</v>
      </c>
      <c r="R39" s="1">
        <v>23.0</v>
      </c>
      <c r="S39" s="1">
        <v>23.0</v>
      </c>
      <c r="T39" s="1" t="s">
        <v>52</v>
      </c>
      <c r="U39" s="1">
        <v>35.0</v>
      </c>
      <c r="V39" s="1">
        <v>21.0</v>
      </c>
      <c r="W39" s="1">
        <v>21.0</v>
      </c>
      <c r="X39" s="1">
        <v>14.0</v>
      </c>
      <c r="Y39" s="1">
        <v>14.0</v>
      </c>
      <c r="Z39" s="1" t="s">
        <v>53</v>
      </c>
      <c r="AA39" s="1">
        <v>20.0</v>
      </c>
      <c r="AB39" s="1">
        <v>11.0</v>
      </c>
      <c r="AC39" s="1">
        <v>11.0</v>
      </c>
      <c r="AD39" s="1">
        <v>9.0</v>
      </c>
      <c r="AE39" s="1">
        <v>9.0</v>
      </c>
      <c r="AF39" s="1" t="s">
        <v>54</v>
      </c>
      <c r="AG39" s="1">
        <v>24.0</v>
      </c>
      <c r="AH39" s="1">
        <v>11.0</v>
      </c>
      <c r="AI39" s="1">
        <v>11.0</v>
      </c>
      <c r="AJ39" s="1">
        <v>13.0</v>
      </c>
      <c r="AK39" s="1">
        <v>13.0</v>
      </c>
      <c r="AL39" s="1">
        <v>161.0</v>
      </c>
      <c r="AM39" s="1">
        <v>4.0</v>
      </c>
      <c r="AN39" s="1">
        <v>35.0</v>
      </c>
      <c r="AO39" s="1">
        <v>35.0</v>
      </c>
      <c r="AP39" s="1" t="s">
        <v>286</v>
      </c>
      <c r="AQ39" s="2" t="str">
        <f>HYPERLINK("https://icf.clappia.com/app/GMB253374/submission/WGB43512096/ICF247370-GMB253374-100b5fhp1m8jo0000000/SIG-20250630_111466nfc.jpeg", "SIG-20250630_111466nfc.jpeg")</f>
        <v>SIG-20250630_111466nfc.jpeg</v>
      </c>
      <c r="AR39" s="1" t="s">
        <v>287</v>
      </c>
      <c r="AS39" s="2" t="str">
        <f>HYPERLINK("https://icf.clappia.com/app/GMB253374/submission/WGB43512096/ICF247370-GMB253374-1g0d4mdkajaee0000000/SIG-20250630_1115497e6.jpeg", "SIG-20250630_1115497e6.jpeg")</f>
        <v>SIG-20250630_1115497e6.jpeg</v>
      </c>
      <c r="AT39" s="1" t="s">
        <v>288</v>
      </c>
      <c r="AU39" s="2" t="str">
        <f>HYPERLINK("https://icf.clappia.com/app/GMB253374/submission/WGB43512096/ICF247370-GMB253374-145bhmjob8ikg0000000/SIG-20250630_1116l7m4h.jpeg", "SIG-20250630_1116l7m4h.jpeg")</f>
        <v>SIG-20250630_1116l7m4h.jpeg</v>
      </c>
      <c r="AV39" s="2" t="str">
        <f>HYPERLINK("https://www.google.com/maps/place/9.0123133%2C-12.1419217", "9.0123133,-12.1419217")</f>
        <v>9.0123133,-12.1419217</v>
      </c>
    </row>
    <row r="40" ht="15.75" customHeight="1">
      <c r="A40" s="1" t="s">
        <v>289</v>
      </c>
      <c r="B40" s="1" t="s">
        <v>153</v>
      </c>
      <c r="C40" s="1" t="s">
        <v>290</v>
      </c>
      <c r="D40" s="1" t="s">
        <v>290</v>
      </c>
      <c r="E40" s="1" t="s">
        <v>291</v>
      </c>
      <c r="F40" s="1" t="s">
        <v>64</v>
      </c>
      <c r="G40" s="1">
        <v>243.0</v>
      </c>
      <c r="H40" s="1" t="s">
        <v>50</v>
      </c>
      <c r="I40" s="1">
        <v>64.0</v>
      </c>
      <c r="J40" s="1">
        <v>32.0</v>
      </c>
      <c r="K40" s="1">
        <v>31.0</v>
      </c>
      <c r="L40" s="1">
        <v>32.0</v>
      </c>
      <c r="M40" s="1">
        <v>27.0</v>
      </c>
      <c r="N40" s="1" t="s">
        <v>51</v>
      </c>
      <c r="O40" s="1">
        <v>66.0</v>
      </c>
      <c r="P40" s="1">
        <v>30.0</v>
      </c>
      <c r="Q40" s="1">
        <v>27.0</v>
      </c>
      <c r="R40" s="1">
        <v>36.0</v>
      </c>
      <c r="S40" s="1">
        <v>29.0</v>
      </c>
      <c r="T40" s="1" t="s">
        <v>52</v>
      </c>
      <c r="U40" s="1">
        <v>51.0</v>
      </c>
      <c r="V40" s="1">
        <v>26.0</v>
      </c>
      <c r="W40" s="1">
        <v>24.0</v>
      </c>
      <c r="X40" s="1">
        <v>25.0</v>
      </c>
      <c r="Y40" s="1">
        <v>25.0</v>
      </c>
      <c r="Z40" s="1" t="s">
        <v>53</v>
      </c>
      <c r="AA40" s="1">
        <v>48.0</v>
      </c>
      <c r="AB40" s="1">
        <v>28.0</v>
      </c>
      <c r="AC40" s="1">
        <v>28.0</v>
      </c>
      <c r="AD40" s="1">
        <v>20.0</v>
      </c>
      <c r="AE40" s="1" t="s">
        <v>55</v>
      </c>
      <c r="AF40" s="1" t="s">
        <v>54</v>
      </c>
      <c r="AG40" s="1">
        <v>32.0</v>
      </c>
      <c r="AH40" s="1">
        <v>16.0</v>
      </c>
      <c r="AI40" s="1" t="s">
        <v>55</v>
      </c>
      <c r="AJ40" s="1">
        <v>16.0</v>
      </c>
      <c r="AK40" s="1" t="s">
        <v>55</v>
      </c>
      <c r="AL40" s="1">
        <v>191.0</v>
      </c>
      <c r="AM40" s="1" t="s">
        <v>55</v>
      </c>
      <c r="AN40" s="1">
        <v>52.0</v>
      </c>
      <c r="AO40" s="1">
        <v>52.0</v>
      </c>
      <c r="AP40" s="1" t="s">
        <v>292</v>
      </c>
      <c r="AQ40" s="2" t="str">
        <f>HYPERLINK("https://icf.clappia.com/app/GMB253374/submission/BVJ42363308/ICF247370-GMB253374-429lnk9gki8800000000/SIG-20250630_111616d6da.jpeg", "SIG-20250630_111616d6da.jpeg")</f>
        <v>SIG-20250630_111616d6da.jpeg</v>
      </c>
      <c r="AR40" s="1" t="s">
        <v>293</v>
      </c>
      <c r="AS40" s="2" t="str">
        <f>HYPERLINK("https://icf.clappia.com/app/GMB253374/submission/BVJ42363308/ICF247370-GMB253374-303711a1p58000000000/SIG-20250630_1116fob5d.jpeg", "SIG-20250630_1116fob5d.jpeg")</f>
        <v>SIG-20250630_1116fob5d.jpeg</v>
      </c>
      <c r="AT40" s="1" t="s">
        <v>294</v>
      </c>
      <c r="AU40" s="2" t="str">
        <f>HYPERLINK("https://icf.clappia.com/app/GMB253374/submission/BVJ42363308/ICF247370-GMB253374-5bapk9p2415i00000000/SIG-20250630_111719l5pi.jpeg", "SIG-20250630_111719l5pi.jpeg")</f>
        <v>SIG-20250630_111719l5pi.jpeg</v>
      </c>
      <c r="AV40" s="2" t="str">
        <f>HYPERLINK("https://www.google.com/maps/place/8.8821415%2C-12.0941461", "8.8821415,-12.0941461")</f>
        <v>8.8821415,-12.0941461</v>
      </c>
    </row>
    <row r="41" ht="15.75" customHeight="1">
      <c r="A41" s="1" t="s">
        <v>295</v>
      </c>
      <c r="B41" s="1" t="s">
        <v>101</v>
      </c>
      <c r="C41" s="1" t="s">
        <v>296</v>
      </c>
      <c r="D41" s="1" t="s">
        <v>296</v>
      </c>
      <c r="E41" s="1" t="s">
        <v>297</v>
      </c>
      <c r="F41" s="1" t="s">
        <v>64</v>
      </c>
      <c r="G41" s="1">
        <v>172.0</v>
      </c>
      <c r="H41" s="1" t="s">
        <v>50</v>
      </c>
      <c r="I41" s="1">
        <v>50.0</v>
      </c>
      <c r="J41" s="1">
        <v>28.0</v>
      </c>
      <c r="K41" s="1">
        <v>27.0</v>
      </c>
      <c r="L41" s="1">
        <v>22.0</v>
      </c>
      <c r="M41" s="1">
        <v>20.0</v>
      </c>
      <c r="N41" s="1" t="s">
        <v>51</v>
      </c>
      <c r="O41" s="1">
        <v>40.0</v>
      </c>
      <c r="P41" s="1">
        <v>23.0</v>
      </c>
      <c r="Q41" s="1">
        <v>22.0</v>
      </c>
      <c r="R41" s="1">
        <v>17.0</v>
      </c>
      <c r="S41" s="1">
        <v>15.0</v>
      </c>
      <c r="T41" s="1" t="s">
        <v>52</v>
      </c>
      <c r="U41" s="1">
        <v>25.0</v>
      </c>
      <c r="V41" s="1">
        <v>15.0</v>
      </c>
      <c r="W41" s="1">
        <v>10.0</v>
      </c>
      <c r="X41" s="1">
        <v>10.0</v>
      </c>
      <c r="Y41" s="1">
        <v>10.0</v>
      </c>
      <c r="Z41" s="1" t="s">
        <v>53</v>
      </c>
      <c r="AA41" s="1">
        <v>40.0</v>
      </c>
      <c r="AB41" s="1">
        <v>26.0</v>
      </c>
      <c r="AC41" s="1">
        <v>24.0</v>
      </c>
      <c r="AD41" s="1">
        <v>14.0</v>
      </c>
      <c r="AE41" s="1">
        <v>13.0</v>
      </c>
      <c r="AF41" s="1" t="s">
        <v>54</v>
      </c>
      <c r="AG41" s="1">
        <v>31.0</v>
      </c>
      <c r="AH41" s="1">
        <v>15.0</v>
      </c>
      <c r="AI41" s="1">
        <v>10.0</v>
      </c>
      <c r="AJ41" s="1">
        <v>14.0</v>
      </c>
      <c r="AK41" s="1">
        <v>9.0</v>
      </c>
      <c r="AL41" s="1">
        <v>160.0</v>
      </c>
      <c r="AM41" s="1" t="s">
        <v>55</v>
      </c>
      <c r="AN41" s="1">
        <v>12.0</v>
      </c>
      <c r="AO41" s="1" t="s">
        <v>55</v>
      </c>
      <c r="AP41" s="1" t="s">
        <v>298</v>
      </c>
      <c r="AQ41" s="2" t="str">
        <f>HYPERLINK("https://icf.clappia.com/app/GMB253374/submission/FHW52808642/ICF247370-GMB253374-3p455apf9hcm00000000/SIG-20250630_111297735.jpeg", "SIG-20250630_111297735.jpeg")</f>
        <v>SIG-20250630_111297735.jpeg</v>
      </c>
      <c r="AR41" s="1" t="s">
        <v>299</v>
      </c>
      <c r="AS41" s="2" t="str">
        <f>HYPERLINK("https://icf.clappia.com/app/GMB253374/submission/FHW52808642/ICF247370-GMB253374-1k6a7aihkon3m0000000/SIG-20250630_11061909po.jpeg", "SIG-20250630_11061909po.jpeg")</f>
        <v>SIG-20250630_11061909po.jpeg</v>
      </c>
      <c r="AT41" s="1" t="s">
        <v>300</v>
      </c>
      <c r="AU41" s="2" t="str">
        <f>HYPERLINK("https://icf.clappia.com/app/GMB253374/submission/FHW52808642/ICF247370-GMB253374-210c5ndlcdod60000000/SIG-20250630_111351pf6.jpeg", "SIG-20250630_111351pf6.jpeg")</f>
        <v>SIG-20250630_111351pf6.jpeg</v>
      </c>
      <c r="AV41" s="2" t="str">
        <f>HYPERLINK("https://www.google.com/maps/place/7.9451638%2C-11.7358374", "7.9451638,-11.7358374")</f>
        <v>7.9451638,-11.7358374</v>
      </c>
    </row>
    <row r="42" ht="15.75" customHeight="1">
      <c r="A42" s="1" t="s">
        <v>301</v>
      </c>
      <c r="B42" s="1" t="s">
        <v>46</v>
      </c>
      <c r="C42" s="1" t="s">
        <v>302</v>
      </c>
      <c r="D42" s="1" t="s">
        <v>303</v>
      </c>
      <c r="E42" s="1" t="s">
        <v>304</v>
      </c>
      <c r="F42" s="1" t="s">
        <v>64</v>
      </c>
      <c r="G42" s="1">
        <v>250.0</v>
      </c>
      <c r="H42" s="1" t="s">
        <v>50</v>
      </c>
      <c r="I42" s="1">
        <v>50.0</v>
      </c>
      <c r="J42" s="1">
        <v>30.0</v>
      </c>
      <c r="K42" s="1">
        <v>30.0</v>
      </c>
      <c r="L42" s="1">
        <v>20.0</v>
      </c>
      <c r="M42" s="1">
        <v>15.0</v>
      </c>
      <c r="N42" s="1" t="s">
        <v>51</v>
      </c>
      <c r="O42" s="1">
        <v>30.0</v>
      </c>
      <c r="P42" s="1">
        <v>15.0</v>
      </c>
      <c r="Q42" s="1">
        <v>15.0</v>
      </c>
      <c r="R42" s="1">
        <v>15.0</v>
      </c>
      <c r="S42" s="1">
        <v>15.0</v>
      </c>
      <c r="T42" s="1" t="s">
        <v>52</v>
      </c>
      <c r="U42" s="1">
        <v>40.0</v>
      </c>
      <c r="V42" s="1">
        <v>25.0</v>
      </c>
      <c r="W42" s="1">
        <v>20.0</v>
      </c>
      <c r="X42" s="1">
        <v>15.0</v>
      </c>
      <c r="Y42" s="1">
        <v>15.0</v>
      </c>
      <c r="Z42" s="1" t="s">
        <v>53</v>
      </c>
      <c r="AA42" s="1">
        <v>55.0</v>
      </c>
      <c r="AB42" s="1">
        <v>30.0</v>
      </c>
      <c r="AC42" s="1">
        <v>25.0</v>
      </c>
      <c r="AD42" s="1">
        <v>25.0</v>
      </c>
      <c r="AE42" s="1">
        <v>25.0</v>
      </c>
      <c r="AF42" s="1" t="s">
        <v>54</v>
      </c>
      <c r="AG42" s="1">
        <v>75.0</v>
      </c>
      <c r="AH42" s="1">
        <v>25.0</v>
      </c>
      <c r="AI42" s="1">
        <v>25.0</v>
      </c>
      <c r="AJ42" s="1">
        <v>50.0</v>
      </c>
      <c r="AK42" s="1">
        <v>50.0</v>
      </c>
      <c r="AL42" s="1">
        <v>235.0</v>
      </c>
      <c r="AM42" s="1">
        <v>10.0</v>
      </c>
      <c r="AN42" s="1">
        <v>5.0</v>
      </c>
      <c r="AO42" s="1">
        <v>5.0</v>
      </c>
      <c r="AP42" s="1" t="s">
        <v>305</v>
      </c>
      <c r="AQ42" s="2" t="str">
        <f>HYPERLINK("https://icf.clappia.com/app/GMB253374/submission/WNH89904360/ICF247370-GMB253374-1fg3ijmc9nifg0000000/SIG-20250626_163444a19.jpeg", "SIG-20250626_163444a19.jpeg")</f>
        <v>SIG-20250626_163444a19.jpeg</v>
      </c>
      <c r="AR42" s="1" t="s">
        <v>306</v>
      </c>
      <c r="AS42" s="2" t="str">
        <f>HYPERLINK("https://icf.clappia.com/app/GMB253374/submission/WNH89904360/ICF247370-GMB253374-33gohm33eikk00000000/SIG-20250626_16341040fo.jpeg", "SIG-20250626_16341040fo.jpeg")</f>
        <v>SIG-20250626_16341040fo.jpeg</v>
      </c>
      <c r="AT42" s="1" t="s">
        <v>307</v>
      </c>
      <c r="AU42" s="2" t="str">
        <f>HYPERLINK("https://icf.clappia.com/app/GMB253374/submission/WNH89904360/ICF247370-GMB253374-4eajkfn8pji200000000/SIG-20250626_16358p6gd.jpeg", "SIG-20250626_16358p6gd.jpeg")</f>
        <v>SIG-20250626_16358p6gd.jpeg</v>
      </c>
      <c r="AV42" s="2" t="str">
        <f>HYPERLINK("https://www.google.com/maps/place/7.963936%2C-11.744732", "7.963936,-11.744732")</f>
        <v>7.963936,-11.744732</v>
      </c>
    </row>
    <row r="43" ht="15.75" customHeight="1">
      <c r="A43" s="1" t="s">
        <v>308</v>
      </c>
      <c r="B43" s="1" t="s">
        <v>159</v>
      </c>
      <c r="C43" s="1" t="s">
        <v>309</v>
      </c>
      <c r="D43" s="1" t="s">
        <v>309</v>
      </c>
      <c r="E43" s="1" t="s">
        <v>310</v>
      </c>
      <c r="F43" s="1" t="s">
        <v>64</v>
      </c>
      <c r="G43" s="1">
        <v>133.0</v>
      </c>
      <c r="H43" s="1" t="s">
        <v>50</v>
      </c>
      <c r="I43" s="1">
        <v>32.0</v>
      </c>
      <c r="J43" s="1">
        <v>15.0</v>
      </c>
      <c r="K43" s="1">
        <v>15.0</v>
      </c>
      <c r="L43" s="1">
        <v>17.0</v>
      </c>
      <c r="M43" s="1">
        <v>17.0</v>
      </c>
      <c r="N43" s="1" t="s">
        <v>51</v>
      </c>
      <c r="O43" s="1">
        <v>23.0</v>
      </c>
      <c r="P43" s="1">
        <v>14.0</v>
      </c>
      <c r="Q43" s="1">
        <v>14.0</v>
      </c>
      <c r="R43" s="1">
        <v>9.0</v>
      </c>
      <c r="S43" s="1">
        <v>9.0</v>
      </c>
      <c r="T43" s="1" t="s">
        <v>52</v>
      </c>
      <c r="U43" s="1">
        <v>37.0</v>
      </c>
      <c r="V43" s="1">
        <v>16.0</v>
      </c>
      <c r="W43" s="1">
        <v>16.0</v>
      </c>
      <c r="X43" s="1">
        <v>21.0</v>
      </c>
      <c r="Y43" s="1">
        <v>21.0</v>
      </c>
      <c r="Z43" s="1" t="s">
        <v>53</v>
      </c>
      <c r="AA43" s="1">
        <v>15.0</v>
      </c>
      <c r="AB43" s="1">
        <v>8.0</v>
      </c>
      <c r="AC43" s="1">
        <v>8.0</v>
      </c>
      <c r="AD43" s="1">
        <v>7.0</v>
      </c>
      <c r="AE43" s="1">
        <v>7.0</v>
      </c>
      <c r="AF43" s="1" t="s">
        <v>54</v>
      </c>
      <c r="AG43" s="1">
        <v>16.0</v>
      </c>
      <c r="AH43" s="1">
        <v>10.0</v>
      </c>
      <c r="AI43" s="1">
        <v>10.0</v>
      </c>
      <c r="AJ43" s="1">
        <v>6.0</v>
      </c>
      <c r="AK43" s="1">
        <v>6.0</v>
      </c>
      <c r="AL43" s="1">
        <v>123.0</v>
      </c>
      <c r="AM43" s="1">
        <v>10.0</v>
      </c>
      <c r="AN43" s="1" t="s">
        <v>55</v>
      </c>
      <c r="AO43" s="1" t="s">
        <v>55</v>
      </c>
      <c r="AP43" s="1" t="s">
        <v>311</v>
      </c>
      <c r="AQ43" s="2" t="str">
        <f>HYPERLINK("https://icf.clappia.com/app/GMB253374/submission/ZSM06245428/ICF247370-GMB253374-bc0e1nn95b520000000/SIG-20250630_1052162nj2.jpeg", "SIG-20250630_1052162nj2.jpeg")</f>
        <v>SIG-20250630_1052162nj2.jpeg</v>
      </c>
      <c r="AR43" s="1" t="s">
        <v>312</v>
      </c>
      <c r="AS43" s="2" t="str">
        <f>HYPERLINK("https://icf.clappia.com/app/GMB253374/submission/ZSM06245428/ICF247370-GMB253374-3fae0jcpcllo00000000/SIG-20250630_105317cgl0.jpeg", "SIG-20250630_105317cgl0.jpeg")</f>
        <v>SIG-20250630_105317cgl0.jpeg</v>
      </c>
      <c r="AT43" s="1" t="s">
        <v>313</v>
      </c>
      <c r="AU43" s="2" t="str">
        <f>HYPERLINK("https://icf.clappia.com/app/GMB253374/submission/ZSM06245428/ICF247370-GMB253374-219pmdnn7fja80000000/SIG-20250630_10534ddna.jpeg", "SIG-20250630_10534ddna.jpeg")</f>
        <v>SIG-20250630_10534ddna.jpeg</v>
      </c>
      <c r="AV43" s="2" t="str">
        <f>HYPERLINK("https://www.google.com/maps/place/7.9429817%2C-11.7893984", "7.9429817,-11.7893984")</f>
        <v>7.9429817,-11.7893984</v>
      </c>
    </row>
    <row r="44" ht="15.75" customHeight="1">
      <c r="A44" s="1" t="s">
        <v>314</v>
      </c>
      <c r="B44" s="1" t="s">
        <v>46</v>
      </c>
      <c r="C44" s="1" t="s">
        <v>315</v>
      </c>
      <c r="D44" s="1" t="s">
        <v>315</v>
      </c>
      <c r="E44" s="1" t="s">
        <v>316</v>
      </c>
      <c r="F44" s="1" t="s">
        <v>64</v>
      </c>
      <c r="G44" s="1">
        <v>77.0</v>
      </c>
      <c r="H44" s="1" t="s">
        <v>50</v>
      </c>
      <c r="I44" s="1">
        <v>41.0</v>
      </c>
      <c r="J44" s="1">
        <v>25.0</v>
      </c>
      <c r="K44" s="1">
        <v>25.0</v>
      </c>
      <c r="L44" s="1">
        <v>16.0</v>
      </c>
      <c r="M44" s="1">
        <v>16.0</v>
      </c>
      <c r="N44" s="1" t="s">
        <v>51</v>
      </c>
      <c r="O44" s="1">
        <v>11.0</v>
      </c>
      <c r="P44" s="1">
        <v>5.0</v>
      </c>
      <c r="Q44" s="1">
        <v>5.0</v>
      </c>
      <c r="R44" s="1">
        <v>6.0</v>
      </c>
      <c r="S44" s="1">
        <v>6.0</v>
      </c>
      <c r="T44" s="1" t="s">
        <v>52</v>
      </c>
      <c r="U44" s="1">
        <v>9.0</v>
      </c>
      <c r="V44" s="1">
        <v>5.0</v>
      </c>
      <c r="W44" s="1">
        <v>5.0</v>
      </c>
      <c r="X44" s="1">
        <v>4.0</v>
      </c>
      <c r="Y44" s="1">
        <v>4.0</v>
      </c>
      <c r="Z44" s="1" t="s">
        <v>53</v>
      </c>
      <c r="AA44" s="1">
        <v>9.0</v>
      </c>
      <c r="AB44" s="1">
        <v>5.0</v>
      </c>
      <c r="AC44" s="1">
        <v>5.0</v>
      </c>
      <c r="AD44" s="1">
        <v>4.0</v>
      </c>
      <c r="AE44" s="1">
        <v>4.0</v>
      </c>
      <c r="AF44" s="1" t="s">
        <v>54</v>
      </c>
      <c r="AG44" s="1">
        <v>7.0</v>
      </c>
      <c r="AH44" s="1">
        <v>5.0</v>
      </c>
      <c r="AI44" s="1">
        <v>5.0</v>
      </c>
      <c r="AJ44" s="1">
        <v>2.0</v>
      </c>
      <c r="AK44" s="1">
        <v>2.0</v>
      </c>
      <c r="AL44" s="1">
        <v>77.0</v>
      </c>
      <c r="AM44" s="1" t="s">
        <v>55</v>
      </c>
      <c r="AN44" s="1" t="s">
        <v>55</v>
      </c>
      <c r="AO44" s="1" t="s">
        <v>55</v>
      </c>
      <c r="AP44" s="1" t="s">
        <v>317</v>
      </c>
      <c r="AQ44" s="2" t="str">
        <f>HYPERLINK("https://icf.clappia.com/app/GMB253374/submission/YZO70208952/ICF247370-GMB253374-71no0eh05kkm0000000/SIG-20250630_1031144cg3.jpeg", "SIG-20250630_1031144cg3.jpeg")</f>
        <v>SIG-20250630_1031144cg3.jpeg</v>
      </c>
      <c r="AR44" s="1" t="s">
        <v>318</v>
      </c>
      <c r="AS44" s="2" t="str">
        <f>HYPERLINK("https://icf.clappia.com/app/GMB253374/submission/YZO70208952/ICF247370-GMB253374-2334enbpp527g0000000/SIG-20250630_103119269e.jpeg", "SIG-20250630_103119269e.jpeg")</f>
        <v>SIG-20250630_103119269e.jpeg</v>
      </c>
      <c r="AT44" s="1" t="s">
        <v>319</v>
      </c>
      <c r="AU44" s="2" t="str">
        <f>HYPERLINK("https://icf.clappia.com/app/GMB253374/submission/YZO70208952/ICF247370-GMB253374-4ko37jp4hoai00000000/SIG-20250630_1033157bep.jpeg", "SIG-20250630_1033157bep.jpeg")</f>
        <v>SIG-20250630_1033157bep.jpeg</v>
      </c>
      <c r="AV44" s="2" t="str">
        <f>HYPERLINK("https://www.google.com/maps/place/8.1078624%2C-11.5484291", "8.1078624,-11.5484291")</f>
        <v>8.1078624,-11.5484291</v>
      </c>
    </row>
    <row r="45" ht="15.75" customHeight="1">
      <c r="A45" s="1" t="s">
        <v>320</v>
      </c>
      <c r="B45" s="1" t="s">
        <v>101</v>
      </c>
      <c r="C45" s="1" t="s">
        <v>321</v>
      </c>
      <c r="D45" s="1" t="s">
        <v>322</v>
      </c>
      <c r="E45" s="1" t="s">
        <v>323</v>
      </c>
      <c r="F45" s="1" t="s">
        <v>64</v>
      </c>
      <c r="G45" s="1">
        <v>50.0</v>
      </c>
      <c r="H45" s="1" t="s">
        <v>50</v>
      </c>
      <c r="I45" s="1">
        <v>47.0</v>
      </c>
      <c r="J45" s="1">
        <v>3.0</v>
      </c>
      <c r="K45" s="1">
        <v>3.0</v>
      </c>
      <c r="L45" s="1">
        <v>3.0</v>
      </c>
      <c r="M45" s="1">
        <v>3.0</v>
      </c>
      <c r="N45" s="1" t="s">
        <v>51</v>
      </c>
      <c r="O45" s="1">
        <v>77.0</v>
      </c>
      <c r="P45" s="1">
        <v>2.0</v>
      </c>
      <c r="Q45" s="1">
        <v>2.0</v>
      </c>
      <c r="R45" s="1">
        <v>3.0</v>
      </c>
      <c r="S45" s="1">
        <v>3.0</v>
      </c>
      <c r="T45" s="1" t="s">
        <v>52</v>
      </c>
      <c r="U45" s="1">
        <v>61.0</v>
      </c>
      <c r="V45" s="1">
        <v>3.0</v>
      </c>
      <c r="W45" s="1">
        <v>3.0</v>
      </c>
      <c r="X45" s="1">
        <v>2.0</v>
      </c>
      <c r="Y45" s="1">
        <v>2.0</v>
      </c>
      <c r="Z45" s="1" t="s">
        <v>53</v>
      </c>
      <c r="AA45" s="1">
        <v>60.0</v>
      </c>
      <c r="AB45" s="1">
        <v>1.0</v>
      </c>
      <c r="AC45" s="1">
        <v>1.0</v>
      </c>
      <c r="AD45" s="1">
        <v>2.0</v>
      </c>
      <c r="AE45" s="1">
        <v>2.0</v>
      </c>
      <c r="AF45" s="1" t="s">
        <v>54</v>
      </c>
      <c r="AG45" s="1">
        <v>41.0</v>
      </c>
      <c r="AH45" s="1">
        <v>1.0</v>
      </c>
      <c r="AI45" s="1">
        <v>1.0</v>
      </c>
      <c r="AJ45" s="1">
        <v>3.0</v>
      </c>
      <c r="AK45" s="1">
        <v>3.0</v>
      </c>
      <c r="AL45" s="1">
        <v>23.0</v>
      </c>
      <c r="AM45" s="1" t="s">
        <v>55</v>
      </c>
      <c r="AN45" s="1">
        <v>27.0</v>
      </c>
      <c r="AO45" s="1">
        <v>27.0</v>
      </c>
      <c r="AP45" s="1" t="s">
        <v>324</v>
      </c>
      <c r="AQ45" s="2" t="str">
        <f>HYPERLINK("https://icf.clappia.com/app/GMB253374/submission/QMK55470160/ICF247370-GMB253374-1gdhfph8m8gng0000000/SIG-20250630_09591a7d13.jpeg", "SIG-20250630_09591a7d13.jpeg")</f>
        <v>SIG-20250630_09591a7d13.jpeg</v>
      </c>
      <c r="AR45" s="1" t="s">
        <v>325</v>
      </c>
      <c r="AS45" s="2" t="str">
        <f>HYPERLINK("https://icf.clappia.com/app/GMB253374/submission/QMK55470160/ICF247370-GMB253374-1ba3k6h0glomc0000000/SIG-20250630_100181i42.jpeg", "SIG-20250630_100181i42.jpeg")</f>
        <v>SIG-20250630_100181i42.jpeg</v>
      </c>
      <c r="AT45" s="1" t="s">
        <v>326</v>
      </c>
      <c r="AU45" s="2" t="str">
        <f>HYPERLINK("https://icf.clappia.com/app/GMB253374/submission/QMK55470160/ICF247370-GMB253374-4mknhdp0ff9200000000/SIG-20250630_1003b6756.jpeg", "SIG-20250630_1003b6756.jpeg")</f>
        <v>SIG-20250630_1003b6756.jpeg</v>
      </c>
      <c r="AV45" s="2" t="str">
        <f>HYPERLINK("https://www.google.com/maps/place/7.974125%2C-11.714915", "7.974125,-11.714915")</f>
        <v>7.974125,-11.714915</v>
      </c>
    </row>
    <row r="46" ht="15.75" customHeight="1">
      <c r="A46" s="1" t="s">
        <v>327</v>
      </c>
      <c r="B46" s="1" t="s">
        <v>82</v>
      </c>
      <c r="C46" s="1" t="s">
        <v>328</v>
      </c>
      <c r="D46" s="1" t="s">
        <v>329</v>
      </c>
      <c r="E46" s="1" t="s">
        <v>330</v>
      </c>
      <c r="F46" s="1" t="s">
        <v>64</v>
      </c>
      <c r="G46" s="1">
        <v>223.0</v>
      </c>
      <c r="H46" s="1" t="s">
        <v>50</v>
      </c>
      <c r="I46" s="1">
        <v>80.0</v>
      </c>
      <c r="J46" s="1">
        <v>37.0</v>
      </c>
      <c r="K46" s="1">
        <v>36.0</v>
      </c>
      <c r="L46" s="1">
        <v>43.0</v>
      </c>
      <c r="M46" s="1">
        <v>43.0</v>
      </c>
      <c r="N46" s="1" t="s">
        <v>51</v>
      </c>
      <c r="O46" s="1">
        <v>36.0</v>
      </c>
      <c r="P46" s="1">
        <v>16.0</v>
      </c>
      <c r="Q46" s="1">
        <v>16.0</v>
      </c>
      <c r="R46" s="1">
        <v>20.0</v>
      </c>
      <c r="S46" s="1">
        <v>19.0</v>
      </c>
      <c r="T46" s="1" t="s">
        <v>52</v>
      </c>
      <c r="U46" s="1">
        <v>41.0</v>
      </c>
      <c r="V46" s="1">
        <v>14.0</v>
      </c>
      <c r="W46" s="1">
        <v>14.0</v>
      </c>
      <c r="X46" s="1">
        <v>27.0</v>
      </c>
      <c r="Y46" s="1">
        <v>26.0</v>
      </c>
      <c r="Z46" s="1" t="s">
        <v>53</v>
      </c>
      <c r="AA46" s="1">
        <v>40.0</v>
      </c>
      <c r="AB46" s="1">
        <v>18.0</v>
      </c>
      <c r="AC46" s="1">
        <v>17.0</v>
      </c>
      <c r="AD46" s="1">
        <v>22.0</v>
      </c>
      <c r="AE46" s="1">
        <v>22.0</v>
      </c>
      <c r="AF46" s="1" t="s">
        <v>54</v>
      </c>
      <c r="AG46" s="1">
        <v>26.0</v>
      </c>
      <c r="AH46" s="1">
        <v>15.0</v>
      </c>
      <c r="AI46" s="1">
        <v>14.0</v>
      </c>
      <c r="AJ46" s="1">
        <v>10.0</v>
      </c>
      <c r="AK46" s="1">
        <v>10.0</v>
      </c>
      <c r="AL46" s="1">
        <v>217.0</v>
      </c>
      <c r="AM46" s="1">
        <v>6.0</v>
      </c>
      <c r="AN46" s="1" t="s">
        <v>55</v>
      </c>
      <c r="AO46" s="1" t="s">
        <v>55</v>
      </c>
      <c r="AP46" s="1" t="s">
        <v>331</v>
      </c>
      <c r="AQ46" s="2" t="str">
        <f>HYPERLINK("https://icf.clappia.com/app/GMB253374/submission/BVK64399603/ICF247370-GMB253374-m3i8cehodbpi0000000/SIG-20250630_10214fe7j.jpeg", "SIG-20250630_10214fe7j.jpeg")</f>
        <v>SIG-20250630_10214fe7j.jpeg</v>
      </c>
      <c r="AR46" s="1" t="s">
        <v>332</v>
      </c>
      <c r="AS46" s="2" t="str">
        <f>HYPERLINK("https://icf.clappia.com/app/GMB253374/submission/BVK64399603/ICF247370-GMB253374-54ohg9i8dmm000000000/SIG-20250630_1023n6ncj.jpeg", "SIG-20250630_1023n6ncj.jpeg")</f>
        <v>SIG-20250630_1023n6ncj.jpeg</v>
      </c>
      <c r="AT46" s="1" t="s">
        <v>333</v>
      </c>
      <c r="AU46" s="2" t="str">
        <f>HYPERLINK("https://icf.clappia.com/app/GMB253374/submission/BVK64399603/ICF247370-GMB253374-5abm1ffjk8ce00000000/SIG-20250630_1024p4dkm.jpeg", "SIG-20250630_1024p4dkm.jpeg")</f>
        <v>SIG-20250630_1024p4dkm.jpeg</v>
      </c>
      <c r="AV46" s="2" t="str">
        <f>HYPERLINK("https://www.google.com/maps/place/7.88549%2C-11.4601783", "7.88549,-11.4601783")</f>
        <v>7.88549,-11.4601783</v>
      </c>
    </row>
    <row r="47" ht="15.75" customHeight="1">
      <c r="A47" s="1" t="s">
        <v>334</v>
      </c>
      <c r="B47" s="1" t="s">
        <v>82</v>
      </c>
      <c r="C47" s="1" t="s">
        <v>335</v>
      </c>
      <c r="D47" s="1" t="s">
        <v>335</v>
      </c>
      <c r="E47" s="1" t="s">
        <v>336</v>
      </c>
      <c r="F47" s="1" t="s">
        <v>64</v>
      </c>
      <c r="G47" s="1">
        <v>300.0</v>
      </c>
      <c r="H47" s="1" t="s">
        <v>50</v>
      </c>
      <c r="I47" s="1">
        <v>80.0</v>
      </c>
      <c r="J47" s="1">
        <v>39.0</v>
      </c>
      <c r="K47" s="1">
        <v>39.0</v>
      </c>
      <c r="L47" s="1">
        <v>41.0</v>
      </c>
      <c r="M47" s="1">
        <v>40.0</v>
      </c>
      <c r="N47" s="1" t="s">
        <v>51</v>
      </c>
      <c r="O47" s="1">
        <v>70.0</v>
      </c>
      <c r="P47" s="1">
        <v>40.0</v>
      </c>
      <c r="Q47" s="1">
        <v>40.0</v>
      </c>
      <c r="R47" s="1">
        <v>30.0</v>
      </c>
      <c r="S47" s="1">
        <v>30.0</v>
      </c>
      <c r="T47" s="1" t="s">
        <v>52</v>
      </c>
      <c r="U47" s="1">
        <v>54.0</v>
      </c>
      <c r="V47" s="1">
        <v>20.0</v>
      </c>
      <c r="W47" s="1">
        <v>20.0</v>
      </c>
      <c r="X47" s="1">
        <v>34.0</v>
      </c>
      <c r="Y47" s="1">
        <v>34.0</v>
      </c>
      <c r="Z47" s="1" t="s">
        <v>53</v>
      </c>
      <c r="AA47" s="1">
        <v>38.0</v>
      </c>
      <c r="AB47" s="1">
        <v>34.0</v>
      </c>
      <c r="AC47" s="1">
        <v>32.0</v>
      </c>
      <c r="AD47" s="1">
        <v>4.0</v>
      </c>
      <c r="AE47" s="1">
        <v>4.0</v>
      </c>
      <c r="AF47" s="1" t="s">
        <v>54</v>
      </c>
      <c r="AG47" s="1">
        <v>12.0</v>
      </c>
      <c r="AH47" s="1">
        <v>6.0</v>
      </c>
      <c r="AI47" s="1">
        <v>6.0</v>
      </c>
      <c r="AJ47" s="1">
        <v>6.0</v>
      </c>
      <c r="AK47" s="1">
        <v>6.0</v>
      </c>
      <c r="AL47" s="1">
        <v>251.0</v>
      </c>
      <c r="AM47" s="1">
        <v>3.0</v>
      </c>
      <c r="AN47" s="1">
        <v>46.0</v>
      </c>
      <c r="AO47" s="1">
        <v>46.0</v>
      </c>
      <c r="AP47" s="1" t="s">
        <v>337</v>
      </c>
      <c r="AQ47" s="2" t="str">
        <f>HYPERLINK("https://icf.clappia.com/app/GMB253374/submission/BWF12528097/ICF247370-GMB253374-118jggholce1e0000000/SIG-20250630_1013i0l99.jpeg", "SIG-20250630_1013i0l99.jpeg")</f>
        <v>SIG-20250630_1013i0l99.jpeg</v>
      </c>
      <c r="AR47" s="1" t="s">
        <v>338</v>
      </c>
      <c r="AS47" s="2" t="str">
        <f>HYPERLINK("https://icf.clappia.com/app/GMB253374/submission/BWF12528097/ICF247370-GMB253374-2288ko6an8ln60000000/SIG-20250630_10149b0ge.jpeg", "SIG-20250630_10149b0ge.jpeg")</f>
        <v>SIG-20250630_10149b0ge.jpeg</v>
      </c>
      <c r="AT47" s="1" t="s">
        <v>339</v>
      </c>
      <c r="AU47" s="2" t="str">
        <f>HYPERLINK("https://icf.clappia.com/app/GMB253374/submission/BWF12528097/ICF247370-GMB253374-29iffc5h37d1a0000000/SIG-20250630_10141815fn.jpeg", "SIG-20250630_10141815fn.jpeg")</f>
        <v>SIG-20250630_10141815fn.jpeg</v>
      </c>
      <c r="AV47" s="2" t="str">
        <f>HYPERLINK("https://www.google.com/maps/place/7.8573317%2C-11.54769", "7.8573317,-11.54769")</f>
        <v>7.8573317,-11.54769</v>
      </c>
    </row>
    <row r="48" ht="15.75" customHeight="1">
      <c r="A48" s="1" t="s">
        <v>340</v>
      </c>
      <c r="B48" s="1" t="s">
        <v>46</v>
      </c>
      <c r="C48" s="1" t="s">
        <v>341</v>
      </c>
      <c r="D48" s="1" t="s">
        <v>342</v>
      </c>
      <c r="E48" s="1" t="s">
        <v>343</v>
      </c>
      <c r="F48" s="1" t="s">
        <v>64</v>
      </c>
      <c r="G48" s="1">
        <v>329.0</v>
      </c>
      <c r="H48" s="1" t="s">
        <v>50</v>
      </c>
      <c r="I48" s="1">
        <v>40.0</v>
      </c>
      <c r="J48" s="1">
        <v>20.0</v>
      </c>
      <c r="K48" s="1">
        <v>20.0</v>
      </c>
      <c r="L48" s="1">
        <v>20.0</v>
      </c>
      <c r="M48" s="1">
        <v>20.0</v>
      </c>
      <c r="N48" s="1" t="s">
        <v>51</v>
      </c>
      <c r="O48" s="1">
        <v>50.0</v>
      </c>
      <c r="P48" s="1">
        <v>30.0</v>
      </c>
      <c r="Q48" s="1">
        <v>30.0</v>
      </c>
      <c r="R48" s="1">
        <v>20.0</v>
      </c>
      <c r="S48" s="1">
        <v>20.0</v>
      </c>
      <c r="T48" s="1" t="s">
        <v>52</v>
      </c>
      <c r="U48" s="1">
        <v>60.0</v>
      </c>
      <c r="V48" s="1">
        <v>40.0</v>
      </c>
      <c r="W48" s="1">
        <v>40.0</v>
      </c>
      <c r="X48" s="1">
        <v>20.0</v>
      </c>
      <c r="Y48" s="1">
        <v>20.0</v>
      </c>
      <c r="Z48" s="1" t="s">
        <v>53</v>
      </c>
      <c r="AA48" s="1">
        <v>100.0</v>
      </c>
      <c r="AB48" s="1">
        <v>30.0</v>
      </c>
      <c r="AC48" s="1">
        <v>30.0</v>
      </c>
      <c r="AD48" s="1">
        <v>70.0</v>
      </c>
      <c r="AE48" s="1">
        <v>70.0</v>
      </c>
      <c r="AF48" s="1" t="s">
        <v>54</v>
      </c>
      <c r="AG48" s="1">
        <v>79.0</v>
      </c>
      <c r="AH48" s="1">
        <v>50.0</v>
      </c>
      <c r="AI48" s="1">
        <v>50.0</v>
      </c>
      <c r="AJ48" s="1">
        <v>29.0</v>
      </c>
      <c r="AK48" s="1">
        <v>29.0</v>
      </c>
      <c r="AL48" s="1">
        <v>329.0</v>
      </c>
      <c r="AM48" s="1">
        <v>10.0</v>
      </c>
      <c r="AN48" s="1">
        <v>-10.0</v>
      </c>
      <c r="AO48" s="1">
        <v>-10.0</v>
      </c>
      <c r="AP48" s="1" t="s">
        <v>344</v>
      </c>
      <c r="AQ48" s="2" t="str">
        <f>HYPERLINK("https://icf.clappia.com/app/GMB253374/submission/OSP37744528/ICF247370-GMB253374-5ejjb6f8e8j600000000/SIG-20250626_15461568gc.jpeg", "SIG-20250626_15461568gc.jpeg")</f>
        <v>SIG-20250626_15461568gc.jpeg</v>
      </c>
      <c r="AR48" s="1" t="s">
        <v>345</v>
      </c>
      <c r="AS48" s="2" t="str">
        <f>HYPERLINK("https://icf.clappia.com/app/GMB253374/submission/OSP37744528/ICF247370-GMB253374-5e40pj11k1m600000000/SIG-20250626_181316fejp.jpeg", "SIG-20250626_181316fejp.jpeg")</f>
        <v>SIG-20250626_181316fejp.jpeg</v>
      </c>
      <c r="AT48" s="1" t="s">
        <v>346</v>
      </c>
      <c r="AU48" s="2" t="str">
        <f>HYPERLINK("https://icf.clappia.com/app/GMB253374/submission/OSP37744528/ICF247370-GMB253374-5917n3ff87a400000000/SIG-20250626_18131ln5g.jpeg", "SIG-20250626_18131ln5g.jpeg")</f>
        <v>SIG-20250626_18131ln5g.jpeg</v>
      </c>
      <c r="AV48" s="2" t="str">
        <f>HYPERLINK("https://www.google.com/maps/place/7.8852186%2C-11.7856751", "7.8852186,-11.7856751")</f>
        <v>7.8852186,-11.7856751</v>
      </c>
    </row>
    <row r="49" ht="15.75" customHeight="1">
      <c r="A49" s="1" t="s">
        <v>347</v>
      </c>
      <c r="B49" s="1" t="s">
        <v>46</v>
      </c>
      <c r="C49" s="1" t="s">
        <v>348</v>
      </c>
      <c r="D49" s="1" t="s">
        <v>349</v>
      </c>
      <c r="E49" s="1" t="s">
        <v>350</v>
      </c>
      <c r="F49" s="1" t="s">
        <v>64</v>
      </c>
      <c r="G49" s="1">
        <v>350.0</v>
      </c>
      <c r="H49" s="1" t="s">
        <v>50</v>
      </c>
      <c r="I49" s="1">
        <v>48.0</v>
      </c>
      <c r="J49" s="1">
        <v>28.0</v>
      </c>
      <c r="K49" s="1">
        <v>28.0</v>
      </c>
      <c r="L49" s="1">
        <v>20.0</v>
      </c>
      <c r="M49" s="1">
        <v>20.0</v>
      </c>
      <c r="N49" s="1" t="s">
        <v>51</v>
      </c>
      <c r="O49" s="1">
        <v>82.0</v>
      </c>
      <c r="P49" s="1">
        <v>12.0</v>
      </c>
      <c r="Q49" s="1">
        <v>12.0</v>
      </c>
      <c r="R49" s="1">
        <v>70.0</v>
      </c>
      <c r="S49" s="1">
        <v>70.0</v>
      </c>
      <c r="T49" s="1" t="s">
        <v>52</v>
      </c>
      <c r="U49" s="1">
        <v>66.0</v>
      </c>
      <c r="V49" s="1">
        <v>26.0</v>
      </c>
      <c r="W49" s="1">
        <v>26.0</v>
      </c>
      <c r="X49" s="1">
        <v>40.0</v>
      </c>
      <c r="Y49" s="1">
        <v>40.0</v>
      </c>
      <c r="Z49" s="1" t="s">
        <v>53</v>
      </c>
      <c r="AA49" s="1">
        <v>81.0</v>
      </c>
      <c r="AB49" s="1">
        <v>41.0</v>
      </c>
      <c r="AC49" s="1">
        <v>41.0</v>
      </c>
      <c r="AD49" s="1">
        <v>40.0</v>
      </c>
      <c r="AE49" s="1">
        <v>39.0</v>
      </c>
      <c r="AF49" s="1" t="s">
        <v>54</v>
      </c>
      <c r="AG49" s="1">
        <v>55.0</v>
      </c>
      <c r="AH49" s="1">
        <v>25.0</v>
      </c>
      <c r="AI49" s="1">
        <v>24.0</v>
      </c>
      <c r="AJ49" s="1">
        <v>30.0</v>
      </c>
      <c r="AK49" s="1">
        <v>30.0</v>
      </c>
      <c r="AL49" s="1">
        <v>330.0</v>
      </c>
      <c r="AM49" s="1">
        <v>2.0</v>
      </c>
      <c r="AN49" s="1">
        <v>18.0</v>
      </c>
      <c r="AO49" s="1">
        <v>18.0</v>
      </c>
      <c r="AP49" s="1" t="s">
        <v>351</v>
      </c>
      <c r="AQ49" s="2" t="str">
        <f>HYPERLINK("https://icf.clappia.com/app/GMB253374/submission/RCA53649040/ICF247370-GMB253374-25b3lbmhbep280000000/SIG-20250626_1640ehdn4.jpeg", "SIG-20250626_1640ehdn4.jpeg")</f>
        <v>SIG-20250626_1640ehdn4.jpeg</v>
      </c>
      <c r="AR49" s="1" t="s">
        <v>352</v>
      </c>
      <c r="AS49" s="2" t="str">
        <f>HYPERLINK("https://icf.clappia.com/app/GMB253374/submission/RCA53649040/ICF247370-GMB253374-65c763ophmgk00000000/SIG-20250626_164017ffj4.jpeg", "SIG-20250626_164017ffj4.jpeg")</f>
        <v>SIG-20250626_164017ffj4.jpeg</v>
      </c>
      <c r="AT49" s="1" t="s">
        <v>353</v>
      </c>
      <c r="AU49" s="2" t="str">
        <f>HYPERLINK("https://icf.clappia.com/app/GMB253374/submission/RCA53649040/ICF247370-GMB253374-1n77lao736jpa0000000/SIG-20250626_1640ekc2g.jpeg", "SIG-20250626_1640ekc2g.jpeg")</f>
        <v>SIG-20250626_1640ekc2g.jpeg</v>
      </c>
      <c r="AV49" s="2" t="str">
        <f>HYPERLINK("https://www.google.com/maps/place/8.8720702%2C-12.0502285", "8.8720702,-12.0502285")</f>
        <v>8.8720702,-12.0502285</v>
      </c>
    </row>
    <row r="50" ht="15.75" customHeight="1">
      <c r="A50" s="1" t="s">
        <v>354</v>
      </c>
      <c r="B50" s="1" t="s">
        <v>46</v>
      </c>
      <c r="C50" s="1" t="s">
        <v>355</v>
      </c>
      <c r="D50" s="1" t="s">
        <v>356</v>
      </c>
      <c r="E50" s="1" t="s">
        <v>357</v>
      </c>
      <c r="F50" s="1" t="s">
        <v>64</v>
      </c>
      <c r="G50" s="1">
        <v>100.0</v>
      </c>
      <c r="H50" s="1" t="s">
        <v>50</v>
      </c>
      <c r="I50" s="1">
        <v>20.0</v>
      </c>
      <c r="J50" s="1">
        <v>10.0</v>
      </c>
      <c r="K50" s="1">
        <v>10.0</v>
      </c>
      <c r="L50" s="1">
        <v>10.0</v>
      </c>
      <c r="M50" s="1">
        <v>10.0</v>
      </c>
      <c r="N50" s="1" t="s">
        <v>51</v>
      </c>
      <c r="O50" s="1">
        <v>20.0</v>
      </c>
      <c r="P50" s="1">
        <v>8.0</v>
      </c>
      <c r="Q50" s="1">
        <v>8.0</v>
      </c>
      <c r="R50" s="1">
        <v>12.0</v>
      </c>
      <c r="S50" s="1">
        <v>12.0</v>
      </c>
      <c r="T50" s="1" t="s">
        <v>52</v>
      </c>
      <c r="U50" s="1">
        <v>20.0</v>
      </c>
      <c r="V50" s="1">
        <v>11.0</v>
      </c>
      <c r="W50" s="1">
        <v>11.0</v>
      </c>
      <c r="X50" s="1">
        <v>9.0</v>
      </c>
      <c r="Y50" s="1">
        <v>9.0</v>
      </c>
      <c r="Z50" s="1" t="s">
        <v>53</v>
      </c>
      <c r="AA50" s="1">
        <v>20.0</v>
      </c>
      <c r="AB50" s="1">
        <v>7.0</v>
      </c>
      <c r="AC50" s="1">
        <v>7.0</v>
      </c>
      <c r="AD50" s="1">
        <v>13.0</v>
      </c>
      <c r="AE50" s="1">
        <v>13.0</v>
      </c>
      <c r="AF50" s="1" t="s">
        <v>54</v>
      </c>
      <c r="AG50" s="1">
        <v>20.0</v>
      </c>
      <c r="AH50" s="1">
        <v>15.0</v>
      </c>
      <c r="AI50" s="1">
        <v>15.0</v>
      </c>
      <c r="AJ50" s="1">
        <v>5.0</v>
      </c>
      <c r="AK50" s="1">
        <v>5.0</v>
      </c>
      <c r="AL50" s="1">
        <v>100.0</v>
      </c>
      <c r="AM50" s="1" t="s">
        <v>55</v>
      </c>
      <c r="AN50" s="1" t="s">
        <v>55</v>
      </c>
      <c r="AO50" s="1" t="s">
        <v>55</v>
      </c>
      <c r="AP50" s="1" t="s">
        <v>358</v>
      </c>
      <c r="AQ50" s="2" t="str">
        <f>HYPERLINK("https://icf.clappia.com/app/GMB253374/submission/DPO26002393/ICF247370-GMB253374-4hnpa8ehha300000000/SIG-20250626_161627bhl.jpeg", "SIG-20250626_161627bhl.jpeg")</f>
        <v>SIG-20250626_161627bhl.jpeg</v>
      </c>
      <c r="AR50" s="1" t="s">
        <v>353</v>
      </c>
      <c r="AS50" s="2" t="str">
        <f>HYPERLINK("https://icf.clappia.com/app/GMB253374/submission/DPO26002393/ICF247370-GMB253374-45o2f40136mi00000000/SIG-20250626_16176fp8i.jpeg", "SIG-20250626_16176fp8i.jpeg")</f>
        <v>SIG-20250626_16176fp8i.jpeg</v>
      </c>
      <c r="AT50" s="1" t="s">
        <v>359</v>
      </c>
      <c r="AU50" s="2" t="str">
        <f>HYPERLINK("https://icf.clappia.com/app/GMB253374/submission/DPO26002393/ICF247370-GMB253374-2o4pji6j1if600000000/SIG-20250626_161734ijo.jpeg", "SIG-20250626_161734ijo.jpeg")</f>
        <v>SIG-20250626_161734ijo.jpeg</v>
      </c>
      <c r="AV50" s="2" t="str">
        <f>HYPERLINK("https://www.google.com/maps/place/8.8655467%2C-12.0499333", "8.8655467,-12.0499333")</f>
        <v>8.8655467,-12.0499333</v>
      </c>
    </row>
    <row r="51" ht="15.75" customHeight="1">
      <c r="A51" s="1" t="s">
        <v>360</v>
      </c>
      <c r="B51" s="1" t="s">
        <v>46</v>
      </c>
      <c r="C51" s="1" t="s">
        <v>361</v>
      </c>
      <c r="D51" s="1" t="s">
        <v>362</v>
      </c>
      <c r="E51" s="1" t="s">
        <v>363</v>
      </c>
      <c r="F51" s="1" t="s">
        <v>64</v>
      </c>
      <c r="G51" s="1">
        <v>217.0</v>
      </c>
      <c r="H51" s="1" t="s">
        <v>50</v>
      </c>
      <c r="I51" s="1">
        <v>60.0</v>
      </c>
      <c r="J51" s="1">
        <v>30.0</v>
      </c>
      <c r="K51" s="1">
        <v>30.0</v>
      </c>
      <c r="L51" s="1">
        <v>30.0</v>
      </c>
      <c r="M51" s="1">
        <v>30.0</v>
      </c>
      <c r="N51" s="1" t="s">
        <v>51</v>
      </c>
      <c r="O51" s="1">
        <v>57.0</v>
      </c>
      <c r="P51" s="1">
        <v>27.0</v>
      </c>
      <c r="Q51" s="1">
        <v>27.0</v>
      </c>
      <c r="R51" s="1">
        <v>30.0</v>
      </c>
      <c r="S51" s="1">
        <v>30.0</v>
      </c>
      <c r="T51" s="1" t="s">
        <v>52</v>
      </c>
      <c r="U51" s="1">
        <v>50.0</v>
      </c>
      <c r="V51" s="1">
        <v>25.0</v>
      </c>
      <c r="W51" s="1">
        <v>25.0</v>
      </c>
      <c r="X51" s="1">
        <v>25.0</v>
      </c>
      <c r="Y51" s="1">
        <v>25.0</v>
      </c>
      <c r="Z51" s="1" t="s">
        <v>53</v>
      </c>
      <c r="AA51" s="1">
        <v>20.0</v>
      </c>
      <c r="AB51" s="1">
        <v>10.0</v>
      </c>
      <c r="AC51" s="1">
        <v>10.0</v>
      </c>
      <c r="AD51" s="1">
        <v>10.0</v>
      </c>
      <c r="AE51" s="1">
        <v>10.0</v>
      </c>
      <c r="AF51" s="1" t="s">
        <v>54</v>
      </c>
      <c r="AG51" s="1">
        <v>30.0</v>
      </c>
      <c r="AH51" s="1">
        <v>15.0</v>
      </c>
      <c r="AI51" s="1">
        <v>15.0</v>
      </c>
      <c r="AJ51" s="1">
        <v>15.0</v>
      </c>
      <c r="AK51" s="1">
        <v>15.0</v>
      </c>
      <c r="AL51" s="1">
        <v>217.0</v>
      </c>
      <c r="AM51" s="1" t="s">
        <v>55</v>
      </c>
      <c r="AN51" s="1" t="s">
        <v>55</v>
      </c>
      <c r="AO51" s="1" t="s">
        <v>55</v>
      </c>
      <c r="AP51" s="1" t="s">
        <v>364</v>
      </c>
      <c r="AQ51" s="2" t="str">
        <f>HYPERLINK("https://icf.clappia.com/app/GMB253374/submission/HIA74571525/ICF247370-GMB253374-2gf517662ioe00000000/SIG-20250626_163813mjg9.jpeg", "SIG-20250626_163813mjg9.jpeg")</f>
        <v>SIG-20250626_163813mjg9.jpeg</v>
      </c>
      <c r="AR51" s="1" t="s">
        <v>365</v>
      </c>
      <c r="AS51" s="2" t="str">
        <f>HYPERLINK("https://icf.clappia.com/app/GMB253374/submission/HIA74571525/ICF247370-GMB253374-3o0cj5eld8mo00000000/SIG-20250626_16395mn9j.jpeg", "SIG-20250626_16395mn9j.jpeg")</f>
        <v>SIG-20250626_16395mn9j.jpeg</v>
      </c>
      <c r="AT51" s="1" t="s">
        <v>366</v>
      </c>
      <c r="AU51" s="2" t="str">
        <f>HYPERLINK("https://icf.clappia.com/app/GMB253374/submission/HIA74571525/ICF247370-GMB253374-63e0fodh1m0g00000000/SIG-20250626_1639156f2o.jpeg", "SIG-20250626_1639156f2o.jpeg")</f>
        <v>SIG-20250626_1639156f2o.jpeg</v>
      </c>
      <c r="AV51" s="2" t="str">
        <f>HYPERLINK("https://www.google.com/maps/place/8.8666453%2C-12.0505855", "8.8666453,-12.0505855")</f>
        <v>8.8666453,-12.0505855</v>
      </c>
    </row>
    <row r="52" ht="15.75" customHeight="1">
      <c r="A52" s="1" t="s">
        <v>367</v>
      </c>
      <c r="B52" s="1" t="s">
        <v>46</v>
      </c>
      <c r="C52" s="1" t="s">
        <v>368</v>
      </c>
      <c r="D52" s="1" t="s">
        <v>362</v>
      </c>
      <c r="E52" s="1" t="s">
        <v>369</v>
      </c>
      <c r="F52" s="1" t="s">
        <v>64</v>
      </c>
      <c r="G52" s="1">
        <v>400.0</v>
      </c>
      <c r="H52" s="1" t="s">
        <v>50</v>
      </c>
      <c r="I52" s="1">
        <v>100.0</v>
      </c>
      <c r="J52" s="1">
        <v>40.0</v>
      </c>
      <c r="K52" s="1">
        <v>35.0</v>
      </c>
      <c r="L52" s="1">
        <v>60.0</v>
      </c>
      <c r="M52" s="1">
        <v>60.0</v>
      </c>
      <c r="N52" s="1" t="s">
        <v>51</v>
      </c>
      <c r="O52" s="1">
        <v>100.0</v>
      </c>
      <c r="P52" s="1">
        <v>50.0</v>
      </c>
      <c r="Q52" s="1">
        <v>50.0</v>
      </c>
      <c r="R52" s="1">
        <v>50.0</v>
      </c>
      <c r="S52" s="1">
        <v>50.0</v>
      </c>
      <c r="T52" s="1" t="s">
        <v>52</v>
      </c>
      <c r="U52" s="1">
        <v>100.0</v>
      </c>
      <c r="V52" s="1">
        <v>50.0</v>
      </c>
      <c r="W52" s="1">
        <v>50.0</v>
      </c>
      <c r="X52" s="1">
        <v>50.0</v>
      </c>
      <c r="Y52" s="1">
        <v>50.0</v>
      </c>
      <c r="Z52" s="1" t="s">
        <v>53</v>
      </c>
      <c r="AA52" s="1">
        <v>50.0</v>
      </c>
      <c r="AB52" s="1">
        <v>25.0</v>
      </c>
      <c r="AC52" s="1">
        <v>25.0</v>
      </c>
      <c r="AD52" s="1">
        <v>25.0</v>
      </c>
      <c r="AE52" s="1">
        <v>25.0</v>
      </c>
      <c r="AF52" s="1" t="s">
        <v>54</v>
      </c>
      <c r="AG52" s="1">
        <v>50.0</v>
      </c>
      <c r="AH52" s="1">
        <v>25.0</v>
      </c>
      <c r="AI52" s="1">
        <v>25.0</v>
      </c>
      <c r="AJ52" s="1">
        <v>25.0</v>
      </c>
      <c r="AK52" s="1">
        <v>25.0</v>
      </c>
      <c r="AL52" s="1">
        <v>395.0</v>
      </c>
      <c r="AM52" s="1">
        <v>5.0</v>
      </c>
      <c r="AN52" s="1" t="s">
        <v>55</v>
      </c>
      <c r="AO52" s="1" t="s">
        <v>55</v>
      </c>
      <c r="AP52" s="1" t="s">
        <v>370</v>
      </c>
      <c r="AQ52" s="2" t="str">
        <f>HYPERLINK("https://icf.clappia.com/app/GMB253374/submission/ULC43177483/ICF247370-GMB253374-1ci2kp50p979i0000000/SIG-20250626_16211197f2.jpeg", "SIG-20250626_16211197f2.jpeg")</f>
        <v>SIG-20250626_16211197f2.jpeg</v>
      </c>
      <c r="AR52" s="1" t="s">
        <v>371</v>
      </c>
      <c r="AS52" s="2" t="str">
        <f>HYPERLINK("https://icf.clappia.com/app/GMB253374/submission/ULC43177483/ICF247370-GMB253374-2nke06d4nfc800000000/SIG-20250626_1622102jcc.jpeg", "SIG-20250626_1622102jcc.jpeg")</f>
        <v>SIG-20250626_1622102jcc.jpeg</v>
      </c>
      <c r="AT52" s="1" t="s">
        <v>372</v>
      </c>
      <c r="AU52" s="2" t="str">
        <f>HYPERLINK("https://icf.clappia.com/app/GMB253374/submission/ULC43177483/ICF247370-GMB253374-2g7gllp8hc3m00000000/SIG-20250626_1622aeaa4.jpeg", "SIG-20250626_1622aeaa4.jpeg")</f>
        <v>SIG-20250626_1622aeaa4.jpeg</v>
      </c>
      <c r="AV52" s="2" t="str">
        <f>HYPERLINK("https://www.google.com/maps/place/8.8655738%2C-12.0499372", "8.8655738,-12.0499372")</f>
        <v>8.8655738,-12.0499372</v>
      </c>
    </row>
    <row r="53" ht="15.75" customHeight="1">
      <c r="A53" s="1" t="s">
        <v>373</v>
      </c>
      <c r="B53" s="1" t="s">
        <v>46</v>
      </c>
      <c r="C53" s="1" t="s">
        <v>374</v>
      </c>
      <c r="D53" s="1" t="s">
        <v>374</v>
      </c>
      <c r="E53" s="1" t="s">
        <v>375</v>
      </c>
      <c r="F53" s="1" t="s">
        <v>64</v>
      </c>
      <c r="G53" s="1">
        <v>500.0</v>
      </c>
      <c r="H53" s="1" t="s">
        <v>50</v>
      </c>
      <c r="I53" s="1">
        <v>100.0</v>
      </c>
      <c r="J53" s="1">
        <v>50.0</v>
      </c>
      <c r="K53" s="1">
        <v>50.0</v>
      </c>
      <c r="L53" s="1">
        <v>50.0</v>
      </c>
      <c r="M53" s="1">
        <v>50.0</v>
      </c>
      <c r="N53" s="1" t="s">
        <v>51</v>
      </c>
      <c r="O53" s="1">
        <v>50.0</v>
      </c>
      <c r="P53" s="1">
        <v>25.0</v>
      </c>
      <c r="Q53" s="1">
        <v>25.0</v>
      </c>
      <c r="R53" s="1">
        <v>25.0</v>
      </c>
      <c r="S53" s="1">
        <v>25.0</v>
      </c>
      <c r="T53" s="1" t="s">
        <v>52</v>
      </c>
      <c r="U53" s="1">
        <v>100.0</v>
      </c>
      <c r="V53" s="1">
        <v>50.0</v>
      </c>
      <c r="W53" s="1">
        <v>50.0</v>
      </c>
      <c r="X53" s="1">
        <v>50.0</v>
      </c>
      <c r="Y53" s="1">
        <v>50.0</v>
      </c>
      <c r="Z53" s="1" t="s">
        <v>53</v>
      </c>
      <c r="AA53" s="1">
        <v>50.0</v>
      </c>
      <c r="AB53" s="1">
        <v>25.0</v>
      </c>
      <c r="AC53" s="1">
        <v>25.0</v>
      </c>
      <c r="AD53" s="1">
        <v>25.0</v>
      </c>
      <c r="AE53" s="1">
        <v>25.0</v>
      </c>
      <c r="AF53" s="1" t="s">
        <v>54</v>
      </c>
      <c r="AG53" s="1">
        <v>50.0</v>
      </c>
      <c r="AH53" s="1">
        <v>25.0</v>
      </c>
      <c r="AI53" s="1">
        <v>25.0</v>
      </c>
      <c r="AJ53" s="1">
        <v>25.0</v>
      </c>
      <c r="AK53" s="1">
        <v>25.0</v>
      </c>
      <c r="AL53" s="1">
        <v>350.0</v>
      </c>
      <c r="AM53" s="1">
        <v>10.0</v>
      </c>
      <c r="AN53" s="1">
        <v>140.0</v>
      </c>
      <c r="AO53" s="1">
        <v>140.0</v>
      </c>
      <c r="AP53" s="1" t="s">
        <v>376</v>
      </c>
      <c r="AQ53" s="2" t="str">
        <f>HYPERLINK("https://icf.clappia.com/app/GMB253374/submission/OAJ85397146/ICF247370-GMB253374-1712l8ig9910k0000000/SIG-20250630_090817g47g.jpeg", "SIG-20250630_090817g47g.jpeg")</f>
        <v>SIG-20250630_090817g47g.jpeg</v>
      </c>
      <c r="AR53" s="1" t="s">
        <v>377</v>
      </c>
      <c r="AS53" s="2" t="str">
        <f>HYPERLINK("https://icf.clappia.com/app/GMB253374/submission/OAJ85397146/ICF247370-GMB253374-ognl3c93ni7a0000000/SIG-20250630_090437d7a.jpeg", "SIG-20250630_090437d7a.jpeg")</f>
        <v>SIG-20250630_090437d7a.jpeg</v>
      </c>
      <c r="AT53" s="1" t="s">
        <v>65</v>
      </c>
      <c r="AU53" s="2" t="str">
        <f>HYPERLINK("https://icf.clappia.com/app/GMB253374/submission/OAJ85397146/ICF247370-GMB253374-50bb9blpkn2600000000/SIG-20250630_090629an5.jpeg", "SIG-20250630_090629an5.jpeg")</f>
        <v>SIG-20250630_090629an5.jpeg</v>
      </c>
      <c r="AV53" s="2" t="str">
        <f>HYPERLINK("https://www.google.com/maps/place/7.9289021%2C-11.7183944", "7.9289021,-11.7183944")</f>
        <v>7.9289021,-11.7183944</v>
      </c>
    </row>
    <row r="54" ht="15.75" customHeight="1">
      <c r="A54" s="1" t="s">
        <v>378</v>
      </c>
      <c r="B54" s="1" t="s">
        <v>46</v>
      </c>
      <c r="C54" s="1" t="s">
        <v>379</v>
      </c>
      <c r="D54" s="1" t="s">
        <v>380</v>
      </c>
      <c r="E54" s="1" t="s">
        <v>381</v>
      </c>
      <c r="F54" s="1" t="s">
        <v>64</v>
      </c>
      <c r="G54" s="1">
        <v>300.0</v>
      </c>
      <c r="H54" s="1" t="s">
        <v>50</v>
      </c>
      <c r="I54" s="1">
        <v>50.0</v>
      </c>
      <c r="J54" s="1">
        <v>25.0</v>
      </c>
      <c r="K54" s="1">
        <v>25.0</v>
      </c>
      <c r="L54" s="1">
        <v>25.0</v>
      </c>
      <c r="M54" s="1">
        <v>25.0</v>
      </c>
      <c r="N54" s="1" t="s">
        <v>51</v>
      </c>
      <c r="O54" s="1">
        <v>60.0</v>
      </c>
      <c r="P54" s="1">
        <v>30.0</v>
      </c>
      <c r="Q54" s="1">
        <v>30.0</v>
      </c>
      <c r="R54" s="1">
        <v>30.0</v>
      </c>
      <c r="S54" s="1">
        <v>30.0</v>
      </c>
      <c r="T54" s="1" t="s">
        <v>52</v>
      </c>
      <c r="U54" s="1">
        <v>50.0</v>
      </c>
      <c r="V54" s="1">
        <v>30.0</v>
      </c>
      <c r="W54" s="1">
        <v>30.0</v>
      </c>
      <c r="X54" s="1">
        <v>20.0</v>
      </c>
      <c r="Y54" s="1">
        <v>20.0</v>
      </c>
      <c r="Z54" s="1" t="s">
        <v>53</v>
      </c>
      <c r="AA54" s="1">
        <v>45.0</v>
      </c>
      <c r="AB54" s="1">
        <v>20.0</v>
      </c>
      <c r="AC54" s="1">
        <v>20.0</v>
      </c>
      <c r="AD54" s="1">
        <v>25.0</v>
      </c>
      <c r="AE54" s="1">
        <v>25.0</v>
      </c>
      <c r="AF54" s="1" t="s">
        <v>54</v>
      </c>
      <c r="AG54" s="1">
        <v>45.0</v>
      </c>
      <c r="AH54" s="1">
        <v>25.0</v>
      </c>
      <c r="AI54" s="1">
        <v>25.0</v>
      </c>
      <c r="AJ54" s="1">
        <v>20.0</v>
      </c>
      <c r="AK54" s="1">
        <v>20.0</v>
      </c>
      <c r="AL54" s="1">
        <v>250.0</v>
      </c>
      <c r="AM54" s="1" t="s">
        <v>55</v>
      </c>
      <c r="AN54" s="1">
        <v>50.0</v>
      </c>
      <c r="AO54" s="1">
        <v>50.0</v>
      </c>
      <c r="AP54" s="1" t="s">
        <v>382</v>
      </c>
      <c r="AQ54" s="2" t="str">
        <f>HYPERLINK("https://icf.clappia.com/app/GMB253374/submission/KFJ41094362/ICF247370-GMB253374-3kgdl0oe4gna00000000/SIG-20250626_16405d7bg.jpeg", "SIG-20250626_16405d7bg.jpeg")</f>
        <v>SIG-20250626_16405d7bg.jpeg</v>
      </c>
      <c r="AR54" s="1" t="s">
        <v>383</v>
      </c>
      <c r="AS54" s="2" t="str">
        <f>HYPERLINK("https://icf.clappia.com/app/GMB253374/submission/KFJ41094362/ICF247370-GMB253374-68n97a84036m0000000/SIG-20250626_16413men2.jpeg", "SIG-20250626_16413men2.jpeg")</f>
        <v>SIG-20250626_16413men2.jpeg</v>
      </c>
      <c r="AT54" s="1" t="s">
        <v>384</v>
      </c>
      <c r="AU54" s="2" t="str">
        <f>HYPERLINK("https://icf.clappia.com/app/GMB253374/submission/KFJ41094362/ICF247370-GMB253374-189nh4jo8a3040000000/SIG-20250626_16417g2dl.jpeg", "SIG-20250626_16417g2dl.jpeg")</f>
        <v>SIG-20250626_16417g2dl.jpeg</v>
      </c>
      <c r="AV54" s="2" t="str">
        <f>HYPERLINK("https://www.google.com/maps/place/8.8714748%2C-12.0477297", "8.8714748,-12.0477297")</f>
        <v>8.8714748,-12.0477297</v>
      </c>
    </row>
    <row r="55" ht="15.75" customHeight="1">
      <c r="A55" s="1" t="s">
        <v>385</v>
      </c>
      <c r="B55" s="1" t="s">
        <v>46</v>
      </c>
      <c r="C55" s="1" t="s">
        <v>386</v>
      </c>
      <c r="D55" s="1" t="s">
        <v>387</v>
      </c>
      <c r="E55" s="1" t="s">
        <v>388</v>
      </c>
      <c r="F55" s="1" t="s">
        <v>64</v>
      </c>
      <c r="G55" s="1">
        <v>200.0</v>
      </c>
      <c r="H55" s="1" t="s">
        <v>50</v>
      </c>
      <c r="I55" s="1">
        <v>40.0</v>
      </c>
      <c r="J55" s="1">
        <v>22.0</v>
      </c>
      <c r="K55" s="1">
        <v>22.0</v>
      </c>
      <c r="L55" s="1">
        <v>18.0</v>
      </c>
      <c r="M55" s="1">
        <v>18.0</v>
      </c>
      <c r="N55" s="1" t="s">
        <v>51</v>
      </c>
      <c r="O55" s="1">
        <v>50.0</v>
      </c>
      <c r="P55" s="1">
        <v>25.0</v>
      </c>
      <c r="Q55" s="1">
        <v>25.0</v>
      </c>
      <c r="R55" s="1">
        <v>25.0</v>
      </c>
      <c r="S55" s="1">
        <v>25.0</v>
      </c>
      <c r="T55" s="1" t="s">
        <v>52</v>
      </c>
      <c r="U55" s="1">
        <v>40.0</v>
      </c>
      <c r="V55" s="1">
        <v>19.0</v>
      </c>
      <c r="W55" s="1">
        <v>19.0</v>
      </c>
      <c r="X55" s="1">
        <v>21.0</v>
      </c>
      <c r="Y55" s="1">
        <v>21.0</v>
      </c>
      <c r="Z55" s="1" t="s">
        <v>53</v>
      </c>
      <c r="AA55" s="1">
        <v>30.0</v>
      </c>
      <c r="AB55" s="1">
        <v>12.0</v>
      </c>
      <c r="AC55" s="1">
        <v>12.0</v>
      </c>
      <c r="AD55" s="1">
        <v>18.0</v>
      </c>
      <c r="AE55" s="1">
        <v>18.0</v>
      </c>
      <c r="AF55" s="1" t="s">
        <v>54</v>
      </c>
      <c r="AG55" s="1">
        <v>40.0</v>
      </c>
      <c r="AH55" s="1">
        <v>20.0</v>
      </c>
      <c r="AI55" s="1">
        <v>20.0</v>
      </c>
      <c r="AJ55" s="1">
        <v>20.0</v>
      </c>
      <c r="AK55" s="1">
        <v>20.0</v>
      </c>
      <c r="AL55" s="1">
        <v>200.0</v>
      </c>
      <c r="AM55" s="1" t="s">
        <v>55</v>
      </c>
      <c r="AN55" s="1" t="s">
        <v>55</v>
      </c>
      <c r="AO55" s="1" t="s">
        <v>55</v>
      </c>
      <c r="AP55" s="1" t="s">
        <v>384</v>
      </c>
      <c r="AQ55" s="2" t="str">
        <f>HYPERLINK("https://icf.clappia.com/app/GMB253374/submission/ZHE54358058/ICF247370-GMB253374-29f19n3f2lm160000000/SIG-20250626_1615i2oc7.jpeg", "SIG-20250626_1615i2oc7.jpeg")</f>
        <v>SIG-20250626_1615i2oc7.jpeg</v>
      </c>
      <c r="AR55" s="1" t="s">
        <v>383</v>
      </c>
      <c r="AS55" s="2" t="str">
        <f>HYPERLINK("https://icf.clappia.com/app/GMB253374/submission/ZHE54358058/ICF247370-GMB253374-43p7ahao7bd200000000/SIG-20250626_16155p5ka.jpeg", "SIG-20250626_16155p5ka.jpeg")</f>
        <v>SIG-20250626_16155p5ka.jpeg</v>
      </c>
      <c r="AT55" s="1" t="s">
        <v>382</v>
      </c>
      <c r="AU55" s="2" t="str">
        <f>HYPERLINK("https://icf.clappia.com/app/GMB253374/submission/ZHE54358058/ICF247370-GMB253374-1gmme651mmd280000000/SIG-20250626_1616be96p.jpeg", "SIG-20250626_1616be96p.jpeg")</f>
        <v>SIG-20250626_1616be96p.jpeg</v>
      </c>
      <c r="AV55" s="2" t="str">
        <f>HYPERLINK("https://www.google.com/maps/place/8.8673336%2C-12.0502285", "8.8673336,-12.0502285")</f>
        <v>8.8673336,-12.0502285</v>
      </c>
    </row>
    <row r="56" ht="15.75" customHeight="1">
      <c r="A56" s="1" t="s">
        <v>389</v>
      </c>
      <c r="B56" s="1" t="s">
        <v>46</v>
      </c>
      <c r="C56" s="1" t="s">
        <v>390</v>
      </c>
      <c r="D56" s="1" t="s">
        <v>391</v>
      </c>
      <c r="E56" s="1" t="s">
        <v>392</v>
      </c>
      <c r="F56" s="1" t="s">
        <v>49</v>
      </c>
      <c r="G56" s="1">
        <v>500.0</v>
      </c>
      <c r="H56" s="1" t="s">
        <v>50</v>
      </c>
      <c r="I56" s="1">
        <v>120.0</v>
      </c>
      <c r="J56" s="1">
        <v>80.0</v>
      </c>
      <c r="K56" s="1">
        <v>80.0</v>
      </c>
      <c r="L56" s="1">
        <v>40.0</v>
      </c>
      <c r="M56" s="1">
        <v>40.0</v>
      </c>
      <c r="N56" s="1" t="s">
        <v>51</v>
      </c>
      <c r="O56" s="1">
        <v>80.0</v>
      </c>
      <c r="P56" s="1">
        <v>50.0</v>
      </c>
      <c r="Q56" s="1">
        <v>50.0</v>
      </c>
      <c r="R56" s="1">
        <v>30.0</v>
      </c>
      <c r="S56" s="1">
        <v>28.0</v>
      </c>
      <c r="T56" s="1" t="s">
        <v>52</v>
      </c>
      <c r="U56" s="1">
        <v>100.0</v>
      </c>
      <c r="V56" s="1">
        <v>70.0</v>
      </c>
      <c r="W56" s="1">
        <v>67.0</v>
      </c>
      <c r="X56" s="1">
        <v>30.0</v>
      </c>
      <c r="Y56" s="1">
        <v>30.0</v>
      </c>
      <c r="Z56" s="1" t="s">
        <v>53</v>
      </c>
      <c r="AA56" s="1">
        <v>50.0</v>
      </c>
      <c r="AB56" s="1">
        <v>25.0</v>
      </c>
      <c r="AC56" s="1">
        <v>25.0</v>
      </c>
      <c r="AD56" s="1">
        <v>25.0</v>
      </c>
      <c r="AE56" s="1">
        <v>25.0</v>
      </c>
      <c r="AF56" s="1" t="s">
        <v>54</v>
      </c>
      <c r="AG56" s="1">
        <v>150.0</v>
      </c>
      <c r="AH56" s="1">
        <v>50.0</v>
      </c>
      <c r="AI56" s="1">
        <v>50.0</v>
      </c>
      <c r="AJ56" s="1">
        <v>100.0</v>
      </c>
      <c r="AK56" s="1">
        <v>100.0</v>
      </c>
      <c r="AL56" s="1">
        <v>495.0</v>
      </c>
      <c r="AM56" s="1">
        <v>5.0</v>
      </c>
      <c r="AN56" s="1" t="s">
        <v>55</v>
      </c>
      <c r="AO56" s="1" t="s">
        <v>55</v>
      </c>
      <c r="AP56" s="1" t="s">
        <v>393</v>
      </c>
      <c r="AQ56" s="2" t="str">
        <f>HYPERLINK("https://icf.clappia.com/app/GMB253374/submission/NCU68027621/ICF247370-GMB253374-4mlklobi7md600000000/SIG-20250630_0055m01fl.jpeg", "SIG-20250630_0055m01fl.jpeg")</f>
        <v>SIG-20250630_0055m01fl.jpeg</v>
      </c>
      <c r="AR56" s="1" t="s">
        <v>394</v>
      </c>
      <c r="AS56" s="2" t="str">
        <f>HYPERLINK("https://icf.clappia.com/app/GMB253374/submission/NCU68027621/ICF247370-GMB253374-1n7hn9ma77ffm0000000/SIG-20250630_0055o1f97.jpeg", "SIG-20250630_0055o1f97.jpeg")</f>
        <v>SIG-20250630_0055o1f97.jpeg</v>
      </c>
      <c r="AT56" s="1" t="s">
        <v>395</v>
      </c>
      <c r="AU56" s="2" t="str">
        <f>HYPERLINK("https://icf.clappia.com/app/GMB253374/submission/NCU68027621/ICF247370-GMB253374-68cin0ok1bkk00000000/SIG-20250630_005525h7f.jpeg", "SIG-20250630_005525h7f.jpeg")</f>
        <v>SIG-20250630_005525h7f.jpeg</v>
      </c>
      <c r="AV56" s="2" t="str">
        <f>HYPERLINK("https://www.google.com/maps/place/8.912167%2C-12.0348794", "8.912167,-12.0348794")</f>
        <v>8.912167,-12.0348794</v>
      </c>
    </row>
    <row r="57" ht="15.75" customHeight="1">
      <c r="A57" s="1" t="s">
        <v>396</v>
      </c>
      <c r="B57" s="1" t="s">
        <v>46</v>
      </c>
      <c r="C57" s="1" t="s">
        <v>397</v>
      </c>
      <c r="D57" s="1" t="s">
        <v>398</v>
      </c>
      <c r="E57" s="1" t="s">
        <v>399</v>
      </c>
      <c r="F57" s="1" t="s">
        <v>64</v>
      </c>
      <c r="G57" s="1">
        <v>500.0</v>
      </c>
      <c r="H57" s="1" t="s">
        <v>50</v>
      </c>
      <c r="I57" s="1">
        <v>100.0</v>
      </c>
      <c r="J57" s="1">
        <v>60.0</v>
      </c>
      <c r="K57" s="1">
        <v>60.0</v>
      </c>
      <c r="L57" s="1">
        <v>40.0</v>
      </c>
      <c r="M57" s="1">
        <v>40.0</v>
      </c>
      <c r="N57" s="1" t="s">
        <v>51</v>
      </c>
      <c r="O57" s="1">
        <v>120.0</v>
      </c>
      <c r="P57" s="1">
        <v>60.0</v>
      </c>
      <c r="Q57" s="1">
        <v>60.0</v>
      </c>
      <c r="R57" s="1">
        <v>60.0</v>
      </c>
      <c r="S57" s="1">
        <v>55.0</v>
      </c>
      <c r="T57" s="1" t="s">
        <v>52</v>
      </c>
      <c r="U57" s="1">
        <v>100.0</v>
      </c>
      <c r="V57" s="1">
        <v>55.0</v>
      </c>
      <c r="W57" s="1">
        <v>55.0</v>
      </c>
      <c r="X57" s="1">
        <v>45.0</v>
      </c>
      <c r="Y57" s="1">
        <v>45.0</v>
      </c>
      <c r="Z57" s="1" t="s">
        <v>53</v>
      </c>
      <c r="AA57" s="1">
        <v>80.0</v>
      </c>
      <c r="AB57" s="1">
        <v>30.0</v>
      </c>
      <c r="AC57" s="1">
        <v>30.0</v>
      </c>
      <c r="AD57" s="1">
        <v>50.0</v>
      </c>
      <c r="AE57" s="1">
        <v>50.0</v>
      </c>
      <c r="AF57" s="1" t="s">
        <v>54</v>
      </c>
      <c r="AG57" s="1">
        <v>60.0</v>
      </c>
      <c r="AH57" s="1">
        <v>30.0</v>
      </c>
      <c r="AI57" s="1">
        <v>30.0</v>
      </c>
      <c r="AJ57" s="1">
        <v>30.0</v>
      </c>
      <c r="AK57" s="1">
        <v>30.0</v>
      </c>
      <c r="AL57" s="1">
        <v>455.0</v>
      </c>
      <c r="AM57" s="1">
        <v>5.0</v>
      </c>
      <c r="AN57" s="1">
        <v>40.0</v>
      </c>
      <c r="AO57" s="1">
        <v>40.0</v>
      </c>
      <c r="AP57" s="1" t="s">
        <v>400</v>
      </c>
      <c r="AQ57" s="2" t="str">
        <f>HYPERLINK("https://icf.clappia.com/app/GMB253374/submission/LRJ63816451/ICF247370-GMB253374-450p8jnc9imo00000000/SIG-20250630_0041bmkjl.jpeg", "SIG-20250630_0041bmkjl.jpeg")</f>
        <v>SIG-20250630_0041bmkjl.jpeg</v>
      </c>
      <c r="AR57" s="1" t="s">
        <v>401</v>
      </c>
      <c r="AS57" s="2" t="str">
        <f>HYPERLINK("https://icf.clappia.com/app/GMB253374/submission/LRJ63816451/ICF247370-GMB253374-13ehj75pil31i0000000/SIG-20250630_0041fi8ak.jpeg", "SIG-20250630_0041fi8ak.jpeg")</f>
        <v>SIG-20250630_0041fi8ak.jpeg</v>
      </c>
      <c r="AT57" s="1" t="s">
        <v>402</v>
      </c>
      <c r="AU57" s="2" t="str">
        <f>HYPERLINK("https://icf.clappia.com/app/GMB253374/submission/LRJ63816451/ICF247370-GMB253374-64p2lm8fgkcg00000000/SIG-20250630_0041adn90.jpeg", "SIG-20250630_0041adn90.jpeg")</f>
        <v>SIG-20250630_0041adn90.jpeg</v>
      </c>
      <c r="AV57" s="2" t="str">
        <f>HYPERLINK("https://www.google.com/maps/place/8.9123282%2C-12.0348234", "8.9123282,-12.0348234")</f>
        <v>8.9123282,-12.0348234</v>
      </c>
    </row>
    <row r="58" ht="15.75" customHeight="1">
      <c r="A58" s="1" t="s">
        <v>403</v>
      </c>
      <c r="B58" s="1" t="s">
        <v>46</v>
      </c>
      <c r="C58" s="1" t="s">
        <v>404</v>
      </c>
      <c r="D58" s="1" t="s">
        <v>405</v>
      </c>
      <c r="E58" s="1" t="s">
        <v>406</v>
      </c>
      <c r="F58" s="1" t="s">
        <v>49</v>
      </c>
      <c r="G58" s="1">
        <v>550.0</v>
      </c>
      <c r="H58" s="1" t="s">
        <v>50</v>
      </c>
      <c r="I58" s="1">
        <v>100.0</v>
      </c>
      <c r="J58" s="1">
        <v>60.0</v>
      </c>
      <c r="K58" s="1">
        <v>60.0</v>
      </c>
      <c r="L58" s="1">
        <v>40.0</v>
      </c>
      <c r="M58" s="1">
        <v>40.0</v>
      </c>
      <c r="N58" s="1" t="s">
        <v>51</v>
      </c>
      <c r="O58" s="1">
        <v>120.0</v>
      </c>
      <c r="P58" s="1">
        <v>40.0</v>
      </c>
      <c r="Q58" s="1">
        <v>40.0</v>
      </c>
      <c r="R58" s="1">
        <v>80.0</v>
      </c>
      <c r="S58" s="1">
        <v>75.0</v>
      </c>
      <c r="T58" s="1" t="s">
        <v>52</v>
      </c>
      <c r="U58" s="1">
        <v>100.0</v>
      </c>
      <c r="V58" s="1">
        <v>60.0</v>
      </c>
      <c r="W58" s="1">
        <v>60.0</v>
      </c>
      <c r="X58" s="1">
        <v>40.0</v>
      </c>
      <c r="Y58" s="1">
        <v>40.0</v>
      </c>
      <c r="Z58" s="1" t="s">
        <v>53</v>
      </c>
      <c r="AA58" s="1">
        <v>120.0</v>
      </c>
      <c r="AB58" s="1">
        <v>75.0</v>
      </c>
      <c r="AC58" s="1">
        <v>75.0</v>
      </c>
      <c r="AD58" s="1">
        <v>45.0</v>
      </c>
      <c r="AE58" s="1">
        <v>45.0</v>
      </c>
      <c r="AF58" s="1" t="s">
        <v>54</v>
      </c>
      <c r="AG58" s="1">
        <v>100.0</v>
      </c>
      <c r="AH58" s="1">
        <v>50.0</v>
      </c>
      <c r="AI58" s="1">
        <v>50.0</v>
      </c>
      <c r="AJ58" s="1">
        <v>50.0</v>
      </c>
      <c r="AK58" s="1">
        <v>50.0</v>
      </c>
      <c r="AL58" s="1">
        <v>535.0</v>
      </c>
      <c r="AM58" s="1">
        <v>5.0</v>
      </c>
      <c r="AN58" s="1">
        <v>10.0</v>
      </c>
      <c r="AO58" s="1">
        <v>10.0</v>
      </c>
      <c r="AP58" s="1" t="s">
        <v>407</v>
      </c>
      <c r="AQ58" s="2" t="str">
        <f>HYPERLINK("https://icf.clappia.com/app/GMB253374/submission/DOI24479303/ICF247370-GMB253374-4ma0fchmm85e00000000/SIG-20250630_000613l7ip.jpeg", "SIG-20250630_000613l7ip.jpeg")</f>
        <v>SIG-20250630_000613l7ip.jpeg</v>
      </c>
      <c r="AR58" s="1" t="s">
        <v>408</v>
      </c>
      <c r="AS58" s="2" t="str">
        <f>HYPERLINK("https://icf.clappia.com/app/GMB253374/submission/DOI24479303/ICF247370-GMB253374-26j0k74mi0kai0000000/SIG-20250630_0006mg5hg.jpeg", "SIG-20250630_0006mg5hg.jpeg")</f>
        <v>SIG-20250630_0006mg5hg.jpeg</v>
      </c>
      <c r="AT58" s="1" t="s">
        <v>409</v>
      </c>
      <c r="AU58" s="2" t="str">
        <f>HYPERLINK("https://icf.clappia.com/app/GMB253374/submission/DOI24479303/ICF247370-GMB253374-h9008h2h21a00000000/SIG-20250630_0006og5go.jpeg", "SIG-20250630_0006og5go.jpeg")</f>
        <v>SIG-20250630_0006og5go.jpeg</v>
      </c>
      <c r="AV58" s="2" t="str">
        <f>HYPERLINK("https://www.google.com/maps/place/8.9110687%2C-12.0349223", "8.9110687,-12.0349223")</f>
        <v>8.9110687,-12.0349223</v>
      </c>
    </row>
    <row r="59" ht="15.75" customHeight="1">
      <c r="A59" s="1" t="s">
        <v>410</v>
      </c>
      <c r="B59" s="1" t="s">
        <v>46</v>
      </c>
      <c r="C59" s="1" t="s">
        <v>411</v>
      </c>
      <c r="D59" s="1" t="s">
        <v>412</v>
      </c>
      <c r="E59" s="1" t="s">
        <v>413</v>
      </c>
      <c r="F59" s="1" t="s">
        <v>49</v>
      </c>
      <c r="G59" s="1">
        <v>500.0</v>
      </c>
      <c r="H59" s="1" t="s">
        <v>50</v>
      </c>
      <c r="I59" s="1">
        <v>100.0</v>
      </c>
      <c r="J59" s="1">
        <v>50.0</v>
      </c>
      <c r="K59" s="1">
        <v>50.0</v>
      </c>
      <c r="L59" s="1">
        <v>50.0</v>
      </c>
      <c r="M59" s="1">
        <v>50.0</v>
      </c>
      <c r="N59" s="1" t="s">
        <v>51</v>
      </c>
      <c r="O59" s="1">
        <v>120.0</v>
      </c>
      <c r="P59" s="1">
        <v>60.0</v>
      </c>
      <c r="Q59" s="1">
        <v>55.0</v>
      </c>
      <c r="R59" s="1">
        <v>60.0</v>
      </c>
      <c r="S59" s="1">
        <v>60.0</v>
      </c>
      <c r="T59" s="1" t="s">
        <v>52</v>
      </c>
      <c r="U59" s="1">
        <v>80.0</v>
      </c>
      <c r="V59" s="1">
        <v>50.0</v>
      </c>
      <c r="W59" s="1">
        <v>50.0</v>
      </c>
      <c r="X59" s="1">
        <v>30.0</v>
      </c>
      <c r="Y59" s="1">
        <v>30.0</v>
      </c>
      <c r="Z59" s="1" t="s">
        <v>53</v>
      </c>
      <c r="AA59" s="1">
        <v>100.0</v>
      </c>
      <c r="AB59" s="1">
        <v>40.0</v>
      </c>
      <c r="AC59" s="1">
        <v>40.0</v>
      </c>
      <c r="AD59" s="1">
        <v>60.0</v>
      </c>
      <c r="AE59" s="1">
        <v>60.0</v>
      </c>
      <c r="AF59" s="1" t="s">
        <v>54</v>
      </c>
      <c r="AG59" s="1">
        <v>100.0</v>
      </c>
      <c r="AH59" s="1">
        <v>60.0</v>
      </c>
      <c r="AI59" s="1">
        <v>60.0</v>
      </c>
      <c r="AJ59" s="1">
        <v>40.0</v>
      </c>
      <c r="AK59" s="1">
        <v>40.0</v>
      </c>
      <c r="AL59" s="1">
        <v>495.0</v>
      </c>
      <c r="AM59" s="1">
        <v>5.0</v>
      </c>
      <c r="AN59" s="1" t="s">
        <v>55</v>
      </c>
      <c r="AO59" s="1" t="s">
        <v>55</v>
      </c>
      <c r="AP59" s="1" t="s">
        <v>407</v>
      </c>
      <c r="AQ59" s="2" t="str">
        <f>HYPERLINK("https://icf.clappia.com/app/GMB253374/submission/QDB64927795/ICF247370-GMB253374-4iiomngea3oc00000000/SIG-20250629_2349p23pb.jpeg", "SIG-20250629_2349p23pb.jpeg")</f>
        <v>SIG-20250629_2349p23pb.jpeg</v>
      </c>
      <c r="AR59" s="1" t="s">
        <v>414</v>
      </c>
      <c r="AS59" s="2" t="str">
        <f>HYPERLINK("https://icf.clappia.com/app/GMB253374/submission/QDB64927795/ICF247370-GMB253374-52e9d5g765gk00000000/SIG-20250629_23501h6hc.jpeg", "SIG-20250629_23501h6hc.jpeg")</f>
        <v>SIG-20250629_23501h6hc.jpeg</v>
      </c>
      <c r="AT59" s="1" t="s">
        <v>415</v>
      </c>
      <c r="AU59" s="2" t="str">
        <f>HYPERLINK("https://icf.clappia.com/app/GMB253374/submission/QDB64927795/ICF247370-GMB253374-5ok79dmlk19e00000000/SIG-20250629_2350ihile.jpeg", "SIG-20250629_2350ihile.jpeg")</f>
        <v>SIG-20250629_2350ihile.jpeg</v>
      </c>
      <c r="AV59" s="2" t="str">
        <f>HYPERLINK("https://www.google.com/maps/place/8.9111515%2C-12.0348794", "8.9111515,-12.0348794")</f>
        <v>8.9111515,-12.0348794</v>
      </c>
    </row>
    <row r="60" ht="15.75" customHeight="1">
      <c r="A60" s="1" t="s">
        <v>416</v>
      </c>
      <c r="B60" s="1" t="s">
        <v>46</v>
      </c>
      <c r="C60" s="1" t="s">
        <v>417</v>
      </c>
      <c r="D60" s="1" t="s">
        <v>418</v>
      </c>
      <c r="E60" s="1" t="s">
        <v>419</v>
      </c>
      <c r="F60" s="1" t="s">
        <v>49</v>
      </c>
      <c r="G60" s="1">
        <v>500.0</v>
      </c>
      <c r="H60" s="1" t="s">
        <v>50</v>
      </c>
      <c r="I60" s="1">
        <v>100.0</v>
      </c>
      <c r="J60" s="1">
        <v>45.0</v>
      </c>
      <c r="K60" s="1">
        <v>40.0</v>
      </c>
      <c r="L60" s="1">
        <v>55.0</v>
      </c>
      <c r="M60" s="1">
        <v>55.0</v>
      </c>
      <c r="N60" s="1" t="s">
        <v>51</v>
      </c>
      <c r="O60" s="1">
        <v>80.0</v>
      </c>
      <c r="P60" s="1">
        <v>50.0</v>
      </c>
      <c r="Q60" s="1">
        <v>50.0</v>
      </c>
      <c r="R60" s="1">
        <v>30.0</v>
      </c>
      <c r="S60" s="1">
        <v>30.0</v>
      </c>
      <c r="T60" s="1" t="s">
        <v>52</v>
      </c>
      <c r="U60" s="1">
        <v>120.0</v>
      </c>
      <c r="V60" s="1">
        <v>65.0</v>
      </c>
      <c r="W60" s="1">
        <v>65.0</v>
      </c>
      <c r="X60" s="1">
        <v>55.0</v>
      </c>
      <c r="Y60" s="1">
        <v>55.0</v>
      </c>
      <c r="Z60" s="1" t="s">
        <v>53</v>
      </c>
      <c r="AA60" s="1">
        <v>100.0</v>
      </c>
      <c r="AB60" s="1">
        <v>60.0</v>
      </c>
      <c r="AC60" s="1">
        <v>60.0</v>
      </c>
      <c r="AD60" s="1">
        <v>40.0</v>
      </c>
      <c r="AE60" s="1">
        <v>40.0</v>
      </c>
      <c r="AF60" s="1" t="s">
        <v>54</v>
      </c>
      <c r="AG60" s="1">
        <v>100.0</v>
      </c>
      <c r="AH60" s="1">
        <v>50.0</v>
      </c>
      <c r="AI60" s="1">
        <v>50.0</v>
      </c>
      <c r="AJ60" s="1">
        <v>50.0</v>
      </c>
      <c r="AK60" s="1">
        <v>50.0</v>
      </c>
      <c r="AL60" s="1">
        <v>495.0</v>
      </c>
      <c r="AM60" s="1">
        <v>5.0</v>
      </c>
      <c r="AN60" s="1" t="s">
        <v>55</v>
      </c>
      <c r="AO60" s="1" t="s">
        <v>55</v>
      </c>
      <c r="AP60" s="1" t="s">
        <v>420</v>
      </c>
      <c r="AQ60" s="2" t="str">
        <f>HYPERLINK("https://icf.clappia.com/app/GMB253374/submission/VUJ55661574/ICF247370-GMB253374-o8g6l0bclo9e0000000/SIG-20250629_23411052j9.jpeg", "SIG-20250629_23411052j9.jpeg")</f>
        <v>SIG-20250629_23411052j9.jpeg</v>
      </c>
      <c r="AR60" s="1" t="s">
        <v>421</v>
      </c>
      <c r="AS60" s="2" t="str">
        <f>HYPERLINK("https://icf.clappia.com/app/GMB253374/submission/VUJ55661574/ICF247370-GMB253374-15pkafio89i320000000/SIG-20250629_2342m6m4m.jpeg", "SIG-20250629_2342m6m4m.jpeg")</f>
        <v>SIG-20250629_2342m6m4m.jpeg</v>
      </c>
      <c r="AT60" s="1" t="s">
        <v>422</v>
      </c>
      <c r="AU60" s="2" t="str">
        <f>HYPERLINK("https://icf.clappia.com/app/GMB253374/submission/VUJ55661574/ICF247370-GMB253374-jo9ife7om0b80000000/SIG-20250629_234234gcm.jpeg", "SIG-20250629_234234gcm.jpeg")</f>
        <v>SIG-20250629_234234gcm.jpeg</v>
      </c>
      <c r="AV60" s="2" t="str">
        <f>HYPERLINK("https://www.google.com/maps/place/8.9131943%2C-12.0345225", "8.9131943,-12.0345225")</f>
        <v>8.9131943,-12.0345225</v>
      </c>
    </row>
    <row r="61" ht="15.75" customHeight="1">
      <c r="A61" s="1" t="s">
        <v>423</v>
      </c>
      <c r="B61" s="1" t="s">
        <v>223</v>
      </c>
      <c r="C61" s="1" t="s">
        <v>424</v>
      </c>
      <c r="D61" s="1" t="s">
        <v>424</v>
      </c>
      <c r="E61" s="1" t="s">
        <v>425</v>
      </c>
      <c r="F61" s="1" t="s">
        <v>64</v>
      </c>
      <c r="G61" s="1">
        <v>250.0</v>
      </c>
      <c r="H61" s="1" t="s">
        <v>50</v>
      </c>
      <c r="I61" s="1">
        <v>50.0</v>
      </c>
      <c r="J61" s="1">
        <v>30.0</v>
      </c>
      <c r="K61" s="1">
        <v>30.0</v>
      </c>
      <c r="L61" s="1">
        <v>20.0</v>
      </c>
      <c r="M61" s="1">
        <v>20.0</v>
      </c>
      <c r="N61" s="1" t="s">
        <v>51</v>
      </c>
      <c r="O61" s="1">
        <v>30.0</v>
      </c>
      <c r="P61" s="1">
        <v>15.0</v>
      </c>
      <c r="Q61" s="1">
        <v>15.0</v>
      </c>
      <c r="R61" s="1">
        <v>15.0</v>
      </c>
      <c r="S61" s="1">
        <v>15.0</v>
      </c>
      <c r="T61" s="1" t="s">
        <v>52</v>
      </c>
      <c r="U61" s="1">
        <v>45.0</v>
      </c>
      <c r="V61" s="1">
        <v>20.0</v>
      </c>
      <c r="W61" s="1">
        <v>20.0</v>
      </c>
      <c r="X61" s="1">
        <v>25.0</v>
      </c>
      <c r="Y61" s="1">
        <v>25.0</v>
      </c>
      <c r="Z61" s="1" t="s">
        <v>53</v>
      </c>
      <c r="AA61" s="1">
        <v>70.0</v>
      </c>
      <c r="AB61" s="1">
        <v>40.0</v>
      </c>
      <c r="AC61" s="1">
        <v>40.0</v>
      </c>
      <c r="AD61" s="1">
        <v>30.0</v>
      </c>
      <c r="AE61" s="1">
        <v>30.0</v>
      </c>
      <c r="AF61" s="1" t="s">
        <v>54</v>
      </c>
      <c r="AG61" s="1">
        <v>35.0</v>
      </c>
      <c r="AH61" s="1">
        <v>20.0</v>
      </c>
      <c r="AI61" s="1">
        <v>20.0</v>
      </c>
      <c r="AJ61" s="1">
        <v>15.0</v>
      </c>
      <c r="AK61" s="1">
        <v>15.0</v>
      </c>
      <c r="AL61" s="1">
        <v>230.0</v>
      </c>
      <c r="AM61" s="1" t="s">
        <v>55</v>
      </c>
      <c r="AN61" s="1">
        <v>20.0</v>
      </c>
      <c r="AO61" s="1">
        <v>20.0</v>
      </c>
      <c r="AP61" s="1" t="s">
        <v>426</v>
      </c>
      <c r="AQ61" s="2" t="str">
        <f>HYPERLINK("https://icf.clappia.com/app/GMB253374/submission/CGP16745569/ICF247370-GMB253374-49dnh0207eb40000000/SIG-20250629_23334oceg.jpeg", "SIG-20250629_23334oceg.jpeg")</f>
        <v>SIG-20250629_23334oceg.jpeg</v>
      </c>
      <c r="AR61" s="1" t="s">
        <v>427</v>
      </c>
      <c r="AS61" s="2" t="str">
        <f>HYPERLINK("https://icf.clappia.com/app/GMB253374/submission/CGP16745569/ICF247370-GMB253374-1bc4cdn67o0na0000000/SIG-20250629_23346f16a.jpeg", "SIG-20250629_23346f16a.jpeg")</f>
        <v>SIG-20250629_23346f16a.jpeg</v>
      </c>
      <c r="AT61" s="1" t="s">
        <v>428</v>
      </c>
      <c r="AU61" s="2" t="str">
        <f>HYPERLINK("https://icf.clappia.com/app/GMB253374/submission/CGP16745569/ICF247370-GMB253374-25apdifa2k0pg0000000/SIG-20250629_2334ihedj.jpeg", "SIG-20250629_2334ihedj.jpeg")</f>
        <v>SIG-20250629_2334ihedj.jpeg</v>
      </c>
      <c r="AV61" s="2" t="str">
        <f>HYPERLINK("https://www.google.com/maps/place/7.9777632%2C-11.7408165", "7.9777632,-11.7408165")</f>
        <v>7.9777632,-11.7408165</v>
      </c>
    </row>
    <row r="62" ht="15.75" customHeight="1">
      <c r="A62" s="1" t="s">
        <v>429</v>
      </c>
      <c r="B62" s="1" t="s">
        <v>46</v>
      </c>
      <c r="C62" s="1" t="s">
        <v>430</v>
      </c>
      <c r="D62" s="1" t="s">
        <v>431</v>
      </c>
      <c r="E62" s="1" t="s">
        <v>432</v>
      </c>
      <c r="F62" s="1" t="s">
        <v>64</v>
      </c>
      <c r="G62" s="1">
        <v>500.0</v>
      </c>
      <c r="H62" s="1" t="s">
        <v>50</v>
      </c>
      <c r="I62" s="1">
        <v>100.0</v>
      </c>
      <c r="J62" s="1">
        <v>60.0</v>
      </c>
      <c r="K62" s="1">
        <v>60.0</v>
      </c>
      <c r="L62" s="1">
        <v>40.0</v>
      </c>
      <c r="M62" s="1">
        <v>40.0</v>
      </c>
      <c r="N62" s="1" t="s">
        <v>51</v>
      </c>
      <c r="O62" s="1">
        <v>80.0</v>
      </c>
      <c r="P62" s="1">
        <v>45.0</v>
      </c>
      <c r="Q62" s="1">
        <v>45.0</v>
      </c>
      <c r="R62" s="1">
        <v>35.0</v>
      </c>
      <c r="S62" s="1">
        <v>33.0</v>
      </c>
      <c r="T62" s="1" t="s">
        <v>52</v>
      </c>
      <c r="U62" s="1">
        <v>120.0</v>
      </c>
      <c r="V62" s="1">
        <v>50.0</v>
      </c>
      <c r="W62" s="1">
        <v>50.0</v>
      </c>
      <c r="X62" s="1">
        <v>70.0</v>
      </c>
      <c r="Y62" s="1">
        <v>67.0</v>
      </c>
      <c r="Z62" s="1" t="s">
        <v>53</v>
      </c>
      <c r="AA62" s="1">
        <v>100.0</v>
      </c>
      <c r="AB62" s="1">
        <v>40.0</v>
      </c>
      <c r="AC62" s="1">
        <v>40.0</v>
      </c>
      <c r="AD62" s="1">
        <v>60.0</v>
      </c>
      <c r="AE62" s="1">
        <v>60.0</v>
      </c>
      <c r="AF62" s="1" t="s">
        <v>54</v>
      </c>
      <c r="AG62" s="1">
        <v>100.0</v>
      </c>
      <c r="AH62" s="1">
        <v>70.0</v>
      </c>
      <c r="AI62" s="1">
        <v>70.0</v>
      </c>
      <c r="AJ62" s="1">
        <v>30.0</v>
      </c>
      <c r="AK62" s="1">
        <v>30.0</v>
      </c>
      <c r="AL62" s="1">
        <v>495.0</v>
      </c>
      <c r="AM62" s="1">
        <v>5.0</v>
      </c>
      <c r="AN62" s="1" t="s">
        <v>55</v>
      </c>
      <c r="AO62" s="1" t="s">
        <v>55</v>
      </c>
      <c r="AP62" s="1" t="s">
        <v>433</v>
      </c>
      <c r="AQ62" s="2" t="str">
        <f>HYPERLINK("https://icf.clappia.com/app/GMB253374/submission/OJU22103975/ICF247370-GMB253374-2p5ej57ekcb000000000/SIG-20250629_2322171kej.jpeg", "SIG-20250629_2322171kej.jpeg")</f>
        <v>SIG-20250629_2322171kej.jpeg</v>
      </c>
      <c r="AR62" s="1" t="s">
        <v>434</v>
      </c>
      <c r="AS62" s="2" t="str">
        <f>HYPERLINK("https://icf.clappia.com/app/GMB253374/submission/OJU22103975/ICF247370-GMB253374-h5m52e4l4kpm0000000/SIG-20250629_23222m9g8.jpeg", "SIG-20250629_23222m9g8.jpeg")</f>
        <v>SIG-20250629_23222m9g8.jpeg</v>
      </c>
      <c r="AT62" s="1" t="s">
        <v>435</v>
      </c>
      <c r="AU62" s="2" t="str">
        <f>HYPERLINK("https://icf.clappia.com/app/GMB253374/submission/OJU22103975/ICF247370-GMB253374-6b9dh829kifi00000000/SIG-20250629_232378ag8.jpeg", "SIG-20250629_232378ag8.jpeg")</f>
        <v>SIG-20250629_232378ag8.jpeg</v>
      </c>
      <c r="AV62" s="2" t="str">
        <f>HYPERLINK("https://www.google.com/maps/place/8.9131943%2C-12.0345225", "8.9131943,-12.0345225")</f>
        <v>8.9131943,-12.0345225</v>
      </c>
    </row>
    <row r="63" ht="15.75" customHeight="1">
      <c r="A63" s="1" t="s">
        <v>436</v>
      </c>
      <c r="B63" s="1" t="s">
        <v>46</v>
      </c>
      <c r="C63" s="1" t="s">
        <v>437</v>
      </c>
      <c r="D63" s="1" t="s">
        <v>438</v>
      </c>
      <c r="E63" s="1" t="s">
        <v>439</v>
      </c>
      <c r="F63" s="1" t="s">
        <v>64</v>
      </c>
      <c r="G63" s="1">
        <v>500.0</v>
      </c>
      <c r="H63" s="1" t="s">
        <v>50</v>
      </c>
      <c r="I63" s="1">
        <v>100.0</v>
      </c>
      <c r="J63" s="1">
        <v>50.0</v>
      </c>
      <c r="K63" s="1">
        <v>50.0</v>
      </c>
      <c r="L63" s="1">
        <v>50.0</v>
      </c>
      <c r="M63" s="1">
        <v>50.0</v>
      </c>
      <c r="N63" s="1" t="s">
        <v>51</v>
      </c>
      <c r="O63" s="1">
        <v>120.0</v>
      </c>
      <c r="P63" s="1">
        <v>60.0</v>
      </c>
      <c r="Q63" s="1">
        <v>55.0</v>
      </c>
      <c r="R63" s="1">
        <v>60.0</v>
      </c>
      <c r="S63" s="1">
        <v>60.0</v>
      </c>
      <c r="T63" s="1" t="s">
        <v>52</v>
      </c>
      <c r="U63" s="1">
        <v>80.0</v>
      </c>
      <c r="V63" s="1">
        <v>30.0</v>
      </c>
      <c r="W63" s="1">
        <v>30.0</v>
      </c>
      <c r="X63" s="1">
        <v>50.0</v>
      </c>
      <c r="Y63" s="1">
        <v>50.0</v>
      </c>
      <c r="Z63" s="1" t="s">
        <v>53</v>
      </c>
      <c r="AA63" s="1">
        <v>100.0</v>
      </c>
      <c r="AB63" s="1">
        <v>40.0</v>
      </c>
      <c r="AC63" s="1">
        <v>40.0</v>
      </c>
      <c r="AD63" s="1">
        <v>60.0</v>
      </c>
      <c r="AE63" s="1">
        <v>60.0</v>
      </c>
      <c r="AF63" s="1" t="s">
        <v>54</v>
      </c>
      <c r="AG63" s="1">
        <v>100.0</v>
      </c>
      <c r="AH63" s="1">
        <v>30.0</v>
      </c>
      <c r="AI63" s="1">
        <v>30.0</v>
      </c>
      <c r="AJ63" s="1">
        <v>70.0</v>
      </c>
      <c r="AK63" s="1">
        <v>70.0</v>
      </c>
      <c r="AL63" s="1">
        <v>495.0</v>
      </c>
      <c r="AM63" s="1">
        <v>5.0</v>
      </c>
      <c r="AN63" s="1" t="s">
        <v>55</v>
      </c>
      <c r="AO63" s="1" t="s">
        <v>55</v>
      </c>
      <c r="AP63" s="1" t="s">
        <v>440</v>
      </c>
      <c r="AQ63" s="2" t="str">
        <f>HYPERLINK("https://icf.clappia.com/app/GMB253374/submission/AVA76835465/ICF247370-GMB253374-29nfdd5lpdji80000000/SIG-20250629_22588221e.jpeg", "SIG-20250629_22588221e.jpeg")</f>
        <v>SIG-20250629_22588221e.jpeg</v>
      </c>
      <c r="AR63" s="1" t="s">
        <v>407</v>
      </c>
      <c r="AS63" s="2" t="str">
        <f>HYPERLINK("https://icf.clappia.com/app/GMB253374/submission/AVA76835465/ICF247370-GMB253374-k7acd7n1pac80000000/SIG-20250629_22595jak7.jpeg", "SIG-20250629_22595jak7.jpeg")</f>
        <v>SIG-20250629_22595jak7.jpeg</v>
      </c>
      <c r="AT63" s="1" t="s">
        <v>441</v>
      </c>
      <c r="AU63" s="2" t="str">
        <f>HYPERLINK("https://icf.clappia.com/app/GMB253374/submission/AVA76835465/ICF247370-GMB253374-41edlh3dl7fa00000000/SIG-20250629_2259ha18k.jpeg", "SIG-20250629_2259ha18k.jpeg")</f>
        <v>SIG-20250629_2259ha18k.jpeg</v>
      </c>
      <c r="AV63" s="2" t="str">
        <f t="shared" ref="AV63:AV64" si="2">HYPERLINK("https://www.google.com/maps/place/8.9095171%2C-12.0330948", "8.9095171,-12.0330948")</f>
        <v>8.9095171,-12.0330948</v>
      </c>
    </row>
    <row r="64" ht="15.75" customHeight="1">
      <c r="A64" s="1" t="s">
        <v>442</v>
      </c>
      <c r="B64" s="1" t="s">
        <v>46</v>
      </c>
      <c r="C64" s="1" t="s">
        <v>443</v>
      </c>
      <c r="D64" s="1" t="s">
        <v>444</v>
      </c>
      <c r="E64" s="1" t="s">
        <v>445</v>
      </c>
      <c r="F64" s="1" t="s">
        <v>64</v>
      </c>
      <c r="G64" s="1">
        <v>500.0</v>
      </c>
      <c r="H64" s="1" t="s">
        <v>50</v>
      </c>
      <c r="I64" s="1">
        <v>100.0</v>
      </c>
      <c r="J64" s="1">
        <v>40.0</v>
      </c>
      <c r="K64" s="1">
        <v>40.0</v>
      </c>
      <c r="L64" s="1">
        <v>60.0</v>
      </c>
      <c r="M64" s="1">
        <v>55.0</v>
      </c>
      <c r="N64" s="1" t="s">
        <v>51</v>
      </c>
      <c r="O64" s="1">
        <v>80.0</v>
      </c>
      <c r="P64" s="1">
        <v>30.0</v>
      </c>
      <c r="Q64" s="1">
        <v>30.0</v>
      </c>
      <c r="R64" s="1">
        <v>50.0</v>
      </c>
      <c r="S64" s="1">
        <v>50.0</v>
      </c>
      <c r="T64" s="1" t="s">
        <v>52</v>
      </c>
      <c r="U64" s="1">
        <v>100.0</v>
      </c>
      <c r="V64" s="1">
        <v>60.0</v>
      </c>
      <c r="W64" s="1">
        <v>60.0</v>
      </c>
      <c r="X64" s="1">
        <v>40.0</v>
      </c>
      <c r="Y64" s="1">
        <v>40.0</v>
      </c>
      <c r="Z64" s="1" t="s">
        <v>53</v>
      </c>
      <c r="AA64" s="1">
        <v>70.0</v>
      </c>
      <c r="AB64" s="1">
        <v>35.0</v>
      </c>
      <c r="AC64" s="1">
        <v>35.0</v>
      </c>
      <c r="AD64" s="1">
        <v>35.0</v>
      </c>
      <c r="AE64" s="1">
        <v>35.0</v>
      </c>
      <c r="AF64" s="1" t="s">
        <v>54</v>
      </c>
      <c r="AG64" s="1">
        <v>120.0</v>
      </c>
      <c r="AH64" s="1">
        <v>50.0</v>
      </c>
      <c r="AI64" s="1">
        <v>50.0</v>
      </c>
      <c r="AJ64" s="1">
        <v>70.0</v>
      </c>
      <c r="AK64" s="1">
        <v>70.0</v>
      </c>
      <c r="AL64" s="1">
        <v>465.0</v>
      </c>
      <c r="AM64" s="1">
        <v>5.0</v>
      </c>
      <c r="AN64" s="1">
        <v>30.0</v>
      </c>
      <c r="AO64" s="1">
        <v>5.0</v>
      </c>
      <c r="AP64" s="1" t="s">
        <v>446</v>
      </c>
      <c r="AQ64" s="2" t="str">
        <f>HYPERLINK("https://icf.clappia.com/app/GMB253374/submission/OPD18026172/ICF247370-GMB253374-1mok3p321d5i00000000/SIG-20250629_22498nfbh.jpeg", "SIG-20250629_22498nfbh.jpeg")</f>
        <v>SIG-20250629_22498nfbh.jpeg</v>
      </c>
      <c r="AR64" s="1" t="s">
        <v>447</v>
      </c>
      <c r="AS64" s="2" t="str">
        <f>HYPERLINK("https://icf.clappia.com/app/GMB253374/submission/OPD18026172/ICF247370-GMB253374-2o2e1agko4oo00000000/SIG-20250629_22491109pn.jpeg", "SIG-20250629_22491109pn.jpeg")</f>
        <v>SIG-20250629_22491109pn.jpeg</v>
      </c>
      <c r="AT64" s="1" t="s">
        <v>448</v>
      </c>
      <c r="AU64" s="2" t="str">
        <f>HYPERLINK("https://icf.clappia.com/app/GMB253374/submission/OPD18026172/ICF247370-GMB253374-2dlgh2kl8c2000000000/SIG-20250629_2250k42lk.jpeg", "SIG-20250629_2250k42lk.jpeg")</f>
        <v>SIG-20250629_2250k42lk.jpeg</v>
      </c>
      <c r="AV64" s="2" t="str">
        <f t="shared" si="2"/>
        <v>8.9095171,-12.0330948</v>
      </c>
    </row>
    <row r="65" ht="15.75" customHeight="1">
      <c r="A65" s="1" t="s">
        <v>449</v>
      </c>
      <c r="B65" s="1" t="s">
        <v>46</v>
      </c>
      <c r="C65" s="1" t="s">
        <v>450</v>
      </c>
      <c r="D65" s="1" t="s">
        <v>450</v>
      </c>
      <c r="E65" s="1" t="s">
        <v>451</v>
      </c>
      <c r="F65" s="1" t="s">
        <v>64</v>
      </c>
      <c r="G65" s="1">
        <v>300.0</v>
      </c>
      <c r="H65" s="1" t="s">
        <v>50</v>
      </c>
      <c r="I65" s="1">
        <v>30.0</v>
      </c>
      <c r="J65" s="1">
        <v>15.0</v>
      </c>
      <c r="K65" s="1">
        <v>15.0</v>
      </c>
      <c r="L65" s="1">
        <v>15.0</v>
      </c>
      <c r="M65" s="1">
        <v>15.0</v>
      </c>
      <c r="N65" s="1" t="s">
        <v>51</v>
      </c>
      <c r="O65" s="1">
        <v>50.0</v>
      </c>
      <c r="P65" s="1">
        <v>30.0</v>
      </c>
      <c r="Q65" s="1">
        <v>30.0</v>
      </c>
      <c r="R65" s="1">
        <v>20.0</v>
      </c>
      <c r="S65" s="1">
        <v>20.0</v>
      </c>
      <c r="T65" s="1" t="s">
        <v>52</v>
      </c>
      <c r="U65" s="1">
        <v>70.0</v>
      </c>
      <c r="V65" s="1">
        <v>50.0</v>
      </c>
      <c r="W65" s="1">
        <v>50.0</v>
      </c>
      <c r="X65" s="1">
        <v>20.0</v>
      </c>
      <c r="Y65" s="1">
        <v>20.0</v>
      </c>
      <c r="Z65" s="1" t="s">
        <v>53</v>
      </c>
      <c r="AA65" s="1">
        <v>45.0</v>
      </c>
      <c r="AB65" s="1">
        <v>15.0</v>
      </c>
      <c r="AC65" s="1">
        <v>15.0</v>
      </c>
      <c r="AD65" s="1">
        <v>30.0</v>
      </c>
      <c r="AE65" s="1">
        <v>30.0</v>
      </c>
      <c r="AF65" s="1" t="s">
        <v>54</v>
      </c>
      <c r="AG65" s="1">
        <v>80.0</v>
      </c>
      <c r="AH65" s="1">
        <v>35.0</v>
      </c>
      <c r="AI65" s="1">
        <v>35.0</v>
      </c>
      <c r="AJ65" s="1">
        <v>45.0</v>
      </c>
      <c r="AK65" s="1">
        <v>45.0</v>
      </c>
      <c r="AL65" s="1">
        <v>275.0</v>
      </c>
      <c r="AM65" s="1" t="s">
        <v>55</v>
      </c>
      <c r="AN65" s="1">
        <v>25.0</v>
      </c>
      <c r="AO65" s="1">
        <v>25.0</v>
      </c>
      <c r="AP65" s="1" t="s">
        <v>452</v>
      </c>
      <c r="AQ65" s="2" t="str">
        <f>HYPERLINK("https://icf.clappia.com/app/GMB253374/submission/HHK34332895/ICF247370-GMB253374-3233lmag331a00000000/SIG-20250626_1638j3hh2.jpeg", "SIG-20250626_1638j3hh2.jpeg")</f>
        <v>SIG-20250626_1638j3hh2.jpeg</v>
      </c>
      <c r="AR65" s="1" t="s">
        <v>453</v>
      </c>
      <c r="AS65" s="2" t="str">
        <f>HYPERLINK("https://icf.clappia.com/app/GMB253374/submission/HHK34332895/ICF247370-GMB253374-9ld616dn2ocg0000000/SIG-20250629_2106i1p3f.jpeg", "SIG-20250629_2106i1p3f.jpeg")</f>
        <v>SIG-20250629_2106i1p3f.jpeg</v>
      </c>
      <c r="AT65" s="1" t="s">
        <v>454</v>
      </c>
      <c r="AU65" s="2" t="str">
        <f>HYPERLINK("https://icf.clappia.com/app/GMB253374/submission/HHK34332895/ICF247370-GMB253374-1ig4cm5d06i2k0000000/SIG-20250629_2106bkbo.jpeg", "SIG-20250629_2106bkbo.jpeg")</f>
        <v>SIG-20250629_2106bkbo.jpeg</v>
      </c>
      <c r="AV65" s="2" t="str">
        <f>HYPERLINK("https://www.google.com/maps/place/8.912167%2C-12.0348794", "8.912167,-12.0348794")</f>
        <v>8.912167,-12.0348794</v>
      </c>
    </row>
    <row r="66" ht="15.75" customHeight="1">
      <c r="A66" s="1" t="s">
        <v>455</v>
      </c>
      <c r="B66" s="1" t="s">
        <v>46</v>
      </c>
      <c r="C66" s="1" t="s">
        <v>456</v>
      </c>
      <c r="D66" s="1" t="s">
        <v>457</v>
      </c>
      <c r="E66" s="1" t="s">
        <v>458</v>
      </c>
      <c r="F66" s="1" t="s">
        <v>64</v>
      </c>
      <c r="G66" s="1">
        <v>300.0</v>
      </c>
      <c r="H66" s="1" t="s">
        <v>50</v>
      </c>
      <c r="I66" s="1">
        <v>70.0</v>
      </c>
      <c r="J66" s="1">
        <v>35.0</v>
      </c>
      <c r="K66" s="1">
        <v>35.0</v>
      </c>
      <c r="L66" s="1">
        <v>35.0</v>
      </c>
      <c r="M66" s="1">
        <v>35.0</v>
      </c>
      <c r="N66" s="1" t="s">
        <v>51</v>
      </c>
      <c r="O66" s="1">
        <v>50.0</v>
      </c>
      <c r="P66" s="1">
        <v>25.0</v>
      </c>
      <c r="Q66" s="1">
        <v>25.0</v>
      </c>
      <c r="R66" s="1">
        <v>25.0</v>
      </c>
      <c r="S66" s="1">
        <v>25.0</v>
      </c>
      <c r="T66" s="1" t="s">
        <v>52</v>
      </c>
      <c r="U66" s="1">
        <v>30.0</v>
      </c>
      <c r="V66" s="1">
        <v>14.0</v>
      </c>
      <c r="W66" s="1">
        <v>14.0</v>
      </c>
      <c r="X66" s="1">
        <v>16.0</v>
      </c>
      <c r="Y66" s="1">
        <v>16.0</v>
      </c>
      <c r="Z66" s="1" t="s">
        <v>53</v>
      </c>
      <c r="AA66" s="1">
        <v>40.0</v>
      </c>
      <c r="AB66" s="1">
        <v>20.0</v>
      </c>
      <c r="AC66" s="1">
        <v>20.0</v>
      </c>
      <c r="AD66" s="1">
        <v>20.0</v>
      </c>
      <c r="AE66" s="1">
        <v>20.0</v>
      </c>
      <c r="AF66" s="1" t="s">
        <v>54</v>
      </c>
      <c r="AG66" s="1">
        <v>34.0</v>
      </c>
      <c r="AH66" s="1">
        <v>14.0</v>
      </c>
      <c r="AI66" s="1">
        <v>14.0</v>
      </c>
      <c r="AJ66" s="1">
        <v>20.0</v>
      </c>
      <c r="AK66" s="1">
        <v>20.0</v>
      </c>
      <c r="AL66" s="1">
        <v>224.0</v>
      </c>
      <c r="AM66" s="1" t="s">
        <v>55</v>
      </c>
      <c r="AN66" s="1">
        <v>76.0</v>
      </c>
      <c r="AO66" s="1">
        <v>76.0</v>
      </c>
      <c r="AP66" s="1" t="s">
        <v>459</v>
      </c>
      <c r="AQ66" s="2" t="str">
        <f>HYPERLINK("https://icf.clappia.com/app/GMB253374/submission/ECC57364881/ICF247370-GMB253374-57e719hk8eje00000000/SIG-20250626_1637295ni.jpeg", "SIG-20250626_1637295ni.jpeg")</f>
        <v>SIG-20250626_1637295ni.jpeg</v>
      </c>
      <c r="AR66" s="1" t="s">
        <v>459</v>
      </c>
      <c r="AS66" s="2" t="str">
        <f>HYPERLINK("https://icf.clappia.com/app/GMB253374/submission/ECC57364881/ICF247370-GMB253374-39bicpmipbo800000000/SIG-20250626_1637g47gi.jpeg", "SIG-20250626_1637g47gi.jpeg")</f>
        <v>SIG-20250626_1637g47gi.jpeg</v>
      </c>
      <c r="AT66" s="1" t="s">
        <v>460</v>
      </c>
      <c r="AU66" s="2" t="str">
        <f>HYPERLINK("https://icf.clappia.com/app/GMB253374/submission/ECC57364881/ICF247370-GMB253374-3fbobfc288ci00000000/SIG-20250626_16375amb5.jpeg", "SIG-20250626_16375amb5.jpeg")</f>
        <v>SIG-20250626_16375amb5.jpeg</v>
      </c>
      <c r="AV66" s="2" t="str">
        <f>HYPERLINK("https://www.google.com/maps/place/8.865565%2C-12.0500171", "8.865565,-12.0500171")</f>
        <v>8.865565,-12.0500171</v>
      </c>
    </row>
    <row r="67" ht="15.75" customHeight="1">
      <c r="A67" s="1" t="s">
        <v>461</v>
      </c>
      <c r="B67" s="1" t="s">
        <v>46</v>
      </c>
      <c r="C67" s="1" t="s">
        <v>462</v>
      </c>
      <c r="D67" s="1" t="s">
        <v>463</v>
      </c>
      <c r="E67" s="1" t="s">
        <v>464</v>
      </c>
      <c r="F67" s="1" t="s">
        <v>64</v>
      </c>
      <c r="G67" s="1">
        <v>300.0</v>
      </c>
      <c r="H67" s="1" t="s">
        <v>50</v>
      </c>
      <c r="I67" s="1">
        <v>95.0</v>
      </c>
      <c r="J67" s="1">
        <v>50.0</v>
      </c>
      <c r="K67" s="1">
        <v>50.0</v>
      </c>
      <c r="L67" s="1">
        <v>45.0</v>
      </c>
      <c r="M67" s="1">
        <v>45.0</v>
      </c>
      <c r="N67" s="1" t="s">
        <v>51</v>
      </c>
      <c r="O67" s="1">
        <v>60.0</v>
      </c>
      <c r="P67" s="1">
        <v>25.0</v>
      </c>
      <c r="Q67" s="1">
        <v>25.0</v>
      </c>
      <c r="R67" s="1">
        <v>35.0</v>
      </c>
      <c r="S67" s="1">
        <v>35.0</v>
      </c>
      <c r="T67" s="1" t="s">
        <v>52</v>
      </c>
      <c r="U67" s="1">
        <v>50.0</v>
      </c>
      <c r="V67" s="1">
        <v>25.0</v>
      </c>
      <c r="W67" s="1">
        <v>25.0</v>
      </c>
      <c r="X67" s="1">
        <v>25.0</v>
      </c>
      <c r="Y67" s="1">
        <v>25.0</v>
      </c>
      <c r="Z67" s="1" t="s">
        <v>53</v>
      </c>
      <c r="AA67" s="1">
        <v>34.0</v>
      </c>
      <c r="AB67" s="1">
        <v>17.0</v>
      </c>
      <c r="AC67" s="1">
        <v>17.0</v>
      </c>
      <c r="AD67" s="1">
        <v>17.0</v>
      </c>
      <c r="AE67" s="1">
        <v>17.0</v>
      </c>
      <c r="AF67" s="1" t="s">
        <v>54</v>
      </c>
      <c r="AG67" s="1">
        <v>35.0</v>
      </c>
      <c r="AH67" s="1">
        <v>17.0</v>
      </c>
      <c r="AI67" s="1">
        <v>17.0</v>
      </c>
      <c r="AJ67" s="1">
        <v>18.0</v>
      </c>
      <c r="AK67" s="1">
        <v>18.0</v>
      </c>
      <c r="AL67" s="1">
        <v>274.0</v>
      </c>
      <c r="AM67" s="1" t="s">
        <v>55</v>
      </c>
      <c r="AN67" s="1">
        <v>26.0</v>
      </c>
      <c r="AO67" s="1">
        <v>26.0</v>
      </c>
      <c r="AP67" s="1" t="s">
        <v>459</v>
      </c>
      <c r="AQ67" s="2" t="str">
        <f>HYPERLINK("https://icf.clappia.com/app/GMB253374/submission/SUM89873295/ICF247370-GMB253374-ohbk46giod920000000/SIG-20250626_1618e852o.jpeg", "SIG-20250626_1618e852o.jpeg")</f>
        <v>SIG-20250626_1618e852o.jpeg</v>
      </c>
      <c r="AR67" s="1" t="s">
        <v>459</v>
      </c>
      <c r="AS67" s="2" t="str">
        <f>HYPERLINK("https://icf.clappia.com/app/GMB253374/submission/SUM89873295/ICF247370-GMB253374-4fmh31d8nf5200000000/SIG-20250626_16181a29pd.jpeg", "SIG-20250626_16181a29pd.jpeg")</f>
        <v>SIG-20250626_16181a29pd.jpeg</v>
      </c>
      <c r="AT67" s="1" t="s">
        <v>465</v>
      </c>
      <c r="AU67" s="2" t="str">
        <f>HYPERLINK("https://icf.clappia.com/app/GMB253374/submission/SUM89873295/ICF247370-GMB253374-1417gp4oeo2f20000000/SIG-20250626_161919n16l.jpeg", "SIG-20250626_161919n16l.jpeg")</f>
        <v>SIG-20250626_161919n16l.jpeg</v>
      </c>
      <c r="AV67" s="2" t="str">
        <f>HYPERLINK("https://www.google.com/maps/place/8.8655231%2C-12.0498224", "8.8655231,-12.0498224")</f>
        <v>8.8655231,-12.0498224</v>
      </c>
    </row>
    <row r="68" ht="15.75" customHeight="1">
      <c r="A68" s="1" t="s">
        <v>466</v>
      </c>
      <c r="B68" s="1" t="s">
        <v>46</v>
      </c>
      <c r="C68" s="1" t="s">
        <v>467</v>
      </c>
      <c r="D68" s="1" t="s">
        <v>468</v>
      </c>
      <c r="E68" s="1" t="s">
        <v>469</v>
      </c>
      <c r="F68" s="1" t="s">
        <v>49</v>
      </c>
      <c r="G68" s="1">
        <v>300.0</v>
      </c>
      <c r="H68" s="1" t="s">
        <v>50</v>
      </c>
      <c r="I68" s="1">
        <v>45.0</v>
      </c>
      <c r="J68" s="1">
        <v>25.0</v>
      </c>
      <c r="K68" s="1">
        <v>25.0</v>
      </c>
      <c r="L68" s="1">
        <v>20.0</v>
      </c>
      <c r="M68" s="1">
        <v>20.0</v>
      </c>
      <c r="N68" s="1" t="s">
        <v>51</v>
      </c>
      <c r="O68" s="1">
        <v>30.0</v>
      </c>
      <c r="P68" s="1">
        <v>18.0</v>
      </c>
      <c r="Q68" s="1">
        <v>18.0</v>
      </c>
      <c r="R68" s="1">
        <v>12.0</v>
      </c>
      <c r="S68" s="1">
        <v>12.0</v>
      </c>
      <c r="T68" s="1" t="s">
        <v>52</v>
      </c>
      <c r="U68" s="1">
        <v>20.0</v>
      </c>
      <c r="V68" s="1">
        <v>9.0</v>
      </c>
      <c r="W68" s="1">
        <v>9.0</v>
      </c>
      <c r="X68" s="1">
        <v>11.0</v>
      </c>
      <c r="Y68" s="1">
        <v>11.0</v>
      </c>
      <c r="Z68" s="1" t="s">
        <v>53</v>
      </c>
      <c r="AA68" s="1">
        <v>20.0</v>
      </c>
      <c r="AB68" s="1">
        <v>12.0</v>
      </c>
      <c r="AC68" s="1">
        <v>12.0</v>
      </c>
      <c r="AD68" s="1">
        <v>8.0</v>
      </c>
      <c r="AE68" s="1">
        <v>8.0</v>
      </c>
      <c r="AF68" s="1" t="s">
        <v>54</v>
      </c>
      <c r="AG68" s="1">
        <v>30.0</v>
      </c>
      <c r="AH68" s="1">
        <v>20.0</v>
      </c>
      <c r="AI68" s="1">
        <v>20.0</v>
      </c>
      <c r="AJ68" s="1">
        <v>10.0</v>
      </c>
      <c r="AK68" s="1">
        <v>10.0</v>
      </c>
      <c r="AL68" s="1">
        <v>145.0</v>
      </c>
      <c r="AM68" s="1">
        <v>10.0</v>
      </c>
      <c r="AN68" s="1">
        <v>145.0</v>
      </c>
      <c r="AO68" s="1">
        <v>145.0</v>
      </c>
      <c r="AP68" s="1" t="s">
        <v>470</v>
      </c>
      <c r="AQ68" s="2" t="str">
        <f>HYPERLINK("https://icf.clappia.com/app/GMB253374/submission/POD20490845/ICF247370-GMB253374-69lgdbhmgofm00000000/SIG-20250626_1638k5b5g.jpeg", "SIG-20250626_1638k5b5g.jpeg")</f>
        <v>SIG-20250626_1638k5b5g.jpeg</v>
      </c>
      <c r="AR68" s="1" t="s">
        <v>471</v>
      </c>
      <c r="AS68" s="2" t="str">
        <f>HYPERLINK("https://icf.clappia.com/app/GMB253374/submission/POD20490845/ICF247370-GMB253374-66bcfpe581a000000000/SIG-20250626_163883136.jpeg", "SIG-20250626_163883136.jpeg")</f>
        <v>SIG-20250626_163883136.jpeg</v>
      </c>
      <c r="AT68" s="1" t="s">
        <v>472</v>
      </c>
      <c r="AU68" s="2" t="str">
        <f>HYPERLINK("https://icf.clappia.com/app/GMB253374/submission/POD20490845/ICF247370-GMB253374-571l5fgi8l4400000000/SIG-20250626_163915cf5o.jpeg", "SIG-20250626_163915cf5o.jpeg")</f>
        <v>SIG-20250626_163915cf5o.jpeg</v>
      </c>
      <c r="AV68" s="2" t="str">
        <f>HYPERLINK("https://www.google.com/maps/place/8.8654983%2C-12.0496833", "8.8654983,-12.0496833")</f>
        <v>8.8654983,-12.0496833</v>
      </c>
    </row>
    <row r="69" ht="15.75" customHeight="1">
      <c r="A69" s="1" t="s">
        <v>473</v>
      </c>
      <c r="B69" s="1" t="s">
        <v>46</v>
      </c>
      <c r="C69" s="1" t="s">
        <v>474</v>
      </c>
      <c r="D69" s="1" t="s">
        <v>475</v>
      </c>
      <c r="E69" s="1" t="s">
        <v>476</v>
      </c>
      <c r="F69" s="1" t="s">
        <v>64</v>
      </c>
      <c r="G69" s="1">
        <v>250.0</v>
      </c>
      <c r="H69" s="1" t="s">
        <v>50</v>
      </c>
      <c r="I69" s="1">
        <v>20.0</v>
      </c>
      <c r="J69" s="1">
        <v>10.0</v>
      </c>
      <c r="K69" s="1">
        <v>10.0</v>
      </c>
      <c r="L69" s="1">
        <v>10.0</v>
      </c>
      <c r="M69" s="1">
        <v>10.0</v>
      </c>
      <c r="N69" s="1" t="s">
        <v>51</v>
      </c>
      <c r="O69" s="1">
        <v>30.0</v>
      </c>
      <c r="P69" s="1">
        <v>20.0</v>
      </c>
      <c r="Q69" s="1">
        <v>20.0</v>
      </c>
      <c r="R69" s="1">
        <v>10.0</v>
      </c>
      <c r="S69" s="1">
        <v>10.0</v>
      </c>
      <c r="T69" s="1" t="s">
        <v>52</v>
      </c>
      <c r="U69" s="1">
        <v>30.0</v>
      </c>
      <c r="V69" s="1">
        <v>15.0</v>
      </c>
      <c r="W69" s="1">
        <v>15.0</v>
      </c>
      <c r="X69" s="1">
        <v>15.0</v>
      </c>
      <c r="Y69" s="1">
        <v>15.0</v>
      </c>
      <c r="Z69" s="1" t="s">
        <v>53</v>
      </c>
      <c r="AA69" s="1">
        <v>50.0</v>
      </c>
      <c r="AB69" s="1">
        <v>30.0</v>
      </c>
      <c r="AC69" s="1">
        <v>30.0</v>
      </c>
      <c r="AD69" s="1">
        <v>20.0</v>
      </c>
      <c r="AE69" s="1">
        <v>20.0</v>
      </c>
      <c r="AF69" s="1" t="s">
        <v>54</v>
      </c>
      <c r="AG69" s="1">
        <v>20.0</v>
      </c>
      <c r="AH69" s="1">
        <v>10.0</v>
      </c>
      <c r="AI69" s="1">
        <v>10.0</v>
      </c>
      <c r="AJ69" s="1">
        <v>10.0</v>
      </c>
      <c r="AK69" s="1">
        <v>10.0</v>
      </c>
      <c r="AL69" s="1">
        <v>150.0</v>
      </c>
      <c r="AM69" s="1">
        <v>8.0</v>
      </c>
      <c r="AN69" s="1">
        <v>92.0</v>
      </c>
      <c r="AO69" s="1">
        <v>92.0</v>
      </c>
      <c r="AP69" s="1" t="s">
        <v>471</v>
      </c>
      <c r="AQ69" s="2" t="str">
        <f>HYPERLINK("https://icf.clappia.com/app/GMB253374/submission/FAM47558271/ICF247370-GMB253374-134l3fb1m3o4g0000000/SIG-20250626_1614bl585.jpeg", "SIG-20250626_1614bl585.jpeg")</f>
        <v>SIG-20250626_1614bl585.jpeg</v>
      </c>
      <c r="AR69" s="1" t="s">
        <v>477</v>
      </c>
      <c r="AS69" s="2" t="str">
        <f>HYPERLINK("https://icf.clappia.com/app/GMB253374/submission/FAM47558271/ICF247370-GMB253374-k9lg98pbcoog000000/SIG-20250626_161413122p.jpeg", "SIG-20250626_161413122p.jpeg")</f>
        <v>SIG-20250626_161413122p.jpeg</v>
      </c>
      <c r="AT69" s="1" t="s">
        <v>478</v>
      </c>
      <c r="AU69" s="2" t="str">
        <f>HYPERLINK("https://icf.clappia.com/app/GMB253374/submission/FAM47558271/ICF247370-GMB253374-5eclflpbjkkg00000000/SIG-20250626_1614l7p0h.jpeg", "SIG-20250626_1614l7p0h.jpeg")</f>
        <v>SIG-20250626_1614l7p0h.jpeg</v>
      </c>
      <c r="AV69" s="2" t="str">
        <f>HYPERLINK("https://www.google.com/maps/place/8.8655019%2C-12.0499096", "8.8655019,-12.0499096")</f>
        <v>8.8655019,-12.0499096</v>
      </c>
    </row>
    <row r="70" ht="15.75" customHeight="1">
      <c r="A70" s="1" t="s">
        <v>479</v>
      </c>
      <c r="B70" s="1" t="s">
        <v>46</v>
      </c>
      <c r="C70" s="1" t="s">
        <v>361</v>
      </c>
      <c r="D70" s="1" t="s">
        <v>480</v>
      </c>
      <c r="E70" s="1" t="s">
        <v>481</v>
      </c>
      <c r="F70" s="1" t="s">
        <v>64</v>
      </c>
      <c r="G70" s="1">
        <v>250.0</v>
      </c>
      <c r="H70" s="1" t="s">
        <v>50</v>
      </c>
      <c r="I70" s="1">
        <v>50.0</v>
      </c>
      <c r="J70" s="1">
        <v>25.0</v>
      </c>
      <c r="K70" s="1">
        <v>25.0</v>
      </c>
      <c r="L70" s="1">
        <v>25.0</v>
      </c>
      <c r="M70" s="1">
        <v>25.0</v>
      </c>
      <c r="N70" s="1" t="s">
        <v>51</v>
      </c>
      <c r="O70" s="1">
        <v>100.0</v>
      </c>
      <c r="P70" s="1">
        <v>50.0</v>
      </c>
      <c r="Q70" s="1">
        <v>50.0</v>
      </c>
      <c r="R70" s="1">
        <v>50.0</v>
      </c>
      <c r="S70" s="1">
        <v>50.0</v>
      </c>
      <c r="T70" s="1" t="s">
        <v>52</v>
      </c>
      <c r="U70" s="1">
        <v>30.0</v>
      </c>
      <c r="V70" s="1">
        <v>15.0</v>
      </c>
      <c r="W70" s="1">
        <v>15.0</v>
      </c>
      <c r="X70" s="1">
        <v>15.0</v>
      </c>
      <c r="Y70" s="1">
        <v>15.0</v>
      </c>
      <c r="Z70" s="1" t="s">
        <v>53</v>
      </c>
      <c r="AA70" s="1">
        <v>45.0</v>
      </c>
      <c r="AB70" s="1">
        <v>10.0</v>
      </c>
      <c r="AC70" s="1">
        <v>10.0</v>
      </c>
      <c r="AD70" s="1">
        <v>15.0</v>
      </c>
      <c r="AE70" s="1">
        <v>15.0</v>
      </c>
      <c r="AF70" s="1" t="s">
        <v>54</v>
      </c>
      <c r="AG70" s="1">
        <v>25.0</v>
      </c>
      <c r="AH70" s="1">
        <v>10.0</v>
      </c>
      <c r="AI70" s="1">
        <v>10.0</v>
      </c>
      <c r="AJ70" s="1">
        <v>10.0</v>
      </c>
      <c r="AK70" s="1">
        <v>10.0</v>
      </c>
      <c r="AL70" s="1">
        <v>225.0</v>
      </c>
      <c r="AM70" s="1">
        <v>10.0</v>
      </c>
      <c r="AN70" s="1">
        <v>15.0</v>
      </c>
      <c r="AO70" s="1">
        <v>15.0</v>
      </c>
      <c r="AP70" s="1" t="s">
        <v>482</v>
      </c>
      <c r="AQ70" s="2" t="str">
        <f>HYPERLINK("https://icf.clappia.com/app/GMB253374/submission/ZYN23200169/ICF247370-GMB253374-k871mfnb0o000000000/SIG-20250626_16213p4mb.jpeg", "SIG-20250626_16213p4mb.jpeg")</f>
        <v>SIG-20250626_16213p4mb.jpeg</v>
      </c>
      <c r="AR70" s="1" t="s">
        <v>118</v>
      </c>
      <c r="AS70" s="2" t="str">
        <f>HYPERLINK("https://icf.clappia.com/app/GMB253374/submission/ZYN23200169/ICF247370-GMB253374-53ehmofm48fa00000000/SIG-20250626_16225e37c.jpeg", "SIG-20250626_16225e37c.jpeg")</f>
        <v>SIG-20250626_16225e37c.jpeg</v>
      </c>
      <c r="AT70" s="1" t="s">
        <v>483</v>
      </c>
      <c r="AU70" s="2" t="str">
        <f>HYPERLINK("https://icf.clappia.com/app/GMB253374/submission/ZYN23200169/ICF247370-GMB253374-4iinioon5o1i00000000/SIG-20250626_1622gp7c7.jpeg", "SIG-20250626_1622gp7c7.jpeg")</f>
        <v>SIG-20250626_1622gp7c7.jpeg</v>
      </c>
      <c r="AV70" s="2" t="str">
        <f>HYPERLINK("https://www.google.com/maps/place/8.8714748%2C-12.0477297", "8.8714748,-12.0477297")</f>
        <v>8.8714748,-12.0477297</v>
      </c>
    </row>
    <row r="71" ht="15.75" customHeight="1">
      <c r="A71" s="1" t="s">
        <v>484</v>
      </c>
      <c r="B71" s="1" t="s">
        <v>46</v>
      </c>
      <c r="C71" s="1" t="s">
        <v>386</v>
      </c>
      <c r="D71" s="1" t="s">
        <v>485</v>
      </c>
      <c r="E71" s="1" t="s">
        <v>486</v>
      </c>
      <c r="F71" s="1" t="s">
        <v>64</v>
      </c>
      <c r="G71" s="1">
        <v>300.0</v>
      </c>
      <c r="H71" s="1" t="s">
        <v>50</v>
      </c>
      <c r="I71" s="1">
        <v>58.0</v>
      </c>
      <c r="J71" s="1">
        <v>29.0</v>
      </c>
      <c r="K71" s="1">
        <v>29.0</v>
      </c>
      <c r="L71" s="1">
        <v>29.0</v>
      </c>
      <c r="M71" s="1">
        <v>29.0</v>
      </c>
      <c r="N71" s="1" t="s">
        <v>51</v>
      </c>
      <c r="O71" s="1">
        <v>58.0</v>
      </c>
      <c r="P71" s="1">
        <v>28.0</v>
      </c>
      <c r="Q71" s="1">
        <v>28.0</v>
      </c>
      <c r="R71" s="1">
        <v>20.0</v>
      </c>
      <c r="S71" s="1">
        <v>20.0</v>
      </c>
      <c r="T71" s="1" t="s">
        <v>52</v>
      </c>
      <c r="U71" s="1">
        <v>58.0</v>
      </c>
      <c r="V71" s="1">
        <v>20.0</v>
      </c>
      <c r="W71" s="1">
        <v>20.0</v>
      </c>
      <c r="X71" s="1">
        <v>28.0</v>
      </c>
      <c r="Y71" s="1">
        <v>28.0</v>
      </c>
      <c r="Z71" s="1" t="s">
        <v>53</v>
      </c>
      <c r="AA71" s="1">
        <v>58.0</v>
      </c>
      <c r="AB71" s="1">
        <v>38.0</v>
      </c>
      <c r="AC71" s="1">
        <v>30.0</v>
      </c>
      <c r="AD71" s="1">
        <v>20.0</v>
      </c>
      <c r="AE71" s="1">
        <v>20.0</v>
      </c>
      <c r="AF71" s="1" t="s">
        <v>54</v>
      </c>
      <c r="AG71" s="1">
        <v>58.0</v>
      </c>
      <c r="AH71" s="1">
        <v>28.0</v>
      </c>
      <c r="AI71" s="1">
        <v>28.0</v>
      </c>
      <c r="AJ71" s="1">
        <v>28.0</v>
      </c>
      <c r="AK71" s="1">
        <v>28.0</v>
      </c>
      <c r="AL71" s="1">
        <v>260.0</v>
      </c>
      <c r="AM71" s="1">
        <v>8.0</v>
      </c>
      <c r="AN71" s="1">
        <v>32.0</v>
      </c>
      <c r="AO71" s="1">
        <v>32.0</v>
      </c>
      <c r="AP71" s="1" t="s">
        <v>487</v>
      </c>
      <c r="AQ71" s="2" t="str">
        <f>HYPERLINK("https://icf.clappia.com/app/GMB253374/submission/JCG67356494/ICF247370-GMB253374-21cai71ak532o0000000/SIG-20250626_1616i56c9.jpeg", "SIG-20250626_1616i56c9.jpeg")</f>
        <v>SIG-20250626_1616i56c9.jpeg</v>
      </c>
      <c r="AR71" s="1" t="s">
        <v>488</v>
      </c>
      <c r="AS71" s="2" t="str">
        <f>HYPERLINK("https://icf.clappia.com/app/GMB253374/submission/JCG67356494/ICF247370-GMB253374-18560a4kgo7li0000000/SIG-20250626_1616aaaj0.jpeg", "SIG-20250626_1616aaaj0.jpeg")</f>
        <v>SIG-20250626_1616aaaj0.jpeg</v>
      </c>
      <c r="AT71" s="1" t="s">
        <v>489</v>
      </c>
      <c r="AU71" s="2" t="str">
        <f>HYPERLINK("https://icf.clappia.com/app/GMB253374/submission/JCG67356494/ICF247370-GMB253374-4gdj2d7md9gi00000000/SIG-20250626_1616d2gf8.jpeg", "SIG-20250626_1616d2gf8.jpeg")</f>
        <v>SIG-20250626_1616d2gf8.jpeg</v>
      </c>
      <c r="AV71" s="2" t="str">
        <f>HYPERLINK("https://www.google.com/maps/place/8.8656272%2C-12.0499713", "8.8656272,-12.0499713")</f>
        <v>8.8656272,-12.0499713</v>
      </c>
    </row>
    <row r="72" ht="15.75" customHeight="1">
      <c r="A72" s="1" t="s">
        <v>490</v>
      </c>
      <c r="B72" s="1" t="s">
        <v>46</v>
      </c>
      <c r="C72" s="1" t="s">
        <v>491</v>
      </c>
      <c r="D72" s="1" t="s">
        <v>492</v>
      </c>
      <c r="E72" s="1" t="s">
        <v>493</v>
      </c>
      <c r="F72" s="1" t="s">
        <v>64</v>
      </c>
      <c r="G72" s="1">
        <v>250.0</v>
      </c>
      <c r="H72" s="1" t="s">
        <v>50</v>
      </c>
      <c r="I72" s="1">
        <v>40.0</v>
      </c>
      <c r="J72" s="1">
        <v>20.0</v>
      </c>
      <c r="K72" s="1">
        <v>20.0</v>
      </c>
      <c r="L72" s="1">
        <v>20.0</v>
      </c>
      <c r="M72" s="1">
        <v>20.0</v>
      </c>
      <c r="N72" s="1" t="s">
        <v>51</v>
      </c>
      <c r="O72" s="1">
        <v>50.0</v>
      </c>
      <c r="P72" s="1">
        <v>25.0</v>
      </c>
      <c r="Q72" s="1">
        <v>25.0</v>
      </c>
      <c r="R72" s="1">
        <v>25.0</v>
      </c>
      <c r="S72" s="1">
        <v>20.0</v>
      </c>
      <c r="T72" s="1" t="s">
        <v>52</v>
      </c>
      <c r="U72" s="1">
        <v>60.0</v>
      </c>
      <c r="V72" s="1">
        <v>30.0</v>
      </c>
      <c r="W72" s="1">
        <v>30.0</v>
      </c>
      <c r="X72" s="1">
        <v>30.0</v>
      </c>
      <c r="Y72" s="1">
        <v>30.0</v>
      </c>
      <c r="Z72" s="1" t="s">
        <v>53</v>
      </c>
      <c r="AA72" s="1">
        <v>40.0</v>
      </c>
      <c r="AB72" s="1">
        <v>20.0</v>
      </c>
      <c r="AC72" s="1">
        <v>20.0</v>
      </c>
      <c r="AD72" s="1">
        <v>20.0</v>
      </c>
      <c r="AE72" s="1">
        <v>20.0</v>
      </c>
      <c r="AF72" s="1" t="s">
        <v>54</v>
      </c>
      <c r="AG72" s="1">
        <v>50.0</v>
      </c>
      <c r="AH72" s="1">
        <v>20.0</v>
      </c>
      <c r="AI72" s="1">
        <v>20.0</v>
      </c>
      <c r="AJ72" s="1">
        <v>30.0</v>
      </c>
      <c r="AK72" s="1">
        <v>20.0</v>
      </c>
      <c r="AL72" s="1">
        <v>225.0</v>
      </c>
      <c r="AM72" s="1">
        <v>4.0</v>
      </c>
      <c r="AN72" s="1">
        <v>21.0</v>
      </c>
      <c r="AO72" s="1">
        <v>21.0</v>
      </c>
      <c r="AP72" s="1" t="s">
        <v>494</v>
      </c>
      <c r="AQ72" s="2" t="str">
        <f>HYPERLINK("https://icf.clappia.com/app/GMB253374/submission/TZG46070735/ICF247370-GMB253374-5l66mib1acc800000000/SIG-20250626_16427cpgb.jpeg", "SIG-20250626_16427cpgb.jpeg")</f>
        <v>SIG-20250626_16427cpgb.jpeg</v>
      </c>
      <c r="AR72" s="1" t="s">
        <v>495</v>
      </c>
      <c r="AS72" s="2" t="str">
        <f>HYPERLINK("https://icf.clappia.com/app/GMB253374/submission/TZG46070735/ICF247370-GMB253374-24f4233el417m0000000/SIG-20250626_1643k8lf6.jpeg", "SIG-20250626_1643k8lf6.jpeg")</f>
        <v>SIG-20250626_1643k8lf6.jpeg</v>
      </c>
      <c r="AT72" s="1" t="s">
        <v>496</v>
      </c>
      <c r="AU72" s="2" t="str">
        <f>HYPERLINK("https://icf.clappia.com/app/GMB253374/submission/TZG46070735/ICF247370-GMB253374-31f4lokd7db800000000/SIG-20250626_1643167pne.jpeg", "SIG-20250626_1643167pne.jpeg")</f>
        <v>SIG-20250626_1643167pne.jpeg</v>
      </c>
      <c r="AV72" s="2" t="str">
        <f>HYPERLINK("https://www.google.com/maps/place/8.8714748%2C-12.0477297", "8.8714748,-12.0477297")</f>
        <v>8.8714748,-12.0477297</v>
      </c>
    </row>
    <row r="73" ht="15.75" customHeight="1">
      <c r="A73" s="1" t="s">
        <v>497</v>
      </c>
      <c r="B73" s="1" t="s">
        <v>46</v>
      </c>
      <c r="C73" s="1" t="s">
        <v>355</v>
      </c>
      <c r="D73" s="1" t="s">
        <v>492</v>
      </c>
      <c r="E73" s="1" t="s">
        <v>498</v>
      </c>
      <c r="F73" s="1" t="s">
        <v>64</v>
      </c>
      <c r="G73" s="1">
        <v>250.0</v>
      </c>
      <c r="H73" s="1" t="s">
        <v>50</v>
      </c>
      <c r="I73" s="1">
        <v>50.0</v>
      </c>
      <c r="J73" s="1">
        <v>25.0</v>
      </c>
      <c r="K73" s="1">
        <v>25.0</v>
      </c>
      <c r="L73" s="1">
        <v>25.0</v>
      </c>
      <c r="M73" s="1">
        <v>25.0</v>
      </c>
      <c r="N73" s="1" t="s">
        <v>51</v>
      </c>
      <c r="O73" s="1">
        <v>40.0</v>
      </c>
      <c r="P73" s="1">
        <v>20.0</v>
      </c>
      <c r="Q73" s="1">
        <v>20.0</v>
      </c>
      <c r="R73" s="1">
        <v>20.0</v>
      </c>
      <c r="S73" s="1">
        <v>20.0</v>
      </c>
      <c r="T73" s="1" t="s">
        <v>52</v>
      </c>
      <c r="U73" s="1">
        <v>60.0</v>
      </c>
      <c r="V73" s="1">
        <v>30.0</v>
      </c>
      <c r="W73" s="1">
        <v>30.0</v>
      </c>
      <c r="X73" s="1">
        <v>30.0</v>
      </c>
      <c r="Y73" s="1">
        <v>30.0</v>
      </c>
      <c r="Z73" s="1" t="s">
        <v>53</v>
      </c>
      <c r="AA73" s="1">
        <v>30.0</v>
      </c>
      <c r="AB73" s="1">
        <v>15.0</v>
      </c>
      <c r="AC73" s="1">
        <v>15.0</v>
      </c>
      <c r="AD73" s="1">
        <v>15.0</v>
      </c>
      <c r="AE73" s="1">
        <v>15.0</v>
      </c>
      <c r="AF73" s="1" t="s">
        <v>54</v>
      </c>
      <c r="AG73" s="1">
        <v>40.0</v>
      </c>
      <c r="AH73" s="1">
        <v>20.0</v>
      </c>
      <c r="AI73" s="1">
        <v>20.0</v>
      </c>
      <c r="AJ73" s="1">
        <v>20.0</v>
      </c>
      <c r="AK73" s="1">
        <v>10.0</v>
      </c>
      <c r="AL73" s="1">
        <v>210.0</v>
      </c>
      <c r="AM73" s="1">
        <v>4.0</v>
      </c>
      <c r="AN73" s="1">
        <v>36.0</v>
      </c>
      <c r="AO73" s="1">
        <v>36.0</v>
      </c>
      <c r="AP73" s="1" t="s">
        <v>494</v>
      </c>
      <c r="AQ73" s="2" t="str">
        <f>HYPERLINK("https://icf.clappia.com/app/GMB253374/submission/PVX72257142/ICF247370-GMB253374-65jpnhom0c8200000000/SIG-20250626_1618dp1mh.jpeg", "SIG-20250626_1618dp1mh.jpeg")</f>
        <v>SIG-20250626_1618dp1mh.jpeg</v>
      </c>
      <c r="AR73" s="1" t="s">
        <v>495</v>
      </c>
      <c r="AS73" s="2" t="str">
        <f>HYPERLINK("https://icf.clappia.com/app/GMB253374/submission/PVX72257142/ICF247370-GMB253374-1g4mp4k1882d6000000/SIG-20250626_1619km426.jpeg", "SIG-20250626_1619km426.jpeg")</f>
        <v>SIG-20250626_1619km426.jpeg</v>
      </c>
      <c r="AT73" s="1" t="s">
        <v>496</v>
      </c>
      <c r="AU73" s="2" t="str">
        <f>HYPERLINK("https://icf.clappia.com/app/GMB253374/submission/PVX72257142/ICF247370-GMB253374-557h53pkb1ei00000000/SIG-20250626_1619f603c.jpeg", "SIG-20250626_1619f603c.jpeg")</f>
        <v>SIG-20250626_1619f603c.jpeg</v>
      </c>
      <c r="AV73" s="2" t="str">
        <f>HYPERLINK("https://www.google.com/maps/place/8.8655596%2C-12.0499997", "8.8655596,-12.0499997")</f>
        <v>8.8655596,-12.0499997</v>
      </c>
    </row>
    <row r="74" ht="15.75" customHeight="1">
      <c r="A74" s="1" t="s">
        <v>499</v>
      </c>
      <c r="B74" s="1" t="s">
        <v>46</v>
      </c>
      <c r="C74" s="1" t="s">
        <v>361</v>
      </c>
      <c r="D74" s="1" t="s">
        <v>500</v>
      </c>
      <c r="E74" s="1" t="s">
        <v>501</v>
      </c>
      <c r="F74" s="1" t="s">
        <v>64</v>
      </c>
      <c r="G74" s="1">
        <v>204.0</v>
      </c>
      <c r="H74" s="1" t="s">
        <v>50</v>
      </c>
      <c r="I74" s="1">
        <v>20.0</v>
      </c>
      <c r="J74" s="1">
        <v>11.0</v>
      </c>
      <c r="K74" s="1">
        <v>11.0</v>
      </c>
      <c r="L74" s="1">
        <v>9.0</v>
      </c>
      <c r="M74" s="1">
        <v>9.0</v>
      </c>
      <c r="N74" s="1" t="s">
        <v>51</v>
      </c>
      <c r="O74" s="1">
        <v>20.0</v>
      </c>
      <c r="P74" s="1">
        <v>8.0</v>
      </c>
      <c r="Q74" s="1">
        <v>8.0</v>
      </c>
      <c r="R74" s="1">
        <v>12.0</v>
      </c>
      <c r="S74" s="1">
        <v>12.0</v>
      </c>
      <c r="T74" s="1" t="s">
        <v>52</v>
      </c>
      <c r="U74" s="1">
        <v>20.0</v>
      </c>
      <c r="V74" s="1">
        <v>7.0</v>
      </c>
      <c r="W74" s="1">
        <v>7.0</v>
      </c>
      <c r="X74" s="1">
        <v>13.0</v>
      </c>
      <c r="Y74" s="1">
        <v>13.0</v>
      </c>
      <c r="Z74" s="1" t="s">
        <v>53</v>
      </c>
      <c r="AA74" s="1">
        <v>41.0</v>
      </c>
      <c r="AB74" s="1">
        <v>21.0</v>
      </c>
      <c r="AC74" s="1">
        <v>21.0</v>
      </c>
      <c r="AD74" s="1">
        <v>19.0</v>
      </c>
      <c r="AE74" s="1">
        <v>19.0</v>
      </c>
      <c r="AF74" s="1" t="s">
        <v>54</v>
      </c>
      <c r="AG74" s="1">
        <v>40.0</v>
      </c>
      <c r="AH74" s="1">
        <v>20.0</v>
      </c>
      <c r="AI74" s="1">
        <v>20.0</v>
      </c>
      <c r="AJ74" s="1">
        <v>20.0</v>
      </c>
      <c r="AK74" s="1">
        <v>20.0</v>
      </c>
      <c r="AL74" s="1">
        <v>140.0</v>
      </c>
      <c r="AM74" s="1" t="s">
        <v>55</v>
      </c>
      <c r="AN74" s="1">
        <v>64.0</v>
      </c>
      <c r="AO74" s="1">
        <v>64.0</v>
      </c>
      <c r="AP74" s="1" t="s">
        <v>502</v>
      </c>
      <c r="AQ74" s="2" t="str">
        <f>HYPERLINK("https://icf.clappia.com/app/GMB253374/submission/NUW14482274/ICF247370-GMB253374-2g5690o5ba2000000000/SIG-20250626_1645b4b45.jpeg", "SIG-20250626_1645b4b45.jpeg")</f>
        <v>SIG-20250626_1645b4b45.jpeg</v>
      </c>
      <c r="AR74" s="1" t="s">
        <v>503</v>
      </c>
      <c r="AS74" s="2" t="str">
        <f>HYPERLINK("https://icf.clappia.com/app/GMB253374/submission/NUW14482274/ICF247370-GMB253374-p82e92hj6jj60000000/SIG-20250626_1646eooac.jpeg", "SIG-20250626_1646eooac.jpeg")</f>
        <v>SIG-20250626_1646eooac.jpeg</v>
      </c>
      <c r="AT74" s="1" t="s">
        <v>504</v>
      </c>
      <c r="AU74" s="2" t="str">
        <f>HYPERLINK("https://icf.clappia.com/app/GMB253374/submission/NUW14482274/ICF247370-GMB253374-60pc755pe02k00000000/SIG-20250626_1646eij3f.jpeg", "SIG-20250626_1646eij3f.jpeg")</f>
        <v>SIG-20250626_1646eij3f.jpeg</v>
      </c>
      <c r="AV74" s="2" t="str">
        <f>HYPERLINK("https://www.google.com/maps/place/8.8692288%2C-12.0541554", "8.8692288,-12.0541554")</f>
        <v>8.8692288,-12.0541554</v>
      </c>
    </row>
    <row r="75" ht="15.75" customHeight="1">
      <c r="A75" s="1" t="s">
        <v>505</v>
      </c>
      <c r="B75" s="1" t="s">
        <v>46</v>
      </c>
      <c r="C75" s="1" t="s">
        <v>506</v>
      </c>
      <c r="D75" s="1" t="s">
        <v>500</v>
      </c>
      <c r="E75" s="1" t="s">
        <v>507</v>
      </c>
      <c r="F75" s="1" t="s">
        <v>64</v>
      </c>
      <c r="G75" s="1">
        <v>284.0</v>
      </c>
      <c r="H75" s="1" t="s">
        <v>50</v>
      </c>
      <c r="I75" s="1">
        <v>48.0</v>
      </c>
      <c r="J75" s="1">
        <v>25.0</v>
      </c>
      <c r="K75" s="1">
        <v>25.0</v>
      </c>
      <c r="L75" s="1">
        <v>23.0</v>
      </c>
      <c r="M75" s="1">
        <v>23.0</v>
      </c>
      <c r="N75" s="1" t="s">
        <v>51</v>
      </c>
      <c r="O75" s="1">
        <v>42.0</v>
      </c>
      <c r="P75" s="1">
        <v>20.0</v>
      </c>
      <c r="Q75" s="1">
        <v>20.0</v>
      </c>
      <c r="R75" s="1">
        <v>22.0</v>
      </c>
      <c r="S75" s="1">
        <v>22.0</v>
      </c>
      <c r="T75" s="1" t="s">
        <v>52</v>
      </c>
      <c r="U75" s="1">
        <v>65.0</v>
      </c>
      <c r="V75" s="1">
        <v>30.0</v>
      </c>
      <c r="W75" s="1">
        <v>30.0</v>
      </c>
      <c r="X75" s="1">
        <v>35.0</v>
      </c>
      <c r="Y75" s="1">
        <v>35.0</v>
      </c>
      <c r="Z75" s="1" t="s">
        <v>53</v>
      </c>
      <c r="AA75" s="1">
        <v>85.0</v>
      </c>
      <c r="AB75" s="1">
        <v>40.0</v>
      </c>
      <c r="AC75" s="1">
        <v>40.0</v>
      </c>
      <c r="AD75" s="1">
        <v>45.0</v>
      </c>
      <c r="AE75" s="1">
        <v>45.0</v>
      </c>
      <c r="AF75" s="1" t="s">
        <v>54</v>
      </c>
      <c r="AG75" s="1">
        <v>44.0</v>
      </c>
      <c r="AH75" s="1">
        <v>25.0</v>
      </c>
      <c r="AI75" s="1">
        <v>25.0</v>
      </c>
      <c r="AJ75" s="1">
        <v>19.0</v>
      </c>
      <c r="AK75" s="1">
        <v>19.0</v>
      </c>
      <c r="AL75" s="1">
        <v>284.0</v>
      </c>
      <c r="AM75" s="1" t="s">
        <v>55</v>
      </c>
      <c r="AN75" s="1" t="s">
        <v>55</v>
      </c>
      <c r="AO75" s="1" t="s">
        <v>55</v>
      </c>
      <c r="AP75" s="1" t="s">
        <v>353</v>
      </c>
      <c r="AQ75" s="2" t="str">
        <f>HYPERLINK("https://icf.clappia.com/app/GMB253374/submission/PZW90379542/ICF247370-GMB253374-125jf0b30io320000000/SIG-20250626_16201i65n.jpeg", "SIG-20250626_16201i65n.jpeg")</f>
        <v>SIG-20250626_16201i65n.jpeg</v>
      </c>
      <c r="AR75" s="1" t="s">
        <v>508</v>
      </c>
      <c r="AS75" s="2" t="str">
        <f>HYPERLINK("https://icf.clappia.com/app/GMB253374/submission/PZW90379542/ICF247370-GMB253374-45e8o6li13oo00000000/SIG-20250626_1620adilf.jpeg", "SIG-20250626_1620adilf.jpeg")</f>
        <v>SIG-20250626_1620adilf.jpeg</v>
      </c>
      <c r="AT75" s="1" t="s">
        <v>509</v>
      </c>
      <c r="AU75" s="2" t="str">
        <f>HYPERLINK("https://icf.clappia.com/app/GMB253374/submission/PZW90379542/ICF247370-GMB253374-36bgdfl2kplg00000000/SIG-20250626_1621npmii.jpeg", "SIG-20250626_1621npmii.jpeg")</f>
        <v>SIG-20250626_1621npmii.jpeg</v>
      </c>
      <c r="AV75" s="2" t="str">
        <f>HYPERLINK("https://www.google.com/maps/place/8.8714748%2C-12.0477297", "8.8714748,-12.0477297")</f>
        <v>8.8714748,-12.0477297</v>
      </c>
    </row>
    <row r="76" ht="15.75" customHeight="1">
      <c r="A76" s="1" t="s">
        <v>510</v>
      </c>
      <c r="B76" s="1" t="s">
        <v>511</v>
      </c>
      <c r="C76" s="1" t="s">
        <v>512</v>
      </c>
      <c r="D76" s="1" t="s">
        <v>512</v>
      </c>
      <c r="E76" s="1" t="s">
        <v>513</v>
      </c>
      <c r="F76" s="1" t="s">
        <v>64</v>
      </c>
      <c r="G76" s="1">
        <v>500.0</v>
      </c>
      <c r="H76" s="1" t="s">
        <v>50</v>
      </c>
      <c r="I76" s="1">
        <v>100.0</v>
      </c>
      <c r="J76" s="1">
        <v>50.0</v>
      </c>
      <c r="K76" s="1">
        <v>47.0</v>
      </c>
      <c r="L76" s="1">
        <v>50.0</v>
      </c>
      <c r="M76" s="1">
        <v>48.0</v>
      </c>
      <c r="N76" s="1" t="s">
        <v>51</v>
      </c>
      <c r="O76" s="1">
        <v>100.0</v>
      </c>
      <c r="P76" s="1">
        <v>60.0</v>
      </c>
      <c r="Q76" s="1">
        <v>59.0</v>
      </c>
      <c r="R76" s="1">
        <v>40.0</v>
      </c>
      <c r="S76" s="1">
        <v>40.0</v>
      </c>
      <c r="T76" s="1" t="s">
        <v>52</v>
      </c>
      <c r="U76" s="1">
        <v>40.0</v>
      </c>
      <c r="V76" s="1">
        <v>10.0</v>
      </c>
      <c r="W76" s="1">
        <v>10.0</v>
      </c>
      <c r="X76" s="1">
        <v>30.0</v>
      </c>
      <c r="Y76" s="1">
        <v>29.0</v>
      </c>
      <c r="Z76" s="1" t="s">
        <v>53</v>
      </c>
      <c r="AA76" s="1">
        <v>50.0</v>
      </c>
      <c r="AB76" s="1">
        <v>20.0</v>
      </c>
      <c r="AC76" s="1">
        <v>20.0</v>
      </c>
      <c r="AD76" s="1">
        <v>30.0</v>
      </c>
      <c r="AE76" s="1">
        <v>27.0</v>
      </c>
      <c r="AF76" s="1" t="s">
        <v>54</v>
      </c>
      <c r="AG76" s="1">
        <v>50.0</v>
      </c>
      <c r="AH76" s="1">
        <v>35.0</v>
      </c>
      <c r="AI76" s="1">
        <v>34.0</v>
      </c>
      <c r="AJ76" s="1">
        <v>15.0</v>
      </c>
      <c r="AK76" s="1">
        <v>15.0</v>
      </c>
      <c r="AL76" s="1">
        <v>329.0</v>
      </c>
      <c r="AM76" s="1" t="s">
        <v>55</v>
      </c>
      <c r="AN76" s="1">
        <v>171.0</v>
      </c>
      <c r="AO76" s="1">
        <v>171.0</v>
      </c>
      <c r="AP76" s="1" t="s">
        <v>514</v>
      </c>
      <c r="AQ76" s="2" t="str">
        <f>HYPERLINK("https://icf.clappia.com/app/GMB253374/submission/QBS68243521/ICF247370-GMB253374-4lhjc085e63600000000/SIG-20250628_10385cip3.jpeg", "SIG-20250628_10385cip3.jpeg")</f>
        <v>SIG-20250628_10385cip3.jpeg</v>
      </c>
      <c r="AR76" s="1" t="s">
        <v>515</v>
      </c>
      <c r="AS76" s="2" t="str">
        <f>HYPERLINK("https://icf.clappia.com/app/GMB253374/submission/QBS68243521/ICF247370-GMB253374-2gci99h7oa3400000000/SIG-20250628_103914n7nc.jpeg", "SIG-20250628_103914n7nc.jpeg")</f>
        <v>SIG-20250628_103914n7nc.jpeg</v>
      </c>
      <c r="AT76" s="1" t="s">
        <v>516</v>
      </c>
      <c r="AU76" s="2" t="str">
        <f>HYPERLINK("https://icf.clappia.com/app/GMB253374/submission/QBS68243521/ICF247370-GMB253374-coj70jdo926c0000000/SIG-20250628_1039ca56.jpeg", "SIG-20250628_1039ca56.jpeg")</f>
        <v>SIG-20250628_1039ca56.jpeg</v>
      </c>
      <c r="AV76" s="2" t="str">
        <f>HYPERLINK("https://www.google.com/maps/place/7.9674117%2C-11.7186716", "7.9674117,-11.7186716")</f>
        <v>7.9674117,-11.7186716</v>
      </c>
    </row>
    <row r="77" ht="15.75" customHeight="1">
      <c r="A77" s="1" t="s">
        <v>517</v>
      </c>
      <c r="B77" s="1" t="s">
        <v>46</v>
      </c>
      <c r="C77" s="1" t="s">
        <v>518</v>
      </c>
      <c r="D77" s="1" t="s">
        <v>518</v>
      </c>
      <c r="E77" s="1" t="s">
        <v>519</v>
      </c>
      <c r="F77" s="1" t="s">
        <v>64</v>
      </c>
      <c r="G77" s="1">
        <v>400.0</v>
      </c>
      <c r="H77" s="1" t="s">
        <v>50</v>
      </c>
      <c r="I77" s="1">
        <v>80.0</v>
      </c>
      <c r="J77" s="1">
        <v>40.0</v>
      </c>
      <c r="K77" s="1">
        <v>40.0</v>
      </c>
      <c r="L77" s="1">
        <v>40.0</v>
      </c>
      <c r="M77" s="1">
        <v>35.0</v>
      </c>
      <c r="N77" s="1" t="s">
        <v>51</v>
      </c>
      <c r="O77" s="1">
        <v>80.0</v>
      </c>
      <c r="P77" s="1">
        <v>45.0</v>
      </c>
      <c r="Q77" s="1">
        <v>35.0</v>
      </c>
      <c r="R77" s="1">
        <v>35.0</v>
      </c>
      <c r="S77" s="1">
        <v>30.0</v>
      </c>
      <c r="T77" s="1" t="s">
        <v>52</v>
      </c>
      <c r="U77" s="1">
        <v>100.0</v>
      </c>
      <c r="V77" s="1">
        <v>50.0</v>
      </c>
      <c r="W77" s="1">
        <v>45.0</v>
      </c>
      <c r="X77" s="1">
        <v>50.0</v>
      </c>
      <c r="Y77" s="1">
        <v>50.0</v>
      </c>
      <c r="Z77" s="1" t="s">
        <v>53</v>
      </c>
      <c r="AA77" s="1">
        <v>70.0</v>
      </c>
      <c r="AB77" s="1">
        <v>30.0</v>
      </c>
      <c r="AC77" s="1">
        <v>30.0</v>
      </c>
      <c r="AD77" s="1">
        <v>40.0</v>
      </c>
      <c r="AE77" s="1">
        <v>39.0</v>
      </c>
      <c r="AF77" s="1" t="s">
        <v>54</v>
      </c>
      <c r="AG77" s="1">
        <v>70.0</v>
      </c>
      <c r="AH77" s="1">
        <v>40.0</v>
      </c>
      <c r="AI77" s="1">
        <v>40.0</v>
      </c>
      <c r="AJ77" s="1">
        <v>30.0</v>
      </c>
      <c r="AK77" s="1">
        <v>27.0</v>
      </c>
      <c r="AL77" s="1">
        <v>371.0</v>
      </c>
      <c r="AM77" s="1" t="s">
        <v>55</v>
      </c>
      <c r="AN77" s="1">
        <v>29.0</v>
      </c>
      <c r="AO77" s="1">
        <v>29.0</v>
      </c>
      <c r="AP77" s="1" t="s">
        <v>520</v>
      </c>
      <c r="AQ77" s="2" t="str">
        <f>HYPERLINK("https://icf.clappia.com/app/GMB253374/submission/GOE36688458/ICF247370-GMB253374-3dda9on07h3000000000/SIG-20250627_19247gfc3.jpeg", "SIG-20250627_19247gfc3.jpeg")</f>
        <v>SIG-20250627_19247gfc3.jpeg</v>
      </c>
      <c r="AR77" s="1" t="s">
        <v>521</v>
      </c>
      <c r="AS77" s="2" t="str">
        <f>HYPERLINK("https://icf.clappia.com/app/GMB253374/submission/GOE36688458/ICF247370-GMB253374-p18jf31hni000000000/SIG-20250627_1924l4mec.jpeg", "SIG-20250627_1924l4mec.jpeg")</f>
        <v>SIG-20250627_1924l4mec.jpeg</v>
      </c>
      <c r="AT77" s="1" t="s">
        <v>522</v>
      </c>
      <c r="AU77" s="2" t="str">
        <f>HYPERLINK("https://icf.clappia.com/app/GMB253374/submission/GOE36688458/ICF247370-GMB253374-5n5acmnddb9200000000/SIG-20250627_192527lf5.jpeg", "SIG-20250627_192527lf5.jpeg")</f>
        <v>SIG-20250627_192527lf5.jpeg</v>
      </c>
      <c r="AV77" s="2" t="str">
        <f>HYPERLINK("https://www.google.com/maps/place/7.949655%2C-11.7176827", "7.949655,-11.7176827")</f>
        <v>7.949655,-11.7176827</v>
      </c>
    </row>
    <row r="78" ht="15.75" customHeight="1">
      <c r="A78" s="1" t="s">
        <v>523</v>
      </c>
      <c r="B78" s="1" t="s">
        <v>46</v>
      </c>
      <c r="C78" s="1" t="s">
        <v>524</v>
      </c>
      <c r="D78" s="1" t="s">
        <v>525</v>
      </c>
      <c r="E78" s="1" t="s">
        <v>526</v>
      </c>
      <c r="AV78" s="2" t="str">
        <f>HYPERLINK("https://www.google.com/maps/place/8.4696493%2C-13.2412245", "8.4696493,-13.2412245")</f>
        <v>8.4696493,-13.2412245</v>
      </c>
    </row>
    <row r="79" ht="15.75" customHeight="1">
      <c r="A79" s="1" t="s">
        <v>527</v>
      </c>
      <c r="B79" s="1" t="s">
        <v>46</v>
      </c>
      <c r="C79" s="1" t="s">
        <v>528</v>
      </c>
      <c r="D79" s="1" t="s">
        <v>525</v>
      </c>
      <c r="E79" s="1" t="s">
        <v>529</v>
      </c>
      <c r="AV79" s="2" t="str">
        <f>HYPERLINK("https://www.google.com/maps/place/8.4696502%2C-13.2412242", "8.4696502,-13.2412242")</f>
        <v>8.4696502,-13.2412242</v>
      </c>
    </row>
    <row r="80" ht="15.75" customHeight="1">
      <c r="A80" s="1" t="s">
        <v>530</v>
      </c>
      <c r="B80" s="1" t="s">
        <v>46</v>
      </c>
      <c r="C80" s="1" t="s">
        <v>531</v>
      </c>
      <c r="D80" s="1" t="s">
        <v>532</v>
      </c>
      <c r="E80" s="1" t="s">
        <v>533</v>
      </c>
      <c r="AV80" s="2" t="str">
        <f>HYPERLINK("https://www.google.com/maps/place/8.4696493%2C-13.241223", "8.4696493,-13.241223")</f>
        <v>8.4696493,-13.241223</v>
      </c>
    </row>
    <row r="81" ht="15.75" customHeight="1">
      <c r="A81" s="1" t="s">
        <v>534</v>
      </c>
      <c r="B81" s="1" t="s">
        <v>46</v>
      </c>
      <c r="C81" s="1" t="s">
        <v>535</v>
      </c>
      <c r="D81" s="1" t="s">
        <v>532</v>
      </c>
      <c r="E81" s="1" t="s">
        <v>536</v>
      </c>
      <c r="AV81" s="2" t="str">
        <f>HYPERLINK("https://www.google.com/maps/place/8.469641%2C-13.2412168", "8.469641,-13.2412168")</f>
        <v>8.469641,-13.2412168</v>
      </c>
    </row>
    <row r="82" ht="15.75" customHeight="1">
      <c r="A82" s="1" t="s">
        <v>537</v>
      </c>
      <c r="B82" s="1" t="s">
        <v>46</v>
      </c>
      <c r="C82" s="1" t="s">
        <v>538</v>
      </c>
      <c r="D82" s="1" t="s">
        <v>532</v>
      </c>
      <c r="E82" s="1" t="s">
        <v>539</v>
      </c>
      <c r="AV82" s="2" t="str">
        <f>HYPERLINK("https://www.google.com/maps/place/8.469713%2C-13.241237", "8.469713,-13.241237")</f>
        <v>8.469713,-13.241237</v>
      </c>
    </row>
    <row r="83" ht="15.75" customHeight="1">
      <c r="A83" s="1" t="s">
        <v>540</v>
      </c>
      <c r="B83" s="1" t="s">
        <v>46</v>
      </c>
      <c r="C83" s="1" t="s">
        <v>538</v>
      </c>
      <c r="D83" s="1" t="s">
        <v>532</v>
      </c>
      <c r="E83" s="1" t="s">
        <v>541</v>
      </c>
      <c r="AV83" s="2" t="str">
        <f>HYPERLINK("https://www.google.com/maps/place/8.4697104%2C-13.2412461", "8.4697104,-13.2412461")</f>
        <v>8.4697104,-13.2412461</v>
      </c>
    </row>
    <row r="84" ht="15.75" customHeight="1">
      <c r="A84" s="1" t="s">
        <v>542</v>
      </c>
      <c r="B84" s="1" t="s">
        <v>46</v>
      </c>
      <c r="C84" s="1" t="s">
        <v>543</v>
      </c>
      <c r="D84" s="1" t="s">
        <v>532</v>
      </c>
      <c r="E84" s="1" t="s">
        <v>544</v>
      </c>
      <c r="AV84" s="2" t="str">
        <f>HYPERLINK("https://www.google.com/maps/place/8.4696331%2C-13.2412139", "8.4696331,-13.2412139")</f>
        <v>8.4696331,-13.2412139</v>
      </c>
    </row>
    <row r="85" ht="15.75" customHeight="1">
      <c r="A85" s="1" t="s">
        <v>545</v>
      </c>
      <c r="B85" s="1" t="s">
        <v>46</v>
      </c>
      <c r="C85" s="1" t="s">
        <v>546</v>
      </c>
      <c r="D85" s="1" t="s">
        <v>546</v>
      </c>
      <c r="E85" s="1" t="s">
        <v>547</v>
      </c>
      <c r="F85" s="1" t="s">
        <v>64</v>
      </c>
      <c r="G85" s="1">
        <v>200.0</v>
      </c>
      <c r="H85" s="1" t="s">
        <v>50</v>
      </c>
      <c r="I85" s="1">
        <v>20.0</v>
      </c>
      <c r="J85" s="1">
        <v>10.0</v>
      </c>
      <c r="K85" s="1">
        <v>10.0</v>
      </c>
      <c r="L85" s="1">
        <v>10.0</v>
      </c>
      <c r="M85" s="1">
        <v>8.0</v>
      </c>
      <c r="N85" s="1" t="s">
        <v>51</v>
      </c>
      <c r="O85" s="1">
        <v>25.0</v>
      </c>
      <c r="P85" s="1">
        <v>15.0</v>
      </c>
      <c r="Q85" s="1">
        <v>15.0</v>
      </c>
      <c r="R85" s="1">
        <v>10.0</v>
      </c>
      <c r="S85" s="1">
        <v>10.0</v>
      </c>
      <c r="T85" s="1" t="s">
        <v>52</v>
      </c>
      <c r="U85" s="1">
        <v>35.0</v>
      </c>
      <c r="V85" s="1">
        <v>15.0</v>
      </c>
      <c r="W85" s="1">
        <v>10.0</v>
      </c>
      <c r="X85" s="1">
        <v>20.0</v>
      </c>
      <c r="Y85" s="1">
        <v>17.0</v>
      </c>
      <c r="Z85" s="1" t="s">
        <v>53</v>
      </c>
      <c r="AA85" s="1">
        <v>40.0</v>
      </c>
      <c r="AB85" s="1">
        <v>15.0</v>
      </c>
      <c r="AC85" s="1">
        <v>14.0</v>
      </c>
      <c r="AD85" s="1">
        <v>25.0</v>
      </c>
      <c r="AE85" s="1">
        <v>21.0</v>
      </c>
      <c r="AF85" s="1" t="s">
        <v>54</v>
      </c>
      <c r="AG85" s="1">
        <v>60.0</v>
      </c>
      <c r="AH85" s="1">
        <v>28.0</v>
      </c>
      <c r="AI85" s="1">
        <v>28.0</v>
      </c>
      <c r="AJ85" s="1">
        <v>32.0</v>
      </c>
      <c r="AK85" s="1">
        <v>30.0</v>
      </c>
      <c r="AL85" s="1">
        <v>163.0</v>
      </c>
      <c r="AM85" s="1" t="s">
        <v>55</v>
      </c>
      <c r="AN85" s="1">
        <v>37.0</v>
      </c>
      <c r="AO85" s="1">
        <v>37.0</v>
      </c>
      <c r="AP85" s="1" t="s">
        <v>548</v>
      </c>
      <c r="AQ85" s="2" t="str">
        <f>HYPERLINK("https://icf.clappia.com/app/GMB253374/submission/SZZ95875707/ICF247370-GMB253374-3cijp278f9no00000000/SIG-20250626_135310b1h6.jpeg", "SIG-20250626_135310b1h6.jpeg")</f>
        <v>SIG-20250626_135310b1h6.jpeg</v>
      </c>
      <c r="AR85" s="1" t="s">
        <v>549</v>
      </c>
      <c r="AS85" s="2" t="str">
        <f>HYPERLINK("https://icf.clappia.com/app/GMB253374/submission/SZZ95875707/ICF247370-GMB253374-1ogac7lp0p2800000000/SIG-20250626_1354ihkkp.jpeg", "SIG-20250626_1354ihkkp.jpeg")</f>
        <v>SIG-20250626_1354ihkkp.jpeg</v>
      </c>
      <c r="AT85" s="1" t="s">
        <v>550</v>
      </c>
      <c r="AU85" s="2" t="str">
        <f>HYPERLINK("https://icf.clappia.com/app/GMB253374/submission/SZZ95875707/ICF247370-GMB253374-53134fc88g8k00000000/SIG-20250626_1355135mi6.jpeg", "SIG-20250626_1355135mi6.jpeg")</f>
        <v>SIG-20250626_1355135mi6.jpeg</v>
      </c>
      <c r="AV85" s="2" t="str">
        <f>HYPERLINK("https://www.google.com/maps/place/8.8666453%2C-12.0505855", "8.8666453,-12.0505855")</f>
        <v>8.8666453,-12.0505855</v>
      </c>
    </row>
    <row r="86" ht="15.75" customHeight="1">
      <c r="A86" s="1" t="s">
        <v>551</v>
      </c>
      <c r="B86" s="1" t="s">
        <v>46</v>
      </c>
      <c r="C86" s="1" t="s">
        <v>552</v>
      </c>
      <c r="D86" s="1" t="s">
        <v>552</v>
      </c>
      <c r="E86" s="1" t="s">
        <v>553</v>
      </c>
      <c r="F86" s="1" t="s">
        <v>64</v>
      </c>
      <c r="G86" s="1">
        <v>300.0</v>
      </c>
      <c r="H86" s="1" t="s">
        <v>50</v>
      </c>
      <c r="I86" s="1">
        <v>70.0</v>
      </c>
      <c r="J86" s="1">
        <v>32.0</v>
      </c>
      <c r="K86" s="1">
        <v>31.0</v>
      </c>
      <c r="L86" s="1">
        <v>38.0</v>
      </c>
      <c r="M86" s="1">
        <v>38.0</v>
      </c>
      <c r="N86" s="1" t="s">
        <v>51</v>
      </c>
      <c r="O86" s="1">
        <v>60.0</v>
      </c>
      <c r="P86" s="1">
        <v>30.0</v>
      </c>
      <c r="Q86" s="1">
        <v>29.0</v>
      </c>
      <c r="R86" s="1">
        <v>30.0</v>
      </c>
      <c r="S86" s="1">
        <v>30.0</v>
      </c>
      <c r="T86" s="1" t="s">
        <v>52</v>
      </c>
      <c r="U86" s="1">
        <v>50.0</v>
      </c>
      <c r="V86" s="1">
        <v>23.0</v>
      </c>
      <c r="W86" s="1">
        <v>22.0</v>
      </c>
      <c r="X86" s="1">
        <v>27.0</v>
      </c>
      <c r="Y86" s="1">
        <v>27.0</v>
      </c>
      <c r="Z86" s="1" t="s">
        <v>53</v>
      </c>
      <c r="AA86" s="1">
        <v>50.0</v>
      </c>
      <c r="AB86" s="1">
        <v>20.0</v>
      </c>
      <c r="AC86" s="1">
        <v>20.0</v>
      </c>
      <c r="AD86" s="1">
        <v>30.0</v>
      </c>
      <c r="AE86" s="1">
        <v>29.0</v>
      </c>
      <c r="AF86" s="1" t="s">
        <v>54</v>
      </c>
      <c r="AG86" s="1">
        <v>70.0</v>
      </c>
      <c r="AH86" s="1">
        <v>30.0</v>
      </c>
      <c r="AI86" s="1">
        <v>29.0</v>
      </c>
      <c r="AJ86" s="1">
        <v>40.0</v>
      </c>
      <c r="AK86" s="1">
        <v>40.0</v>
      </c>
      <c r="AL86" s="1">
        <v>295.0</v>
      </c>
      <c r="AM86" s="1">
        <v>5.0</v>
      </c>
      <c r="AN86" s="1" t="s">
        <v>55</v>
      </c>
      <c r="AO86" s="1" t="s">
        <v>55</v>
      </c>
      <c r="AP86" s="1" t="s">
        <v>554</v>
      </c>
      <c r="AQ86" s="2" t="str">
        <f>HYPERLINK("https://icf.clappia.com/app/GMB253374/submission/PUO91249947/ICF247370-GMB253374-2j32m12dpln600000000/SIG-20250626_1717p7lhe.jpeg", "SIG-20250626_1717p7lhe.jpeg")</f>
        <v>SIG-20250626_1717p7lhe.jpeg</v>
      </c>
      <c r="AR86" s="1" t="s">
        <v>555</v>
      </c>
      <c r="AS86" s="2" t="str">
        <f>HYPERLINK("https://icf.clappia.com/app/GMB253374/submission/PUO91249947/ICF247370-GMB253374-5ia98ccph6n200000000/SIG-20250626_1720168gj.jpeg", "SIG-20250626_1720168gj.jpeg")</f>
        <v>SIG-20250626_1720168gj.jpeg</v>
      </c>
      <c r="AT86" s="1" t="s">
        <v>556</v>
      </c>
      <c r="AU86" s="2" t="str">
        <f>HYPERLINK("https://icf.clappia.com/app/GMB253374/submission/PUO91249947/ICF247370-GMB253374-11g10ffi1880g0000000/SIG-20250626_17191m0fd.jpeg", "SIG-20250626_17191m0fd.jpeg")</f>
        <v>SIG-20250626_17191m0fd.jpeg</v>
      </c>
      <c r="AV86" s="2" t="str">
        <f>HYPERLINK("https://www.google.com/maps/place/7.9661784%2C-11.7408605", "7.9661784,-11.7408605")</f>
        <v>7.9661784,-11.7408605</v>
      </c>
    </row>
    <row r="87" ht="15.75" customHeight="1">
      <c r="A87" s="1" t="s">
        <v>557</v>
      </c>
      <c r="B87" s="1" t="s">
        <v>46</v>
      </c>
      <c r="C87" s="1" t="s">
        <v>558</v>
      </c>
      <c r="D87" s="1" t="s">
        <v>558</v>
      </c>
      <c r="E87" s="1" t="s">
        <v>559</v>
      </c>
      <c r="F87" s="1" t="s">
        <v>64</v>
      </c>
      <c r="G87" s="1">
        <v>500.0</v>
      </c>
      <c r="H87" s="1" t="s">
        <v>50</v>
      </c>
      <c r="I87" s="1">
        <v>100.0</v>
      </c>
      <c r="J87" s="1">
        <v>50.0</v>
      </c>
      <c r="K87" s="1">
        <v>49.0</v>
      </c>
      <c r="L87" s="1">
        <v>50.0</v>
      </c>
      <c r="M87" s="1">
        <v>50.0</v>
      </c>
      <c r="N87" s="1" t="s">
        <v>51</v>
      </c>
      <c r="O87" s="1">
        <v>100.0</v>
      </c>
      <c r="P87" s="1">
        <v>50.0</v>
      </c>
      <c r="Q87" s="1">
        <v>47.0</v>
      </c>
      <c r="R87" s="1">
        <v>50.0</v>
      </c>
      <c r="S87" s="1">
        <v>49.0</v>
      </c>
      <c r="T87" s="1" t="s">
        <v>52</v>
      </c>
      <c r="U87" s="1">
        <v>100.0</v>
      </c>
      <c r="V87" s="1">
        <v>50.0</v>
      </c>
      <c r="W87" s="1">
        <v>50.0</v>
      </c>
      <c r="X87" s="1">
        <v>50.0</v>
      </c>
      <c r="Y87" s="1">
        <v>47.0</v>
      </c>
      <c r="Z87" s="1" t="s">
        <v>53</v>
      </c>
      <c r="AA87" s="1">
        <v>100.0</v>
      </c>
      <c r="AB87" s="1">
        <v>50.0</v>
      </c>
      <c r="AC87" s="1">
        <v>50.0</v>
      </c>
      <c r="AD87" s="1">
        <v>50.0</v>
      </c>
      <c r="AE87" s="1">
        <v>49.0</v>
      </c>
      <c r="AF87" s="1" t="s">
        <v>54</v>
      </c>
      <c r="AG87" s="1">
        <v>100.0</v>
      </c>
      <c r="AH87" s="1">
        <v>50.0</v>
      </c>
      <c r="AI87" s="1">
        <v>48.0</v>
      </c>
      <c r="AJ87" s="1">
        <v>50.0</v>
      </c>
      <c r="AK87" s="1">
        <v>50.0</v>
      </c>
      <c r="AL87" s="1">
        <v>489.0</v>
      </c>
      <c r="AM87" s="1">
        <v>10.0</v>
      </c>
      <c r="AN87" s="1">
        <v>1.0</v>
      </c>
      <c r="AO87" s="1">
        <v>1.0</v>
      </c>
      <c r="AP87" s="1" t="s">
        <v>560</v>
      </c>
      <c r="AQ87" s="2" t="str">
        <f>HYPERLINK("https://icf.clappia.com/app/GMB253374/submission/ZFW57520300/ICF247370-GMB253374-1o30j1epp6h8i0000000/SIG-20250626_161617gf6p.jpeg", "SIG-20250626_161617gf6p.jpeg")</f>
        <v>SIG-20250626_161617gf6p.jpeg</v>
      </c>
      <c r="AR87" s="1" t="s">
        <v>426</v>
      </c>
      <c r="AS87" s="2" t="str">
        <f>HYPERLINK("https://icf.clappia.com/app/GMB253374/submission/ZFW57520300/ICF247370-GMB253374-26bjg9a6j86ja0000000/SIG-20250626_1617eo94g.jpeg", "SIG-20250626_1617eo94g.jpeg")</f>
        <v>SIG-20250626_1617eo94g.jpeg</v>
      </c>
      <c r="AT87" s="1" t="s">
        <v>561</v>
      </c>
      <c r="AU87" s="2" t="str">
        <f>HYPERLINK("https://icf.clappia.com/app/GMB253374/submission/ZFW57520300/ICF247370-GMB253374-1m0n1jki6e9440000000/SIG-20250626_1619l0el0.jpeg", "SIG-20250626_1619l0el0.jpeg")</f>
        <v>SIG-20250626_1619l0el0.jpeg</v>
      </c>
      <c r="AV87" s="2" t="str">
        <f>HYPERLINK("https://www.google.com/maps/place/7.9659567%2C-11.7401618", "7.9659567,-11.7401618")</f>
        <v>7.9659567,-11.7401618</v>
      </c>
    </row>
    <row r="88" ht="15.75" customHeight="1">
      <c r="A88" s="1" t="s">
        <v>562</v>
      </c>
      <c r="B88" s="1" t="s">
        <v>46</v>
      </c>
      <c r="C88" s="1" t="s">
        <v>348</v>
      </c>
      <c r="D88" s="1" t="s">
        <v>563</v>
      </c>
      <c r="E88" s="1" t="s">
        <v>564</v>
      </c>
      <c r="F88" s="1" t="s">
        <v>64</v>
      </c>
      <c r="G88" s="1">
        <v>138.0</v>
      </c>
      <c r="H88" s="1" t="s">
        <v>50</v>
      </c>
      <c r="I88" s="1">
        <v>28.0</v>
      </c>
      <c r="J88" s="1">
        <v>14.0</v>
      </c>
      <c r="K88" s="1">
        <v>14.0</v>
      </c>
      <c r="L88" s="1">
        <v>14.0</v>
      </c>
      <c r="M88" s="1">
        <v>14.0</v>
      </c>
      <c r="N88" s="1" t="s">
        <v>51</v>
      </c>
      <c r="O88" s="1">
        <v>28.0</v>
      </c>
      <c r="P88" s="1">
        <v>15.0</v>
      </c>
      <c r="Q88" s="1">
        <v>15.0</v>
      </c>
      <c r="R88" s="1">
        <v>13.0</v>
      </c>
      <c r="S88" s="1">
        <v>13.0</v>
      </c>
      <c r="T88" s="1" t="s">
        <v>52</v>
      </c>
      <c r="U88" s="1">
        <v>27.0</v>
      </c>
      <c r="V88" s="1">
        <v>14.0</v>
      </c>
      <c r="W88" s="1">
        <v>14.0</v>
      </c>
      <c r="X88" s="1">
        <v>13.0</v>
      </c>
      <c r="Y88" s="1">
        <v>13.0</v>
      </c>
      <c r="Z88" s="1" t="s">
        <v>53</v>
      </c>
      <c r="AA88" s="1">
        <v>28.0</v>
      </c>
      <c r="AB88" s="1">
        <v>10.0</v>
      </c>
      <c r="AC88" s="1">
        <v>10.0</v>
      </c>
      <c r="AD88" s="1">
        <v>18.0</v>
      </c>
      <c r="AE88" s="1">
        <v>18.0</v>
      </c>
      <c r="AF88" s="1" t="s">
        <v>54</v>
      </c>
      <c r="AG88" s="1">
        <v>27.0</v>
      </c>
      <c r="AH88" s="1">
        <v>17.0</v>
      </c>
      <c r="AI88" s="1">
        <v>17.0</v>
      </c>
      <c r="AJ88" s="1">
        <v>10.0</v>
      </c>
      <c r="AK88" s="1">
        <v>10.0</v>
      </c>
      <c r="AL88" s="1">
        <v>138.0</v>
      </c>
      <c r="AM88" s="1" t="s">
        <v>55</v>
      </c>
      <c r="AN88" s="1" t="s">
        <v>55</v>
      </c>
      <c r="AO88" s="1" t="s">
        <v>55</v>
      </c>
      <c r="AP88" s="1" t="s">
        <v>565</v>
      </c>
      <c r="AQ88" s="2" t="str">
        <f>HYPERLINK("https://icf.clappia.com/app/GMB253374/submission/NRZ54025659/ICF247370-GMB253374-32od00h920i000000000/SIG-20250626_16399k410.jpeg", "SIG-20250626_16399k410.jpeg")</f>
        <v>SIG-20250626_16399k410.jpeg</v>
      </c>
      <c r="AR88" s="1" t="s">
        <v>566</v>
      </c>
      <c r="AS88" s="2" t="str">
        <f>HYPERLINK("https://icf.clappia.com/app/GMB253374/submission/NRZ54025659/ICF247370-GMB253374-309e2nmii4fi00000000/SIG-20250626_1640of4de.jpeg", "SIG-20250626_1640of4de.jpeg")</f>
        <v>SIG-20250626_1640of4de.jpeg</v>
      </c>
      <c r="AT88" s="1" t="s">
        <v>567</v>
      </c>
      <c r="AU88" s="2" t="str">
        <f>HYPERLINK("https://icf.clappia.com/app/GMB253374/submission/NRZ54025659/ICF247370-GMB253374-23g8ckgah8eae0000000/SIG-20250626_1640dfi47.jpeg", "SIG-20250626_1640dfi47.jpeg")</f>
        <v>SIG-20250626_1640dfi47.jpeg</v>
      </c>
      <c r="AV88" s="2" t="str">
        <f>HYPERLINK("https://www.google.com/maps/place/8.8714748%2C-12.0477297", "8.8714748,-12.0477297")</f>
        <v>8.8714748,-12.0477297</v>
      </c>
    </row>
    <row r="89" ht="15.75" customHeight="1">
      <c r="A89" s="1" t="s">
        <v>568</v>
      </c>
      <c r="B89" s="1" t="s">
        <v>46</v>
      </c>
      <c r="C89" s="1" t="s">
        <v>569</v>
      </c>
      <c r="D89" s="1" t="s">
        <v>570</v>
      </c>
      <c r="E89" s="1" t="s">
        <v>571</v>
      </c>
      <c r="F89" s="1" t="s">
        <v>64</v>
      </c>
      <c r="G89" s="1">
        <v>237.0</v>
      </c>
      <c r="H89" s="1" t="s">
        <v>50</v>
      </c>
      <c r="I89" s="1">
        <v>48.0</v>
      </c>
      <c r="J89" s="1">
        <v>20.0</v>
      </c>
      <c r="K89" s="1">
        <v>20.0</v>
      </c>
      <c r="L89" s="1">
        <v>28.0</v>
      </c>
      <c r="M89" s="1">
        <v>28.0</v>
      </c>
      <c r="N89" s="1" t="s">
        <v>51</v>
      </c>
      <c r="O89" s="1">
        <v>47.0</v>
      </c>
      <c r="P89" s="1">
        <v>27.0</v>
      </c>
      <c r="Q89" s="1">
        <v>27.0</v>
      </c>
      <c r="R89" s="1">
        <v>20.0</v>
      </c>
      <c r="S89" s="1">
        <v>20.0</v>
      </c>
      <c r="T89" s="1" t="s">
        <v>52</v>
      </c>
      <c r="U89" s="1">
        <v>47.0</v>
      </c>
      <c r="V89" s="1">
        <v>20.0</v>
      </c>
      <c r="W89" s="1">
        <v>20.0</v>
      </c>
      <c r="X89" s="1">
        <v>27.0</v>
      </c>
      <c r="Y89" s="1">
        <v>27.0</v>
      </c>
      <c r="Z89" s="1" t="s">
        <v>53</v>
      </c>
      <c r="AA89" s="1">
        <v>48.0</v>
      </c>
      <c r="AB89" s="1">
        <v>20.0</v>
      </c>
      <c r="AC89" s="1">
        <v>20.0</v>
      </c>
      <c r="AD89" s="1">
        <v>28.0</v>
      </c>
      <c r="AE89" s="1">
        <v>28.0</v>
      </c>
      <c r="AF89" s="1" t="s">
        <v>54</v>
      </c>
      <c r="AG89" s="1">
        <v>47.0</v>
      </c>
      <c r="AH89" s="1">
        <v>20.0</v>
      </c>
      <c r="AI89" s="1">
        <v>20.0</v>
      </c>
      <c r="AJ89" s="1">
        <v>27.0</v>
      </c>
      <c r="AK89" s="1">
        <v>27.0</v>
      </c>
      <c r="AL89" s="1">
        <v>237.0</v>
      </c>
      <c r="AM89" s="1" t="s">
        <v>55</v>
      </c>
      <c r="AN89" s="1" t="s">
        <v>55</v>
      </c>
      <c r="AO89" s="1" t="s">
        <v>55</v>
      </c>
      <c r="AP89" s="1" t="s">
        <v>565</v>
      </c>
      <c r="AQ89" s="2" t="str">
        <f>HYPERLINK("https://icf.clappia.com/app/GMB253374/submission/JYA72489348/ICF247370-GMB253374-28fd2kne1mhm00000000/SIG-20250626_16161acfi4.jpeg", "SIG-20250626_16161acfi4.jpeg")</f>
        <v>SIG-20250626_16161acfi4.jpeg</v>
      </c>
      <c r="AR89" s="1" t="s">
        <v>566</v>
      </c>
      <c r="AS89" s="2" t="str">
        <f>HYPERLINK("https://icf.clappia.com/app/GMB253374/submission/JYA72489348/ICF247370-GMB253374-1j5e046ng5go80000000/SIG-20250626_1617j4oc3.jpeg", "SIG-20250626_1617j4oc3.jpeg")</f>
        <v>SIG-20250626_1617j4oc3.jpeg</v>
      </c>
      <c r="AT89" s="1" t="s">
        <v>567</v>
      </c>
      <c r="AU89" s="2" t="str">
        <f>HYPERLINK("https://icf.clappia.com/app/GMB253374/submission/JYA72489348/ICF247370-GMB253374-5n6628ibmkcg00000000/SIG-20250626_1618ikcf2.jpeg", "SIG-20250626_1618ikcf2.jpeg")</f>
        <v>SIG-20250626_1618ikcf2.jpeg</v>
      </c>
      <c r="AV89" s="2" t="str">
        <f>HYPERLINK("https://www.google.com/maps/place/8.8656234%2C-12.0498633", "8.8656234,-12.0498633")</f>
        <v>8.8656234,-12.0498633</v>
      </c>
    </row>
    <row r="90" ht="15.75" customHeight="1">
      <c r="A90" s="1" t="s">
        <v>572</v>
      </c>
      <c r="B90" s="1" t="s">
        <v>46</v>
      </c>
      <c r="C90" s="1" t="s">
        <v>573</v>
      </c>
      <c r="D90" s="1" t="s">
        <v>573</v>
      </c>
      <c r="E90" s="1" t="s">
        <v>574</v>
      </c>
      <c r="F90" s="1" t="s">
        <v>64</v>
      </c>
      <c r="G90" s="1">
        <v>252.0</v>
      </c>
      <c r="H90" s="1" t="s">
        <v>50</v>
      </c>
      <c r="I90" s="1">
        <v>252.0</v>
      </c>
      <c r="J90" s="1">
        <v>25.0</v>
      </c>
      <c r="K90" s="1">
        <v>25.0</v>
      </c>
      <c r="L90" s="1">
        <v>25.0</v>
      </c>
      <c r="M90" s="1">
        <v>25.0</v>
      </c>
      <c r="N90" s="1" t="s">
        <v>51</v>
      </c>
      <c r="O90" s="1">
        <v>50.0</v>
      </c>
      <c r="P90" s="1">
        <v>25.0</v>
      </c>
      <c r="Q90" s="1">
        <v>25.0</v>
      </c>
      <c r="R90" s="1">
        <v>25.0</v>
      </c>
      <c r="S90" s="1">
        <v>25.0</v>
      </c>
      <c r="T90" s="1" t="s">
        <v>52</v>
      </c>
      <c r="U90" s="1">
        <v>50.0</v>
      </c>
      <c r="V90" s="1">
        <v>25.0</v>
      </c>
      <c r="W90" s="1">
        <v>25.0</v>
      </c>
      <c r="X90" s="1">
        <v>25.0</v>
      </c>
      <c r="Y90" s="1">
        <v>25.0</v>
      </c>
      <c r="Z90" s="1" t="s">
        <v>53</v>
      </c>
      <c r="AA90" s="1">
        <v>50.0</v>
      </c>
      <c r="AB90" s="1">
        <v>25.0</v>
      </c>
      <c r="AC90" s="1">
        <v>25.0</v>
      </c>
      <c r="AD90" s="1">
        <v>25.0</v>
      </c>
      <c r="AE90" s="1">
        <v>25.0</v>
      </c>
      <c r="AF90" s="1" t="s">
        <v>54</v>
      </c>
      <c r="AG90" s="1">
        <v>52.0</v>
      </c>
      <c r="AH90" s="1">
        <v>25.0</v>
      </c>
      <c r="AI90" s="1">
        <v>25.0</v>
      </c>
      <c r="AJ90" s="1">
        <v>27.0</v>
      </c>
      <c r="AK90" s="1">
        <v>25.0</v>
      </c>
      <c r="AL90" s="1">
        <v>250.0</v>
      </c>
      <c r="AM90" s="1" t="s">
        <v>55</v>
      </c>
      <c r="AN90" s="1">
        <v>2.0</v>
      </c>
      <c r="AO90" s="1" t="s">
        <v>55</v>
      </c>
      <c r="AP90" s="1" t="s">
        <v>575</v>
      </c>
      <c r="AQ90" s="2" t="str">
        <f>HYPERLINK("https://icf.clappia.com/app/GMB253374/submission/DJQ60337448/ICF247370-GMB253374-1nhn3hd9if3fm0000000/SIG-20250626_170511b3bc.jpeg", "SIG-20250626_170511b3bc.jpeg")</f>
        <v>SIG-20250626_170511b3bc.jpeg</v>
      </c>
      <c r="AR90" s="1" t="s">
        <v>358</v>
      </c>
      <c r="AS90" s="2" t="str">
        <f>HYPERLINK("https://icf.clappia.com/app/GMB253374/submission/DJQ60337448/ICF247370-GMB253374-4oa8apd4i4cm0000000/SIG-20250626_17051kgfi.jpeg", "SIG-20250626_17051kgfi.jpeg")</f>
        <v>SIG-20250626_17051kgfi.jpeg</v>
      </c>
      <c r="AT90" s="1" t="s">
        <v>576</v>
      </c>
      <c r="AU90" s="2" t="str">
        <f>HYPERLINK("https://icf.clappia.com/app/GMB253374/submission/DJQ60337448/ICF247370-GMB253374-2nh7i60dk0l000000000/SIG-20250626_170514278m.jpeg", "SIG-20250626_170514278m.jpeg")</f>
        <v>SIG-20250626_170514278m.jpeg</v>
      </c>
      <c r="AV90" s="2" t="str">
        <f>HYPERLINK("https://www.google.com/maps/place/8.8679638%2C-12.0516564", "8.8679638,-12.0516564")</f>
        <v>8.8679638,-12.0516564</v>
      </c>
    </row>
    <row r="91" ht="15.75" customHeight="1">
      <c r="A91" s="1" t="s">
        <v>577</v>
      </c>
      <c r="B91" s="1" t="s">
        <v>46</v>
      </c>
      <c r="C91" s="1" t="s">
        <v>578</v>
      </c>
      <c r="D91" s="1" t="s">
        <v>578</v>
      </c>
      <c r="E91" s="1" t="s">
        <v>579</v>
      </c>
      <c r="F91" s="1" t="s">
        <v>64</v>
      </c>
      <c r="G91" s="1">
        <v>500.0</v>
      </c>
      <c r="H91" s="1" t="s">
        <v>50</v>
      </c>
      <c r="I91" s="1">
        <v>80.0</v>
      </c>
      <c r="J91" s="1">
        <v>35.0</v>
      </c>
      <c r="K91" s="1">
        <v>35.0</v>
      </c>
      <c r="L91" s="1">
        <v>45.0</v>
      </c>
      <c r="M91" s="1">
        <v>45.0</v>
      </c>
      <c r="N91" s="1" t="s">
        <v>51</v>
      </c>
      <c r="O91" s="1">
        <v>53.0</v>
      </c>
      <c r="P91" s="1">
        <v>23.0</v>
      </c>
      <c r="Q91" s="1">
        <v>23.0</v>
      </c>
      <c r="R91" s="1">
        <v>30.0</v>
      </c>
      <c r="S91" s="1">
        <v>29.0</v>
      </c>
      <c r="T91" s="1" t="s">
        <v>52</v>
      </c>
      <c r="U91" s="1">
        <v>50.0</v>
      </c>
      <c r="V91" s="1">
        <v>24.0</v>
      </c>
      <c r="W91" s="1">
        <v>24.0</v>
      </c>
      <c r="X91" s="1">
        <v>26.0</v>
      </c>
      <c r="Y91" s="1">
        <v>25.0</v>
      </c>
      <c r="Z91" s="1" t="s">
        <v>53</v>
      </c>
      <c r="AA91" s="1">
        <v>60.0</v>
      </c>
      <c r="AB91" s="1">
        <v>29.0</v>
      </c>
      <c r="AC91" s="1">
        <v>28.0</v>
      </c>
      <c r="AD91" s="1">
        <v>31.0</v>
      </c>
      <c r="AE91" s="1">
        <v>30.0</v>
      </c>
      <c r="AF91" s="1" t="s">
        <v>54</v>
      </c>
      <c r="AG91" s="1">
        <v>65.0</v>
      </c>
      <c r="AH91" s="1">
        <v>30.0</v>
      </c>
      <c r="AI91" s="1">
        <v>30.0</v>
      </c>
      <c r="AJ91" s="1">
        <v>35.0</v>
      </c>
      <c r="AK91" s="1">
        <v>34.0</v>
      </c>
      <c r="AL91" s="1">
        <v>303.0</v>
      </c>
      <c r="AM91" s="1" t="s">
        <v>55</v>
      </c>
      <c r="AN91" s="1">
        <v>197.0</v>
      </c>
      <c r="AO91" s="1">
        <v>197.0</v>
      </c>
      <c r="AP91" s="1" t="s">
        <v>580</v>
      </c>
      <c r="AQ91" s="2" t="str">
        <f>HYPERLINK("https://icf.clappia.com/app/GMB253374/submission/MUW97274653/ICF247370-GMB253374-3pc1m70g48j800000000/SIG-20250626_17025b9d4.jpeg", "SIG-20250626_17025b9d4.jpeg")</f>
        <v>SIG-20250626_17025b9d4.jpeg</v>
      </c>
      <c r="AR91" s="1" t="s">
        <v>581</v>
      </c>
      <c r="AS91" s="2" t="str">
        <f>HYPERLINK("https://icf.clappia.com/app/GMB253374/submission/MUW97274653/ICF247370-GMB253374-5af3gd1ph96600000000/SIG-20250626_1702ij88i.jpeg", "SIG-20250626_1702ij88i.jpeg")</f>
        <v>SIG-20250626_1702ij88i.jpeg</v>
      </c>
      <c r="AT91" s="1" t="s">
        <v>582</v>
      </c>
      <c r="AU91" s="2" t="str">
        <f>HYPERLINK("https://icf.clappia.com/app/GMB253374/submission/MUW97274653/ICF247370-GMB253374-25df0e39bm4960000000/SIG-20250626_1703bio6c.jpeg", "SIG-20250626_1703bio6c.jpeg")</f>
        <v>SIG-20250626_1703bio6c.jpeg</v>
      </c>
      <c r="AV91" s="2" t="str">
        <f>HYPERLINK("https://www.google.com/maps/place/7.9625777%2C-11.7454439", "7.9625777,-11.7454439")</f>
        <v>7.9625777,-11.7454439</v>
      </c>
    </row>
    <row r="92" ht="15.75" customHeight="1">
      <c r="A92" s="1" t="s">
        <v>583</v>
      </c>
      <c r="B92" s="1" t="s">
        <v>46</v>
      </c>
      <c r="C92" s="1" t="s">
        <v>584</v>
      </c>
      <c r="D92" s="1" t="s">
        <v>584</v>
      </c>
      <c r="E92" s="1" t="s">
        <v>585</v>
      </c>
      <c r="F92" s="1" t="s">
        <v>64</v>
      </c>
      <c r="G92" s="1">
        <v>185.0</v>
      </c>
      <c r="H92" s="1" t="s">
        <v>50</v>
      </c>
      <c r="I92" s="1">
        <v>50.0</v>
      </c>
      <c r="J92" s="1">
        <v>22.0</v>
      </c>
      <c r="K92" s="1">
        <v>21.0</v>
      </c>
      <c r="L92" s="1">
        <v>28.0</v>
      </c>
      <c r="M92" s="1">
        <v>24.0</v>
      </c>
      <c r="N92" s="1" t="s">
        <v>51</v>
      </c>
      <c r="O92" s="1">
        <v>50.0</v>
      </c>
      <c r="P92" s="1">
        <v>20.0</v>
      </c>
      <c r="Q92" s="1">
        <v>19.0</v>
      </c>
      <c r="R92" s="1">
        <v>30.0</v>
      </c>
      <c r="S92" s="1">
        <v>28.0</v>
      </c>
      <c r="T92" s="1" t="s">
        <v>52</v>
      </c>
      <c r="U92" s="1">
        <v>55.0</v>
      </c>
      <c r="V92" s="1">
        <v>30.0</v>
      </c>
      <c r="W92" s="1">
        <v>28.0</v>
      </c>
      <c r="X92" s="1">
        <v>20.0</v>
      </c>
      <c r="Y92" s="1">
        <v>15.0</v>
      </c>
      <c r="Z92" s="1" t="s">
        <v>53</v>
      </c>
      <c r="AA92" s="1">
        <v>15.0</v>
      </c>
      <c r="AB92" s="1" t="s">
        <v>586</v>
      </c>
      <c r="AC92" s="1" t="s">
        <v>586</v>
      </c>
      <c r="AD92" s="1" t="s">
        <v>587</v>
      </c>
      <c r="AE92" s="1" t="s">
        <v>588</v>
      </c>
      <c r="AF92" s="1" t="s">
        <v>54</v>
      </c>
      <c r="AG92" s="1">
        <v>30.0</v>
      </c>
      <c r="AH92" s="1">
        <v>14.0</v>
      </c>
      <c r="AI92" s="1">
        <v>10.0</v>
      </c>
      <c r="AJ92" s="1">
        <v>16.0</v>
      </c>
      <c r="AK92" s="1">
        <v>14.0</v>
      </c>
      <c r="AL92" s="1">
        <v>171.0</v>
      </c>
      <c r="AM92" s="1">
        <v>10.0</v>
      </c>
      <c r="AN92" s="1">
        <v>4.0</v>
      </c>
      <c r="AO92" s="1">
        <v>1.0</v>
      </c>
      <c r="AP92" s="1" t="s">
        <v>589</v>
      </c>
      <c r="AQ92" s="2" t="str">
        <f>HYPERLINK("https://icf.clappia.com/app/GMB253374/submission/GXU70452053/ICF247370-GMB253374-43o5abnpbnaa00000000/SIG-20250626_1702o20i2.jpeg", "SIG-20250626_1702o20i2.jpeg")</f>
        <v>SIG-20250626_1702o20i2.jpeg</v>
      </c>
      <c r="AR92" s="1" t="s">
        <v>590</v>
      </c>
      <c r="AS92" s="2" t="str">
        <f>HYPERLINK("https://icf.clappia.com/app/GMB253374/submission/GXU70452053/ICF247370-GMB253374-13m9i1o5jhhd80000000/SIG-20250626_1702dmake.jpeg", "SIG-20250626_1702dmake.jpeg")</f>
        <v>SIG-20250626_1702dmake.jpeg</v>
      </c>
      <c r="AT92" s="1" t="s">
        <v>591</v>
      </c>
      <c r="AU92" s="2" t="str">
        <f>HYPERLINK("https://icf.clappia.com/app/GMB253374/submission/GXU70452053/ICF247370-GMB253374-11g6i83e9jele0000000/SIG-20250626_170314b911.jpeg", "SIG-20250626_170314b911.jpeg")</f>
        <v>SIG-20250626_170314b911.jpeg</v>
      </c>
      <c r="AV92" s="2" t="str">
        <f>HYPERLINK("https://www.google.com/maps/place/7.9661763%2C-11.7408682", "7.9661763,-11.7408682")</f>
        <v>7.9661763,-11.7408682</v>
      </c>
    </row>
    <row r="93" ht="15.75" customHeight="1">
      <c r="A93" s="1" t="s">
        <v>592</v>
      </c>
      <c r="B93" s="1" t="s">
        <v>46</v>
      </c>
      <c r="C93" s="1" t="s">
        <v>593</v>
      </c>
      <c r="D93" s="1" t="s">
        <v>593</v>
      </c>
      <c r="E93" s="1" t="s">
        <v>594</v>
      </c>
      <c r="F93" s="1" t="s">
        <v>64</v>
      </c>
      <c r="G93" s="1">
        <v>260.0</v>
      </c>
      <c r="H93" s="1" t="s">
        <v>50</v>
      </c>
      <c r="I93" s="1">
        <v>70.0</v>
      </c>
      <c r="J93" s="1">
        <v>30.0</v>
      </c>
      <c r="K93" s="1">
        <v>29.0</v>
      </c>
      <c r="L93" s="1">
        <v>40.0</v>
      </c>
      <c r="M93" s="1">
        <v>40.0</v>
      </c>
      <c r="N93" s="1" t="s">
        <v>51</v>
      </c>
      <c r="O93" s="1">
        <v>50.0</v>
      </c>
      <c r="P93" s="1">
        <v>25.0</v>
      </c>
      <c r="Q93" s="1">
        <v>24.0</v>
      </c>
      <c r="R93" s="1">
        <v>25.0</v>
      </c>
      <c r="S93" s="1">
        <v>24.0</v>
      </c>
      <c r="T93" s="1" t="s">
        <v>52</v>
      </c>
      <c r="U93" s="1">
        <v>50.0</v>
      </c>
      <c r="V93" s="1">
        <v>22.0</v>
      </c>
      <c r="W93" s="1">
        <v>22.0</v>
      </c>
      <c r="X93" s="1">
        <v>28.0</v>
      </c>
      <c r="Y93" s="1">
        <v>28.0</v>
      </c>
      <c r="Z93" s="1" t="s">
        <v>53</v>
      </c>
      <c r="AA93" s="1">
        <v>40.0</v>
      </c>
      <c r="AB93" s="1">
        <v>15.0</v>
      </c>
      <c r="AC93" s="1">
        <v>15.0</v>
      </c>
      <c r="AD93" s="1">
        <v>25.0</v>
      </c>
      <c r="AE93" s="1">
        <v>25.0</v>
      </c>
      <c r="AF93" s="1" t="s">
        <v>54</v>
      </c>
      <c r="AG93" s="1">
        <v>50.0</v>
      </c>
      <c r="AH93" s="1">
        <v>20.0</v>
      </c>
      <c r="AI93" s="1">
        <v>20.0</v>
      </c>
      <c r="AJ93" s="1">
        <v>30.0</v>
      </c>
      <c r="AK93" s="1">
        <v>30.0</v>
      </c>
      <c r="AL93" s="1">
        <v>257.0</v>
      </c>
      <c r="AM93" s="1">
        <v>3.0</v>
      </c>
      <c r="AN93" s="1" t="s">
        <v>55</v>
      </c>
      <c r="AO93" s="1" t="s">
        <v>55</v>
      </c>
      <c r="AP93" s="1" t="s">
        <v>595</v>
      </c>
      <c r="AQ93" s="2" t="str">
        <f>HYPERLINK("https://icf.clappia.com/app/GMB253374/submission/RYS98744362/ICF247370-GMB253374-1fdhgpo6l1gmi0000000/SIG-20250626_1627kdh2f.jpeg", "SIG-20250626_1627kdh2f.jpeg")</f>
        <v>SIG-20250626_1627kdh2f.jpeg</v>
      </c>
      <c r="AR93" s="1" t="s">
        <v>596</v>
      </c>
      <c r="AS93" s="2" t="str">
        <f>HYPERLINK("https://icf.clappia.com/app/GMB253374/submission/RYS98744362/ICF247370-GMB253374-3da2k7c9jdjk00000000/SIG-20250626_1627mp3fl.jpeg", "SIG-20250626_1627mp3fl.jpeg")</f>
        <v>SIG-20250626_1627mp3fl.jpeg</v>
      </c>
      <c r="AT93" s="1" t="s">
        <v>597</v>
      </c>
      <c r="AU93" s="2" t="str">
        <f>HYPERLINK("https://icf.clappia.com/app/GMB253374/submission/RYS98744362/ICF247370-GMB253374-61boajhjdcmo00000000/SIG-20250626_162713o51f.jpeg", "SIG-20250626_162713o51f.jpeg")</f>
        <v>SIG-20250626_162713o51f.jpeg</v>
      </c>
      <c r="AV93" s="2" t="str">
        <f>HYPERLINK("https://www.google.com/maps/place/7.966179%2C-11.7408609", "7.966179,-11.7408609")</f>
        <v>7.966179,-11.7408609</v>
      </c>
    </row>
    <row r="94" ht="15.75" customHeight="1">
      <c r="A94" s="1" t="s">
        <v>598</v>
      </c>
      <c r="B94" s="1" t="s">
        <v>46</v>
      </c>
      <c r="C94" s="1" t="s">
        <v>599</v>
      </c>
      <c r="D94" s="1" t="s">
        <v>599</v>
      </c>
      <c r="E94" s="1" t="s">
        <v>600</v>
      </c>
      <c r="F94" s="1" t="s">
        <v>64</v>
      </c>
      <c r="G94" s="1">
        <v>550.0</v>
      </c>
      <c r="H94" s="1" t="s">
        <v>50</v>
      </c>
      <c r="I94" s="1">
        <v>108.0</v>
      </c>
      <c r="J94" s="1">
        <v>58.0</v>
      </c>
      <c r="K94" s="1">
        <v>58.0</v>
      </c>
      <c r="L94" s="1">
        <v>50.0</v>
      </c>
      <c r="M94" s="1">
        <v>50.0</v>
      </c>
      <c r="N94" s="1" t="s">
        <v>51</v>
      </c>
      <c r="O94" s="1">
        <v>107.0</v>
      </c>
      <c r="P94" s="1">
        <v>48.0</v>
      </c>
      <c r="Q94" s="1">
        <v>48.0</v>
      </c>
      <c r="R94" s="1">
        <v>59.0</v>
      </c>
      <c r="S94" s="1">
        <v>59.0</v>
      </c>
      <c r="T94" s="1" t="s">
        <v>52</v>
      </c>
      <c r="U94" s="1">
        <v>107.0</v>
      </c>
      <c r="V94" s="1">
        <v>45.0</v>
      </c>
      <c r="W94" s="1">
        <v>45.0</v>
      </c>
      <c r="X94" s="1">
        <v>62.0</v>
      </c>
      <c r="Y94" s="1">
        <v>62.0</v>
      </c>
      <c r="Z94" s="1" t="s">
        <v>53</v>
      </c>
      <c r="AA94" s="1">
        <v>108.0</v>
      </c>
      <c r="AB94" s="1">
        <v>60.0</v>
      </c>
      <c r="AC94" s="1">
        <v>60.0</v>
      </c>
      <c r="AD94" s="1">
        <v>48.0</v>
      </c>
      <c r="AE94" s="1">
        <v>48.0</v>
      </c>
      <c r="AF94" s="1" t="s">
        <v>54</v>
      </c>
      <c r="AG94" s="1">
        <v>108.0</v>
      </c>
      <c r="AH94" s="1">
        <v>65.0</v>
      </c>
      <c r="AI94" s="1">
        <v>65.0</v>
      </c>
      <c r="AJ94" s="1">
        <v>43.0</v>
      </c>
      <c r="AK94" s="1">
        <v>43.0</v>
      </c>
      <c r="AL94" s="1">
        <v>538.0</v>
      </c>
      <c r="AM94" s="1" t="s">
        <v>55</v>
      </c>
      <c r="AN94" s="1">
        <v>12.0</v>
      </c>
      <c r="AO94" s="1">
        <v>12.0</v>
      </c>
      <c r="AP94" s="1" t="s">
        <v>601</v>
      </c>
      <c r="AQ94" s="2" t="str">
        <f>HYPERLINK("https://icf.clappia.com/app/GMB253374/submission/BMF39098878/ICF247370-GMB253374-4n88giopk4oe00000000/SIG-20250626_164217gg8m.jpeg", "SIG-20250626_164217gg8m.jpeg")</f>
        <v>SIG-20250626_164217gg8m.jpeg</v>
      </c>
      <c r="AR94" s="1" t="s">
        <v>602</v>
      </c>
      <c r="AS94" s="2" t="str">
        <f>HYPERLINK("https://icf.clappia.com/app/GMB253374/submission/BMF39098878/ICF247370-GMB253374-6b2l9f7b9h9i00000000/SIG-20250626_164316jp7l.jpeg", "SIG-20250626_164316jp7l.jpeg")</f>
        <v>SIG-20250626_164316jp7l.jpeg</v>
      </c>
      <c r="AT94" s="1" t="s">
        <v>603</v>
      </c>
      <c r="AU94" s="2" t="str">
        <f>HYPERLINK("https://icf.clappia.com/app/GMB253374/submission/BMF39098878/ICF247370-GMB253374-4g23b0e4c53c00000000/SIG-20250626_16471ahah9.jpeg", "SIG-20250626_16471ahah9.jpeg")</f>
        <v>SIG-20250626_16471ahah9.jpeg</v>
      </c>
      <c r="AV94" s="2" t="str">
        <f>HYPERLINK("https://www.google.com/maps/place/8.8672872%2C-12.0516564", "8.8672872,-12.0516564")</f>
        <v>8.8672872,-12.0516564</v>
      </c>
    </row>
    <row r="95" ht="15.75" customHeight="1">
      <c r="A95" s="1" t="s">
        <v>604</v>
      </c>
      <c r="B95" s="1" t="s">
        <v>46</v>
      </c>
      <c r="C95" s="1" t="s">
        <v>379</v>
      </c>
      <c r="D95" s="1" t="s">
        <v>605</v>
      </c>
      <c r="E95" s="1" t="s">
        <v>606</v>
      </c>
      <c r="F95" s="1" t="s">
        <v>49</v>
      </c>
      <c r="G95" s="1">
        <v>153.0</v>
      </c>
      <c r="H95" s="1" t="s">
        <v>50</v>
      </c>
      <c r="I95" s="1">
        <v>30.0</v>
      </c>
      <c r="J95" s="1">
        <v>12.0</v>
      </c>
      <c r="K95" s="1">
        <v>12.0</v>
      </c>
      <c r="L95" s="1">
        <v>18.0</v>
      </c>
      <c r="M95" s="1">
        <v>18.0</v>
      </c>
      <c r="N95" s="1" t="s">
        <v>51</v>
      </c>
      <c r="O95" s="1">
        <v>30.0</v>
      </c>
      <c r="P95" s="1">
        <v>10.0</v>
      </c>
      <c r="Q95" s="1">
        <v>10.0</v>
      </c>
      <c r="R95" s="1">
        <v>20.0</v>
      </c>
      <c r="S95" s="1">
        <v>20.0</v>
      </c>
      <c r="T95" s="1" t="s">
        <v>52</v>
      </c>
      <c r="U95" s="1">
        <v>31.0</v>
      </c>
      <c r="V95" s="1">
        <v>11.0</v>
      </c>
      <c r="W95" s="1">
        <v>11.0</v>
      </c>
      <c r="X95" s="1">
        <v>20.0</v>
      </c>
      <c r="Y95" s="1">
        <v>20.0</v>
      </c>
      <c r="Z95" s="1" t="s">
        <v>53</v>
      </c>
      <c r="AA95" s="1">
        <v>31.0</v>
      </c>
      <c r="AB95" s="1">
        <v>20.0</v>
      </c>
      <c r="AC95" s="1">
        <v>20.0</v>
      </c>
      <c r="AD95" s="1">
        <v>11.0</v>
      </c>
      <c r="AE95" s="1">
        <v>11.0</v>
      </c>
      <c r="AF95" s="1" t="s">
        <v>54</v>
      </c>
      <c r="AG95" s="1">
        <v>31.0</v>
      </c>
      <c r="AH95" s="1">
        <v>15.0</v>
      </c>
      <c r="AI95" s="1">
        <v>15.0</v>
      </c>
      <c r="AJ95" s="1">
        <v>16.0</v>
      </c>
      <c r="AK95" s="1">
        <v>16.0</v>
      </c>
      <c r="AL95" s="1">
        <v>153.0</v>
      </c>
      <c r="AM95" s="1" t="s">
        <v>55</v>
      </c>
      <c r="AN95" s="1" t="s">
        <v>55</v>
      </c>
      <c r="AO95" s="1" t="s">
        <v>55</v>
      </c>
      <c r="AP95" s="1" t="s">
        <v>607</v>
      </c>
      <c r="AQ95" s="2" t="str">
        <f>HYPERLINK("https://icf.clappia.com/app/GMB253374/submission/DEE55383725/ICF247370-GMB253374-45ij0b577ljo0000000/SIG-20250626_1641954kl.jpeg", "SIG-20250626_1641954kl.jpeg")</f>
        <v>SIG-20250626_1641954kl.jpeg</v>
      </c>
      <c r="AR95" s="1" t="s">
        <v>287</v>
      </c>
      <c r="AS95" s="2" t="str">
        <f>HYPERLINK("https://icf.clappia.com/app/GMB253374/submission/DEE55383725/ICF247370-GMB253374-46439jgjhg9800000000/SIG-20250626_1642156kll.jpeg", "SIG-20250626_1642156kll.jpeg")</f>
        <v>SIG-20250626_1642156kll.jpeg</v>
      </c>
      <c r="AT95" s="1" t="s">
        <v>137</v>
      </c>
      <c r="AU95" s="2" t="str">
        <f>HYPERLINK("https://icf.clappia.com/app/GMB253374/submission/DEE55383725/ICF247370-GMB253374-1ebbki12hnpi00000000/SIG-20250626_16428a8fk.jpeg", "SIG-20250626_16428a8fk.jpeg")</f>
        <v>SIG-20250626_16428a8fk.jpeg</v>
      </c>
      <c r="AV95" s="2" t="str">
        <f>HYPERLINK("https://www.google.com/maps/place/8.866889%2C-12.0430891", "8.866889,-12.0430891")</f>
        <v>8.866889,-12.0430891</v>
      </c>
    </row>
    <row r="96" ht="15.75" customHeight="1">
      <c r="A96" s="1" t="s">
        <v>608</v>
      </c>
      <c r="B96" s="1" t="s">
        <v>46</v>
      </c>
      <c r="C96" s="1" t="s">
        <v>386</v>
      </c>
      <c r="D96" s="1" t="s">
        <v>605</v>
      </c>
      <c r="E96" s="1" t="s">
        <v>609</v>
      </c>
      <c r="F96" s="1" t="s">
        <v>49</v>
      </c>
      <c r="G96" s="1">
        <v>250.0</v>
      </c>
      <c r="H96" s="1" t="s">
        <v>50</v>
      </c>
      <c r="I96" s="1">
        <v>42.0</v>
      </c>
      <c r="J96" s="1">
        <v>20.0</v>
      </c>
      <c r="K96" s="1">
        <v>20.0</v>
      </c>
      <c r="L96" s="1">
        <v>22.0</v>
      </c>
      <c r="M96" s="1">
        <v>22.0</v>
      </c>
      <c r="N96" s="1" t="s">
        <v>51</v>
      </c>
      <c r="O96" s="1">
        <v>50.0</v>
      </c>
      <c r="P96" s="1">
        <v>20.0</v>
      </c>
      <c r="Q96" s="1">
        <v>20.0</v>
      </c>
      <c r="R96" s="1">
        <v>30.0</v>
      </c>
      <c r="S96" s="1">
        <v>30.0</v>
      </c>
      <c r="T96" s="1" t="s">
        <v>52</v>
      </c>
      <c r="U96" s="1">
        <v>50.0</v>
      </c>
      <c r="V96" s="1">
        <v>27.0</v>
      </c>
      <c r="W96" s="1">
        <v>27.0</v>
      </c>
      <c r="X96" s="1">
        <v>23.0</v>
      </c>
      <c r="Y96" s="1">
        <v>23.0</v>
      </c>
      <c r="Z96" s="1" t="s">
        <v>53</v>
      </c>
      <c r="AA96" s="1">
        <v>50.0</v>
      </c>
      <c r="AB96" s="1">
        <v>20.0</v>
      </c>
      <c r="AC96" s="1">
        <v>20.0</v>
      </c>
      <c r="AD96" s="1">
        <v>30.0</v>
      </c>
      <c r="AE96" s="1">
        <v>30.0</v>
      </c>
      <c r="AF96" s="1" t="s">
        <v>54</v>
      </c>
      <c r="AG96" s="1">
        <v>50.0</v>
      </c>
      <c r="AH96" s="1">
        <v>20.0</v>
      </c>
      <c r="AI96" s="1">
        <v>20.0</v>
      </c>
      <c r="AJ96" s="1">
        <v>30.0</v>
      </c>
      <c r="AK96" s="1">
        <v>30.0</v>
      </c>
      <c r="AL96" s="1">
        <v>242.0</v>
      </c>
      <c r="AM96" s="1" t="s">
        <v>55</v>
      </c>
      <c r="AN96" s="1">
        <v>8.0</v>
      </c>
      <c r="AO96" s="1">
        <v>8.0</v>
      </c>
      <c r="AP96" s="1" t="s">
        <v>607</v>
      </c>
      <c r="AQ96" s="2" t="str">
        <f>HYPERLINK("https://icf.clappia.com/app/GMB253374/submission/YSE59877837/ICF247370-GMB253374-62mkn0cn7l6000000000/SIG-20250626_161517m5ad.jpeg", "SIG-20250626_161517m5ad.jpeg")</f>
        <v>SIG-20250626_161517m5ad.jpeg</v>
      </c>
      <c r="AR96" s="1" t="s">
        <v>287</v>
      </c>
      <c r="AS96" s="2" t="str">
        <f>HYPERLINK("https://icf.clappia.com/app/GMB253374/submission/YSE59877837/ICF247370-GMB253374-b0f61i6eohmg0000000/SIG-20250626_161562boo.jpeg", "SIG-20250626_161562boo.jpeg")</f>
        <v>SIG-20250626_161562boo.jpeg</v>
      </c>
      <c r="AT96" s="1" t="s">
        <v>610</v>
      </c>
      <c r="AU96" s="2" t="str">
        <f>HYPERLINK("https://icf.clappia.com/app/GMB253374/submission/YSE59877837/ICF247370-GMB253374-3h131g1ag6am00000000/SIG-20250626_1616mma78.jpeg", "SIG-20250626_1616mma78.jpeg")</f>
        <v>SIG-20250626_1616mma78.jpeg</v>
      </c>
      <c r="AV96" s="2" t="str">
        <f>HYPERLINK("https://www.google.com/maps/place/8.8656064%2C-12.0498283", "8.8656064,-12.0498283")</f>
        <v>8.8656064,-12.0498283</v>
      </c>
    </row>
    <row r="97" ht="15.75" customHeight="1">
      <c r="A97" s="1" t="s">
        <v>611</v>
      </c>
      <c r="B97" s="1" t="s">
        <v>46</v>
      </c>
      <c r="C97" s="1" t="s">
        <v>612</v>
      </c>
      <c r="D97" s="1" t="s">
        <v>612</v>
      </c>
      <c r="E97" s="1" t="s">
        <v>613</v>
      </c>
      <c r="F97" s="1" t="s">
        <v>64</v>
      </c>
      <c r="G97" s="1">
        <v>200.0</v>
      </c>
      <c r="H97" s="1" t="s">
        <v>50</v>
      </c>
      <c r="I97" s="1">
        <v>40.0</v>
      </c>
      <c r="J97" s="1">
        <v>15.0</v>
      </c>
      <c r="K97" s="1">
        <v>15.0</v>
      </c>
      <c r="L97" s="1">
        <v>25.0</v>
      </c>
      <c r="M97" s="1">
        <v>25.0</v>
      </c>
      <c r="N97" s="1" t="s">
        <v>51</v>
      </c>
      <c r="O97" s="1">
        <v>30.0</v>
      </c>
      <c r="P97" s="1">
        <v>15.0</v>
      </c>
      <c r="Q97" s="1">
        <v>15.0</v>
      </c>
      <c r="R97" s="1">
        <v>15.0</v>
      </c>
      <c r="S97" s="1">
        <v>15.0</v>
      </c>
      <c r="T97" s="1" t="s">
        <v>52</v>
      </c>
      <c r="U97" s="1">
        <v>50.0</v>
      </c>
      <c r="V97" s="1">
        <v>20.0</v>
      </c>
      <c r="W97" s="1">
        <v>20.0</v>
      </c>
      <c r="X97" s="1">
        <v>30.0</v>
      </c>
      <c r="Y97" s="1">
        <v>30.0</v>
      </c>
      <c r="Z97" s="1" t="s">
        <v>53</v>
      </c>
      <c r="AA97" s="1">
        <v>40.0</v>
      </c>
      <c r="AB97" s="1">
        <v>20.0</v>
      </c>
      <c r="AC97" s="1">
        <v>20.0</v>
      </c>
      <c r="AD97" s="1">
        <v>20.0</v>
      </c>
      <c r="AE97" s="1">
        <v>20.0</v>
      </c>
      <c r="AF97" s="1" t="s">
        <v>54</v>
      </c>
      <c r="AG97" s="1">
        <v>40.0</v>
      </c>
      <c r="AH97" s="1">
        <v>15.0</v>
      </c>
      <c r="AI97" s="1">
        <v>15.0</v>
      </c>
      <c r="AJ97" s="1">
        <v>25.0</v>
      </c>
      <c r="AK97" s="1">
        <v>25.0</v>
      </c>
      <c r="AL97" s="1">
        <v>200.0</v>
      </c>
      <c r="AM97" s="1" t="s">
        <v>55</v>
      </c>
      <c r="AN97" s="1" t="s">
        <v>55</v>
      </c>
      <c r="AO97" s="1" t="s">
        <v>55</v>
      </c>
      <c r="AP97" s="1" t="s">
        <v>614</v>
      </c>
      <c r="AQ97" s="2" t="str">
        <f>HYPERLINK("https://icf.clappia.com/app/GMB253374/submission/GJX17399454/ICF247370-GMB253374-1o9360p5507bg0000000/SIG-20250626_162511igm5.jpeg", "SIG-20250626_162511igm5.jpeg")</f>
        <v>SIG-20250626_162511igm5.jpeg</v>
      </c>
      <c r="AR97" s="1" t="s">
        <v>615</v>
      </c>
      <c r="AS97" s="2" t="str">
        <f>HYPERLINK("https://icf.clappia.com/app/GMB253374/submission/GJX17399454/ICF247370-GMB253374-1cla3dklc50240000000/SIG-20250626_162514ch16.jpeg", "SIG-20250626_162514ch16.jpeg")</f>
        <v>SIG-20250626_162514ch16.jpeg</v>
      </c>
      <c r="AT97" s="1" t="s">
        <v>616</v>
      </c>
      <c r="AU97" s="2" t="str">
        <f>HYPERLINK("https://icf.clappia.com/app/GMB253374/submission/GJX17399454/ICF247370-GMB253374-54567ep06g7200000000/SIG-20250626_162619g36h.jpeg", "SIG-20250626_162619g36h.jpeg")</f>
        <v>SIG-20250626_162619g36h.jpeg</v>
      </c>
      <c r="AV97" s="2" t="str">
        <f>HYPERLINK("https://www.google.com/maps/place/8.8666221%2C-12.0512994", "8.8666221,-12.0512994")</f>
        <v>8.8666221,-12.0512994</v>
      </c>
    </row>
    <row r="98" ht="15.75" customHeight="1">
      <c r="A98" s="1" t="s">
        <v>617</v>
      </c>
      <c r="B98" s="1" t="s">
        <v>511</v>
      </c>
      <c r="C98" s="1" t="s">
        <v>618</v>
      </c>
      <c r="D98" s="1" t="s">
        <v>619</v>
      </c>
      <c r="E98" s="1" t="s">
        <v>620</v>
      </c>
      <c r="F98" s="1" t="s">
        <v>64</v>
      </c>
      <c r="G98" s="1">
        <v>250.0</v>
      </c>
      <c r="H98" s="1" t="s">
        <v>50</v>
      </c>
      <c r="I98" s="1">
        <v>50.0</v>
      </c>
      <c r="J98" s="1">
        <v>30.0</v>
      </c>
      <c r="K98" s="1">
        <v>25.0</v>
      </c>
      <c r="L98" s="1">
        <v>20.0</v>
      </c>
      <c r="M98" s="1">
        <v>18.0</v>
      </c>
      <c r="N98" s="1" t="s">
        <v>51</v>
      </c>
      <c r="O98" s="1">
        <v>46.0</v>
      </c>
      <c r="P98" s="1">
        <v>26.0</v>
      </c>
      <c r="Q98" s="1">
        <v>20.0</v>
      </c>
      <c r="R98" s="1">
        <v>20.0</v>
      </c>
      <c r="S98" s="1">
        <v>20.0</v>
      </c>
      <c r="T98" s="1" t="s">
        <v>52</v>
      </c>
      <c r="U98" s="1">
        <v>60.0</v>
      </c>
      <c r="V98" s="1">
        <v>30.0</v>
      </c>
      <c r="W98" s="1">
        <v>30.0</v>
      </c>
      <c r="X98" s="1">
        <v>30.0</v>
      </c>
      <c r="Y98" s="1">
        <v>30.0</v>
      </c>
      <c r="Z98" s="1" t="s">
        <v>53</v>
      </c>
      <c r="AA98" s="1">
        <v>25.0</v>
      </c>
      <c r="AB98" s="1">
        <v>15.0</v>
      </c>
      <c r="AC98" s="1">
        <v>15.0</v>
      </c>
      <c r="AD98" s="1">
        <v>10.0</v>
      </c>
      <c r="AE98" s="1">
        <v>10.0</v>
      </c>
      <c r="AF98" s="1" t="s">
        <v>54</v>
      </c>
      <c r="AG98" s="1">
        <v>32.0</v>
      </c>
      <c r="AH98" s="1">
        <v>16.0</v>
      </c>
      <c r="AI98" s="1">
        <v>16.0</v>
      </c>
      <c r="AJ98" s="1">
        <v>16.0</v>
      </c>
      <c r="AK98" s="1">
        <v>16.0</v>
      </c>
      <c r="AL98" s="1">
        <v>200.0</v>
      </c>
      <c r="AM98" s="1" t="s">
        <v>55</v>
      </c>
      <c r="AN98" s="1">
        <v>50.0</v>
      </c>
      <c r="AO98" s="1">
        <v>50.0</v>
      </c>
      <c r="AP98" s="1" t="s">
        <v>621</v>
      </c>
      <c r="AQ98" s="2" t="str">
        <f>HYPERLINK("https://icf.clappia.com/app/GMB253374/submission/WAS34196021/ICF247370-GMB253374-11dp6o4hgf58k0000000/SIG-20250626_163617d13k.jpeg", "SIG-20250626_163617d13k.jpeg")</f>
        <v>SIG-20250626_163617d13k.jpeg</v>
      </c>
      <c r="AR98" s="1" t="s">
        <v>622</v>
      </c>
      <c r="AS98" s="2" t="str">
        <f>HYPERLINK("https://icf.clappia.com/app/GMB253374/submission/WAS34196021/ICF247370-GMB253374-1f48h3nbhomja0000000/SIG-20250626_1636mcd02.jpeg", "SIG-20250626_1636mcd02.jpeg")</f>
        <v>SIG-20250626_1636mcd02.jpeg</v>
      </c>
      <c r="AT98" s="1" t="s">
        <v>623</v>
      </c>
      <c r="AU98" s="2" t="str">
        <f>HYPERLINK("https://icf.clappia.com/app/GMB253374/submission/WAS34196021/ICF247370-GMB253374-24o78co8d38lm0000000/SIG-20250626_1636532n9.jpeg", "SIG-20250626_1636532n9.jpeg")</f>
        <v>SIG-20250626_1636532n9.jpeg</v>
      </c>
      <c r="AV98" s="2" t="str">
        <f>HYPERLINK("https://www.google.com/maps/place/7.9642224%2C-11.7438736", "7.9642224,-11.7438736")</f>
        <v>7.9642224,-11.7438736</v>
      </c>
    </row>
    <row r="99" ht="15.75" customHeight="1">
      <c r="A99" s="1" t="s">
        <v>624</v>
      </c>
      <c r="B99" s="1" t="s">
        <v>46</v>
      </c>
      <c r="C99" s="1" t="s">
        <v>361</v>
      </c>
      <c r="D99" s="1" t="s">
        <v>619</v>
      </c>
      <c r="E99" s="1" t="s">
        <v>625</v>
      </c>
      <c r="F99" s="1" t="s">
        <v>64</v>
      </c>
      <c r="G99" s="1">
        <v>250.0</v>
      </c>
      <c r="H99" s="1" t="s">
        <v>50</v>
      </c>
      <c r="I99" s="1">
        <v>50.0</v>
      </c>
      <c r="J99" s="1">
        <v>25.0</v>
      </c>
      <c r="K99" s="1">
        <v>24.0</v>
      </c>
      <c r="L99" s="1">
        <v>25.0</v>
      </c>
      <c r="M99" s="1">
        <v>24.0</v>
      </c>
      <c r="N99" s="1" t="s">
        <v>51</v>
      </c>
      <c r="O99" s="1">
        <v>50.0</v>
      </c>
      <c r="P99" s="1">
        <v>25.0</v>
      </c>
      <c r="Q99" s="1">
        <v>24.0</v>
      </c>
      <c r="R99" s="1">
        <v>25.0</v>
      </c>
      <c r="S99" s="1">
        <v>24.0</v>
      </c>
      <c r="T99" s="1" t="s">
        <v>52</v>
      </c>
      <c r="U99" s="1">
        <v>50.0</v>
      </c>
      <c r="V99" s="1">
        <v>25.0</v>
      </c>
      <c r="W99" s="1">
        <v>24.0</v>
      </c>
      <c r="X99" s="1">
        <v>25.0</v>
      </c>
      <c r="Y99" s="1">
        <v>24.0</v>
      </c>
      <c r="Z99" s="1" t="s">
        <v>53</v>
      </c>
      <c r="AA99" s="1">
        <v>50.0</v>
      </c>
      <c r="AB99" s="1">
        <v>25.0</v>
      </c>
      <c r="AC99" s="1">
        <v>24.0</v>
      </c>
      <c r="AD99" s="1">
        <v>25.0</v>
      </c>
      <c r="AE99" s="1">
        <v>24.0</v>
      </c>
      <c r="AF99" s="1" t="s">
        <v>54</v>
      </c>
      <c r="AG99" s="1">
        <v>50.0</v>
      </c>
      <c r="AH99" s="1">
        <v>25.0</v>
      </c>
      <c r="AI99" s="1">
        <v>24.0</v>
      </c>
      <c r="AJ99" s="1">
        <v>25.0</v>
      </c>
      <c r="AK99" s="1">
        <v>24.0</v>
      </c>
      <c r="AL99" s="1">
        <v>240.0</v>
      </c>
      <c r="AM99" s="1">
        <v>10.0</v>
      </c>
      <c r="AN99" s="1" t="s">
        <v>55</v>
      </c>
      <c r="AO99" s="1" t="s">
        <v>55</v>
      </c>
      <c r="AP99" s="1" t="s">
        <v>626</v>
      </c>
      <c r="AQ99" s="2" t="str">
        <f>HYPERLINK("https://icf.clappia.com/app/GMB253374/submission/CYO25860710/ICF247370-GMB253374-1j82m9bd6eidm0000000/SIG-20250626_1645ca4n9.jpeg", "SIG-20250626_1645ca4n9.jpeg")</f>
        <v>SIG-20250626_1645ca4n9.jpeg</v>
      </c>
      <c r="AR99" s="1" t="s">
        <v>353</v>
      </c>
      <c r="AS99" s="2" t="str">
        <f>HYPERLINK("https://icf.clappia.com/app/GMB253374/submission/CYO25860710/ICF247370-GMB253374-37kdnf1d88jo00000000/SIG-20250626_1645n5akn.jpeg", "SIG-20250626_1645n5akn.jpeg")</f>
        <v>SIG-20250626_1645n5akn.jpeg</v>
      </c>
      <c r="AT99" s="1" t="s">
        <v>627</v>
      </c>
      <c r="AU99" s="2" t="str">
        <f>HYPERLINK("https://icf.clappia.com/app/GMB253374/submission/CYO25860710/ICF247370-GMB253374-34i1b3bp3a1k0000000/SIG-20250626_16455b6nm.jpeg", "SIG-20250626_16455b6nm.jpeg")</f>
        <v>SIG-20250626_16455b6nm.jpeg</v>
      </c>
      <c r="AV99" s="2" t="str">
        <f>HYPERLINK("https://www.google.com/maps/place/8.867094%2C-12.0513469", "8.867094,-12.0513469")</f>
        <v>8.867094,-12.0513469</v>
      </c>
    </row>
    <row r="100" ht="15.75" customHeight="1">
      <c r="A100" s="1" t="s">
        <v>628</v>
      </c>
      <c r="B100" s="1" t="s">
        <v>511</v>
      </c>
      <c r="C100" s="1" t="s">
        <v>629</v>
      </c>
      <c r="D100" s="1" t="s">
        <v>619</v>
      </c>
      <c r="E100" s="1" t="s">
        <v>630</v>
      </c>
      <c r="F100" s="1" t="s">
        <v>64</v>
      </c>
      <c r="G100" s="1">
        <v>300.0</v>
      </c>
      <c r="H100" s="1" t="s">
        <v>50</v>
      </c>
      <c r="I100" s="1">
        <v>50.0</v>
      </c>
      <c r="J100" s="1">
        <v>30.0</v>
      </c>
      <c r="K100" s="1">
        <v>20.0</v>
      </c>
      <c r="L100" s="1">
        <v>20.0</v>
      </c>
      <c r="M100" s="1">
        <v>15.0</v>
      </c>
      <c r="N100" s="1" t="s">
        <v>51</v>
      </c>
      <c r="O100" s="1">
        <v>30.0</v>
      </c>
      <c r="P100" s="1">
        <v>15.0</v>
      </c>
      <c r="Q100" s="1">
        <v>15.0</v>
      </c>
      <c r="R100" s="1">
        <v>15.0</v>
      </c>
      <c r="S100" s="1">
        <v>15.0</v>
      </c>
      <c r="T100" s="1" t="s">
        <v>52</v>
      </c>
      <c r="U100" s="1">
        <v>40.0</v>
      </c>
      <c r="V100" s="1">
        <v>25.0</v>
      </c>
      <c r="W100" s="1">
        <v>20.0</v>
      </c>
      <c r="X100" s="1">
        <v>15.0</v>
      </c>
      <c r="Y100" s="1">
        <v>10.0</v>
      </c>
      <c r="Z100" s="1" t="s">
        <v>53</v>
      </c>
      <c r="AA100" s="1">
        <v>55.0</v>
      </c>
      <c r="AB100" s="1">
        <v>30.0</v>
      </c>
      <c r="AC100" s="1">
        <v>30.0</v>
      </c>
      <c r="AD100" s="1">
        <v>25.0</v>
      </c>
      <c r="AE100" s="1">
        <v>25.0</v>
      </c>
      <c r="AF100" s="1" t="s">
        <v>54</v>
      </c>
      <c r="AG100" s="1">
        <v>100.0</v>
      </c>
      <c r="AH100" s="1">
        <v>50.0</v>
      </c>
      <c r="AI100" s="1">
        <v>50.0</v>
      </c>
      <c r="AJ100" s="1">
        <v>50.0</v>
      </c>
      <c r="AK100" s="1">
        <v>50.0</v>
      </c>
      <c r="AL100" s="1">
        <v>250.0</v>
      </c>
      <c r="AM100" s="1">
        <v>10.0</v>
      </c>
      <c r="AN100" s="1">
        <v>40.0</v>
      </c>
      <c r="AO100" s="1">
        <v>40.0</v>
      </c>
      <c r="AP100" s="1" t="s">
        <v>631</v>
      </c>
      <c r="AQ100" s="2" t="str">
        <f>HYPERLINK("https://icf.clappia.com/app/GMB253374/submission/VRX89344853/ICF247370-GMB253374-612meh0mfj0o00000000/SIG-20250626_1545i976p.jpeg", "SIG-20250626_1545i976p.jpeg")</f>
        <v>SIG-20250626_1545i976p.jpeg</v>
      </c>
      <c r="AR100" s="1" t="s">
        <v>632</v>
      </c>
      <c r="AS100" s="2" t="str">
        <f>HYPERLINK("https://icf.clappia.com/app/GMB253374/submission/VRX89344853/ICF247370-GMB253374-ineg49cgp2000000000/SIG-20250626_154510ck5d.jpeg", "SIG-20250626_154510ck5d.jpeg")</f>
        <v>SIG-20250626_154510ck5d.jpeg</v>
      </c>
      <c r="AT100" s="1" t="s">
        <v>633</v>
      </c>
      <c r="AU100" s="2" t="str">
        <f>HYPERLINK("https://icf.clappia.com/app/GMB253374/submission/VRX89344853/ICF247370-GMB253374-ej9m649b73da0000000/SIG-20250626_15463b3mn.jpeg", "SIG-20250626_15463b3mn.jpeg")</f>
        <v>SIG-20250626_15463b3mn.jpeg</v>
      </c>
      <c r="AV100" s="2" t="str">
        <f>HYPERLINK("https://www.google.com/maps/place/7.9642617%2C-11.744118", "7.9642617,-11.744118")</f>
        <v>7.9642617,-11.744118</v>
      </c>
    </row>
    <row r="101" ht="15.75" customHeight="1">
      <c r="A101" s="1" t="s">
        <v>634</v>
      </c>
      <c r="B101" s="1" t="s">
        <v>46</v>
      </c>
      <c r="C101" s="1" t="s">
        <v>619</v>
      </c>
      <c r="D101" s="1" t="s">
        <v>619</v>
      </c>
      <c r="E101" s="1" t="s">
        <v>635</v>
      </c>
      <c r="F101" s="1" t="s">
        <v>64</v>
      </c>
      <c r="G101" s="1">
        <v>500.0</v>
      </c>
      <c r="H101" s="1" t="s">
        <v>50</v>
      </c>
      <c r="I101" s="1">
        <v>100.0</v>
      </c>
      <c r="J101" s="1">
        <v>50.0</v>
      </c>
      <c r="K101" s="1">
        <v>49.0</v>
      </c>
      <c r="L101" s="1">
        <v>50.0</v>
      </c>
      <c r="M101" s="1">
        <v>48.0</v>
      </c>
      <c r="N101" s="1" t="s">
        <v>51</v>
      </c>
      <c r="O101" s="1">
        <v>100.0</v>
      </c>
      <c r="P101" s="1">
        <v>50.0</v>
      </c>
      <c r="Q101" s="1">
        <v>48.0</v>
      </c>
      <c r="R101" s="1">
        <v>50.0</v>
      </c>
      <c r="S101" s="1">
        <v>50.0</v>
      </c>
      <c r="T101" s="1" t="s">
        <v>52</v>
      </c>
      <c r="U101" s="1">
        <v>100.0</v>
      </c>
      <c r="V101" s="1">
        <v>50.0</v>
      </c>
      <c r="W101" s="1">
        <v>49.0</v>
      </c>
      <c r="X101" s="1">
        <v>50.0</v>
      </c>
      <c r="Y101" s="1">
        <v>49.0</v>
      </c>
      <c r="Z101" s="1" t="s">
        <v>53</v>
      </c>
      <c r="AA101" s="1">
        <v>100.0</v>
      </c>
      <c r="AB101" s="1">
        <v>50.0</v>
      </c>
      <c r="AC101" s="1">
        <v>49.0</v>
      </c>
      <c r="AD101" s="1">
        <v>50.0</v>
      </c>
      <c r="AE101" s="1">
        <v>50.0</v>
      </c>
      <c r="AF101" s="1" t="s">
        <v>54</v>
      </c>
      <c r="AG101" s="1">
        <v>100.0</v>
      </c>
      <c r="AH101" s="1">
        <v>50.0</v>
      </c>
      <c r="AI101" s="1">
        <v>48.0</v>
      </c>
      <c r="AJ101" s="1">
        <v>50.0</v>
      </c>
      <c r="AK101" s="1">
        <v>49.0</v>
      </c>
      <c r="AL101" s="1">
        <v>489.0</v>
      </c>
      <c r="AM101" s="1" t="s">
        <v>55</v>
      </c>
      <c r="AN101" s="1">
        <v>11.0</v>
      </c>
      <c r="AO101" s="1">
        <v>11.0</v>
      </c>
      <c r="AP101" s="1" t="s">
        <v>636</v>
      </c>
      <c r="AQ101" s="2" t="str">
        <f>HYPERLINK("https://icf.clappia.com/app/GMB253374/submission/UCS78393403/ICF247370-GMB253374-3dn1k81oj8lk00000000/SIG-20250626_161512m86k.jpeg", "SIG-20250626_161512m86k.jpeg")</f>
        <v>SIG-20250626_161512m86k.jpeg</v>
      </c>
      <c r="AR101" s="1" t="s">
        <v>637</v>
      </c>
      <c r="AS101" s="2" t="str">
        <f>HYPERLINK("https://icf.clappia.com/app/GMB253374/submission/UCS78393403/ICF247370-GMB253374-gh0c1l7222k00000000/SIG-20250626_16164dhl0.jpeg", "SIG-20250626_16164dhl0.jpeg")</f>
        <v>SIG-20250626_16164dhl0.jpeg</v>
      </c>
      <c r="AT101" s="1" t="s">
        <v>638</v>
      </c>
      <c r="AU101" s="2" t="str">
        <f>HYPERLINK("https://icf.clappia.com/app/GMB253374/submission/UCS78393403/ICF247370-GMB253374-30ih5jhj727200000000/SIG-20250626_16174epf0.jpeg", "SIG-20250626_16174epf0.jpeg")</f>
        <v>SIG-20250626_16174epf0.jpeg</v>
      </c>
      <c r="AV101" s="2" t="str">
        <f>HYPERLINK("https://www.google.com/maps/place/7.9662698%2C-11.7405942", "7.9662698,-11.7405942")</f>
        <v>7.9662698,-11.7405942</v>
      </c>
    </row>
    <row r="102" ht="15.75" customHeight="1">
      <c r="A102" s="1" t="s">
        <v>639</v>
      </c>
      <c r="B102" s="1" t="s">
        <v>46</v>
      </c>
      <c r="C102" s="1" t="s">
        <v>640</v>
      </c>
      <c r="D102" s="1" t="s">
        <v>641</v>
      </c>
      <c r="E102" s="1" t="s">
        <v>642</v>
      </c>
      <c r="F102" s="1" t="s">
        <v>64</v>
      </c>
      <c r="G102" s="1">
        <v>250.0</v>
      </c>
      <c r="H102" s="1" t="s">
        <v>50</v>
      </c>
      <c r="I102" s="1">
        <v>50.0</v>
      </c>
      <c r="J102" s="1">
        <v>25.0</v>
      </c>
      <c r="K102" s="1">
        <v>24.0</v>
      </c>
      <c r="L102" s="1">
        <v>25.0</v>
      </c>
      <c r="M102" s="1">
        <v>24.0</v>
      </c>
      <c r="N102" s="1" t="s">
        <v>51</v>
      </c>
      <c r="O102" s="1">
        <v>50.0</v>
      </c>
      <c r="P102" s="1">
        <v>25.0</v>
      </c>
      <c r="Q102" s="1">
        <v>24.0</v>
      </c>
      <c r="R102" s="1">
        <v>25.0</v>
      </c>
      <c r="S102" s="1">
        <v>24.0</v>
      </c>
      <c r="T102" s="1" t="s">
        <v>52</v>
      </c>
      <c r="U102" s="1">
        <v>50.0</v>
      </c>
      <c r="V102" s="1">
        <v>25.0</v>
      </c>
      <c r="W102" s="1">
        <v>24.0</v>
      </c>
      <c r="X102" s="1">
        <v>25.0</v>
      </c>
      <c r="Y102" s="1">
        <v>24.0</v>
      </c>
      <c r="Z102" s="1" t="s">
        <v>53</v>
      </c>
      <c r="AA102" s="1">
        <v>50.0</v>
      </c>
      <c r="AB102" s="1">
        <v>25.0</v>
      </c>
      <c r="AC102" s="1">
        <v>24.0</v>
      </c>
      <c r="AD102" s="1">
        <v>25.0</v>
      </c>
      <c r="AE102" s="1">
        <v>24.0</v>
      </c>
      <c r="AF102" s="1" t="s">
        <v>54</v>
      </c>
      <c r="AG102" s="1">
        <v>50.0</v>
      </c>
      <c r="AH102" s="1">
        <v>25.0</v>
      </c>
      <c r="AI102" s="1">
        <v>24.0</v>
      </c>
      <c r="AJ102" s="1">
        <v>25.0</v>
      </c>
      <c r="AK102" s="1">
        <v>24.0</v>
      </c>
      <c r="AL102" s="1">
        <v>240.0</v>
      </c>
      <c r="AM102" s="1">
        <v>10.0</v>
      </c>
      <c r="AN102" s="1" t="s">
        <v>55</v>
      </c>
      <c r="AO102" s="1" t="s">
        <v>55</v>
      </c>
      <c r="AP102" s="1" t="s">
        <v>643</v>
      </c>
      <c r="AQ102" s="2" t="str">
        <f>HYPERLINK("https://icf.clappia.com/app/GMB253374/submission/IHM61374785/ICF247370-GMB253374-653cc2b4l8og00000000/SIG-20250626_162314m15m.jpeg", "SIG-20250626_162314m15m.jpeg")</f>
        <v>SIG-20250626_162314m15m.jpeg</v>
      </c>
      <c r="AR102" s="1" t="s">
        <v>626</v>
      </c>
      <c r="AS102" s="2" t="str">
        <f>HYPERLINK("https://icf.clappia.com/app/GMB253374/submission/IHM61374785/ICF247370-GMB253374-5531aplm8a4800000000/SIG-20250626_1624f25c0.jpeg", "SIG-20250626_1624f25c0.jpeg")</f>
        <v>SIG-20250626_1624f25c0.jpeg</v>
      </c>
      <c r="AT102" s="1" t="s">
        <v>644</v>
      </c>
      <c r="AU102" s="2" t="str">
        <f>HYPERLINK("https://icf.clappia.com/app/GMB253374/submission/IHM61374785/ICF247370-GMB253374-dd5409j5p9n60000000/SIG-20250626_16243ep6f.jpeg", "SIG-20250626_16243ep6f.jpeg")</f>
        <v>SIG-20250626_16243ep6f.jpeg</v>
      </c>
      <c r="AV102" s="2" t="str">
        <f>HYPERLINK("https://www.google.com/maps/place/8.8655649%2C-12.0498502", "8.8655649,-12.0498502")</f>
        <v>8.8655649,-12.0498502</v>
      </c>
    </row>
    <row r="103" ht="15.75" customHeight="1">
      <c r="A103" s="1" t="s">
        <v>645</v>
      </c>
      <c r="B103" s="1" t="s">
        <v>46</v>
      </c>
      <c r="C103" s="1" t="s">
        <v>641</v>
      </c>
      <c r="D103" s="1" t="s">
        <v>641</v>
      </c>
      <c r="E103" s="1" t="s">
        <v>646</v>
      </c>
      <c r="F103" s="1" t="s">
        <v>64</v>
      </c>
      <c r="G103" s="1">
        <v>100.0</v>
      </c>
      <c r="H103" s="1" t="s">
        <v>50</v>
      </c>
      <c r="I103" s="1">
        <v>19.0</v>
      </c>
      <c r="J103" s="1">
        <v>9.0</v>
      </c>
      <c r="K103" s="1">
        <v>9.0</v>
      </c>
      <c r="L103" s="1">
        <v>10.0</v>
      </c>
      <c r="M103" s="1">
        <v>10.0</v>
      </c>
      <c r="N103" s="1" t="s">
        <v>51</v>
      </c>
      <c r="O103" s="1">
        <v>20.0</v>
      </c>
      <c r="P103" s="1">
        <v>10.0</v>
      </c>
      <c r="Q103" s="1">
        <v>9.0</v>
      </c>
      <c r="R103" s="1">
        <v>10.0</v>
      </c>
      <c r="S103" s="1">
        <v>8.0</v>
      </c>
      <c r="T103" s="1" t="s">
        <v>52</v>
      </c>
      <c r="U103" s="1">
        <v>15.0</v>
      </c>
      <c r="V103" s="1">
        <v>7.0</v>
      </c>
      <c r="W103" s="1">
        <v>7.0</v>
      </c>
      <c r="X103" s="1">
        <v>8.0</v>
      </c>
      <c r="Y103" s="1">
        <v>8.0</v>
      </c>
      <c r="Z103" s="1" t="s">
        <v>53</v>
      </c>
      <c r="AA103" s="1">
        <v>15.0</v>
      </c>
      <c r="AB103" s="1">
        <v>5.0</v>
      </c>
      <c r="AC103" s="1">
        <v>5.0</v>
      </c>
      <c r="AD103" s="1">
        <v>10.0</v>
      </c>
      <c r="AE103" s="1">
        <v>10.0</v>
      </c>
      <c r="AF103" s="1" t="s">
        <v>54</v>
      </c>
      <c r="AG103" s="1">
        <v>10.0</v>
      </c>
      <c r="AH103" s="1">
        <v>6.0</v>
      </c>
      <c r="AI103" s="1">
        <v>4.0</v>
      </c>
      <c r="AJ103" s="1">
        <v>4.0</v>
      </c>
      <c r="AK103" s="1">
        <v>4.0</v>
      </c>
      <c r="AL103" s="1">
        <v>74.0</v>
      </c>
      <c r="AM103" s="1">
        <v>10.0</v>
      </c>
      <c r="AN103" s="1">
        <v>16.0</v>
      </c>
      <c r="AO103" s="1">
        <v>16.0</v>
      </c>
      <c r="AP103" s="1" t="s">
        <v>647</v>
      </c>
      <c r="AQ103" s="2" t="str">
        <f>HYPERLINK("https://icf.clappia.com/app/GMB253374/submission/LFQ72855440/ICF247370-GMB253374-37ool35kifdm00000000/SIG-20250626_164564m06.jpeg", "SIG-20250626_164564m06.jpeg")</f>
        <v>SIG-20250626_164564m06.jpeg</v>
      </c>
      <c r="AR103" s="1" t="s">
        <v>648</v>
      </c>
      <c r="AS103" s="2" t="str">
        <f>HYPERLINK("https://icf.clappia.com/app/GMB253374/submission/LFQ72855440/ICF247370-GMB253374-2h9oojdk172a00000000/SIG-20250626_164611l3f6.jpeg", "SIG-20250626_164611l3f6.jpeg")</f>
        <v>SIG-20250626_164611l3f6.jpeg</v>
      </c>
      <c r="AT103" s="1" t="s">
        <v>649</v>
      </c>
      <c r="AU103" s="2" t="str">
        <f>HYPERLINK("https://icf.clappia.com/app/GMB253374/submission/LFQ72855440/ICF247370-GMB253374-35d1lldk91f000000000/SIG-20250626_164619k645.jpeg", "SIG-20250626_164619k645.jpeg")</f>
        <v>SIG-20250626_164619k645.jpeg</v>
      </c>
      <c r="AV103" s="2" t="str">
        <f>HYPERLINK("https://www.google.com/maps/place/7.9647956%2C-11.7380514", "7.9647956,-11.7380514")</f>
        <v>7.9647956,-11.7380514</v>
      </c>
    </row>
    <row r="104" ht="15.75" customHeight="1">
      <c r="A104" s="1" t="s">
        <v>650</v>
      </c>
      <c r="B104" s="1" t="s">
        <v>46</v>
      </c>
      <c r="C104" s="1" t="s">
        <v>641</v>
      </c>
      <c r="D104" s="1" t="s">
        <v>641</v>
      </c>
      <c r="E104" s="1" t="s">
        <v>651</v>
      </c>
      <c r="F104" s="1" t="s">
        <v>64</v>
      </c>
      <c r="G104" s="1">
        <v>249.0</v>
      </c>
      <c r="H104" s="1" t="s">
        <v>50</v>
      </c>
      <c r="I104" s="1">
        <v>53.0</v>
      </c>
      <c r="J104" s="1">
        <v>25.0</v>
      </c>
      <c r="K104" s="1">
        <v>25.0</v>
      </c>
      <c r="L104" s="1">
        <v>28.0</v>
      </c>
      <c r="M104" s="1">
        <v>28.0</v>
      </c>
      <c r="N104" s="1" t="s">
        <v>51</v>
      </c>
      <c r="O104" s="1">
        <v>49.0</v>
      </c>
      <c r="P104" s="1">
        <v>24.0</v>
      </c>
      <c r="Q104" s="1">
        <v>24.0</v>
      </c>
      <c r="R104" s="1">
        <v>25.0</v>
      </c>
      <c r="S104" s="1">
        <v>25.0</v>
      </c>
      <c r="T104" s="1" t="s">
        <v>52</v>
      </c>
      <c r="U104" s="1">
        <v>49.0</v>
      </c>
      <c r="V104" s="1">
        <v>25.0</v>
      </c>
      <c r="W104" s="1">
        <v>25.0</v>
      </c>
      <c r="X104" s="1">
        <v>24.0</v>
      </c>
      <c r="Y104" s="1">
        <v>24.0</v>
      </c>
      <c r="Z104" s="1" t="s">
        <v>53</v>
      </c>
      <c r="AA104" s="1">
        <v>49.0</v>
      </c>
      <c r="AB104" s="1">
        <v>24.0</v>
      </c>
      <c r="AC104" s="1">
        <v>24.0</v>
      </c>
      <c r="AD104" s="1">
        <v>25.0</v>
      </c>
      <c r="AE104" s="1">
        <v>25.0</v>
      </c>
      <c r="AF104" s="1" t="s">
        <v>54</v>
      </c>
      <c r="AG104" s="1">
        <v>49.0</v>
      </c>
      <c r="AH104" s="1">
        <v>25.0</v>
      </c>
      <c r="AI104" s="1">
        <v>25.0</v>
      </c>
      <c r="AJ104" s="1">
        <v>24.0</v>
      </c>
      <c r="AK104" s="1">
        <v>24.0</v>
      </c>
      <c r="AL104" s="1">
        <v>249.0</v>
      </c>
      <c r="AM104" s="1" t="s">
        <v>55</v>
      </c>
      <c r="AN104" s="1" t="s">
        <v>55</v>
      </c>
      <c r="AO104" s="1" t="s">
        <v>55</v>
      </c>
      <c r="AP104" s="1" t="s">
        <v>652</v>
      </c>
      <c r="AQ104" s="2" t="str">
        <f>HYPERLINK("https://icf.clappia.com/app/GMB253374/submission/PEB59500750/ICF247370-GMB253374-25i9aegl1hha00000000/SIG-20250626_164514h455.jpeg", "SIG-20250626_164514h455.jpeg")</f>
        <v>SIG-20250626_164514h455.jpeg</v>
      </c>
      <c r="AR104" s="1" t="s">
        <v>653</v>
      </c>
      <c r="AS104" s="2" t="str">
        <f>HYPERLINK("https://icf.clappia.com/app/GMB253374/submission/PEB59500750/ICF247370-GMB253374-2oii9a6iadlc00000000/SIG-20250626_1646653aa.jpeg", "SIG-20250626_1646653aa.jpeg")</f>
        <v>SIG-20250626_1646653aa.jpeg</v>
      </c>
      <c r="AT104" s="1" t="s">
        <v>654</v>
      </c>
      <c r="AU104" s="2" t="str">
        <f>HYPERLINK("https://icf.clappia.com/app/GMB253374/submission/PEB59500750/ICF247370-GMB253374-59gh2glk25e600000000/SIG-20250626_164714boag.jpeg", "SIG-20250626_164714boag.jpeg")</f>
        <v>SIG-20250626_164714boag.jpeg</v>
      </c>
      <c r="AV104" s="2" t="str">
        <f>HYPERLINK("https://www.google.com/maps/place/8.8646503%2C-12.0495145", "8.8646503,-12.0495145")</f>
        <v>8.8646503,-12.0495145</v>
      </c>
    </row>
    <row r="105" ht="15.75" customHeight="1">
      <c r="A105" s="1" t="s">
        <v>655</v>
      </c>
      <c r="B105" s="1" t="s">
        <v>46</v>
      </c>
      <c r="C105" s="1" t="s">
        <v>361</v>
      </c>
      <c r="D105" s="1" t="s">
        <v>361</v>
      </c>
      <c r="E105" s="1" t="s">
        <v>656</v>
      </c>
      <c r="F105" s="1" t="s">
        <v>64</v>
      </c>
      <c r="G105" s="1">
        <v>400.0</v>
      </c>
      <c r="H105" s="1" t="s">
        <v>50</v>
      </c>
      <c r="I105" s="1">
        <v>50.0</v>
      </c>
      <c r="J105" s="1">
        <v>23.0</v>
      </c>
      <c r="K105" s="1">
        <v>23.0</v>
      </c>
      <c r="L105" s="1">
        <v>27.0</v>
      </c>
      <c r="M105" s="1">
        <v>27.0</v>
      </c>
      <c r="N105" s="1" t="s">
        <v>51</v>
      </c>
      <c r="O105" s="1">
        <v>100.0</v>
      </c>
      <c r="P105" s="1">
        <v>50.0</v>
      </c>
      <c r="Q105" s="1">
        <v>50.0</v>
      </c>
      <c r="R105" s="1">
        <v>50.0</v>
      </c>
      <c r="S105" s="1">
        <v>50.0</v>
      </c>
      <c r="T105" s="1" t="s">
        <v>52</v>
      </c>
      <c r="U105" s="1">
        <v>100.0</v>
      </c>
      <c r="V105" s="1">
        <v>35.0</v>
      </c>
      <c r="W105" s="1">
        <v>35.0</v>
      </c>
      <c r="X105" s="1">
        <v>65.0</v>
      </c>
      <c r="Y105" s="1">
        <v>65.0</v>
      </c>
      <c r="Z105" s="1" t="s">
        <v>53</v>
      </c>
      <c r="AA105" s="1">
        <v>50.0</v>
      </c>
      <c r="AB105" s="1">
        <v>25.0</v>
      </c>
      <c r="AC105" s="1">
        <v>25.0</v>
      </c>
      <c r="AD105" s="1">
        <v>25.0</v>
      </c>
      <c r="AE105" s="1">
        <v>25.0</v>
      </c>
      <c r="AF105" s="1" t="s">
        <v>54</v>
      </c>
      <c r="AG105" s="1">
        <v>100.0</v>
      </c>
      <c r="AH105" s="1">
        <v>30.0</v>
      </c>
      <c r="AI105" s="1">
        <v>30.0</v>
      </c>
      <c r="AJ105" s="1">
        <v>70.0</v>
      </c>
      <c r="AK105" s="1">
        <v>70.0</v>
      </c>
      <c r="AL105" s="1">
        <v>400.0</v>
      </c>
      <c r="AM105" s="1" t="s">
        <v>55</v>
      </c>
      <c r="AN105" s="1" t="s">
        <v>55</v>
      </c>
      <c r="AO105" s="1" t="s">
        <v>55</v>
      </c>
      <c r="AP105" s="1" t="s">
        <v>657</v>
      </c>
      <c r="AQ105" s="2" t="str">
        <f>HYPERLINK("https://icf.clappia.com/app/GMB253374/submission/UYQ78483978/ICF247370-GMB253374-4pn1gc6d9j4g00000000/SIG-20250626_16461a5pml.jpeg", "SIG-20250626_16461a5pml.jpeg")</f>
        <v>SIG-20250626_16461a5pml.jpeg</v>
      </c>
      <c r="AR105" s="1" t="s">
        <v>658</v>
      </c>
      <c r="AS105" s="2" t="str">
        <f>HYPERLINK("https://icf.clappia.com/app/GMB253374/submission/UYQ78483978/ICF247370-GMB253374-abci7lj6584g0000000/SIG-20250626_1645e9340.jpeg", "SIG-20250626_1645e9340.jpeg")</f>
        <v>SIG-20250626_1645e9340.jpeg</v>
      </c>
      <c r="AT105" s="1" t="s">
        <v>659</v>
      </c>
      <c r="AU105" s="2" t="str">
        <f>HYPERLINK("https://icf.clappia.com/app/GMB253374/submission/UYQ78483978/ICF247370-GMB253374-117d18ikee2he0000000/SIG-20250626_1623bkemk.jpeg", "SIG-20250626_1623bkemk.jpeg")</f>
        <v>SIG-20250626_1623bkemk.jpeg</v>
      </c>
      <c r="AV105" s="2" t="str">
        <f>HYPERLINK("https://www.google.com/maps/place/8.8663186%2C-12.0502285", "8.8663186,-12.0502285")</f>
        <v>8.8663186,-12.0502285</v>
      </c>
    </row>
    <row r="106" ht="15.75" customHeight="1">
      <c r="A106" s="1" t="s">
        <v>660</v>
      </c>
      <c r="B106" s="1" t="s">
        <v>46</v>
      </c>
      <c r="C106" s="1" t="s">
        <v>661</v>
      </c>
      <c r="D106" s="1" t="s">
        <v>661</v>
      </c>
      <c r="E106" s="1" t="s">
        <v>662</v>
      </c>
      <c r="F106" s="1" t="s">
        <v>64</v>
      </c>
      <c r="G106" s="1">
        <v>200.0</v>
      </c>
      <c r="H106" s="1" t="s">
        <v>50</v>
      </c>
      <c r="I106" s="1">
        <v>30.0</v>
      </c>
      <c r="J106" s="1">
        <v>20.0</v>
      </c>
      <c r="K106" s="1">
        <v>20.0</v>
      </c>
      <c r="L106" s="1">
        <v>10.0</v>
      </c>
      <c r="M106" s="1">
        <v>10.0</v>
      </c>
      <c r="N106" s="1" t="s">
        <v>51</v>
      </c>
      <c r="O106" s="1">
        <v>40.0</v>
      </c>
      <c r="P106" s="1">
        <v>20.0</v>
      </c>
      <c r="Q106" s="1">
        <v>20.0</v>
      </c>
      <c r="R106" s="1">
        <v>20.0</v>
      </c>
      <c r="S106" s="1">
        <v>20.0</v>
      </c>
      <c r="T106" s="1" t="s">
        <v>52</v>
      </c>
      <c r="U106" s="1">
        <v>50.0</v>
      </c>
      <c r="V106" s="1">
        <v>25.0</v>
      </c>
      <c r="W106" s="1">
        <v>25.0</v>
      </c>
      <c r="X106" s="1">
        <v>25.0</v>
      </c>
      <c r="Y106" s="1">
        <v>25.0</v>
      </c>
      <c r="Z106" s="1" t="s">
        <v>53</v>
      </c>
      <c r="AA106" s="1">
        <v>40.0</v>
      </c>
      <c r="AB106" s="1">
        <v>20.0</v>
      </c>
      <c r="AC106" s="1">
        <v>20.0</v>
      </c>
      <c r="AD106" s="1">
        <v>20.0</v>
      </c>
      <c r="AE106" s="1">
        <v>20.0</v>
      </c>
      <c r="AF106" s="1" t="s">
        <v>54</v>
      </c>
      <c r="AG106" s="1">
        <v>40.0</v>
      </c>
      <c r="AH106" s="1">
        <v>10.0</v>
      </c>
      <c r="AI106" s="1">
        <v>10.0</v>
      </c>
      <c r="AJ106" s="1">
        <v>20.0</v>
      </c>
      <c r="AK106" s="1">
        <v>20.0</v>
      </c>
      <c r="AL106" s="1">
        <v>190.0</v>
      </c>
      <c r="AM106" s="1">
        <v>10.0</v>
      </c>
      <c r="AN106" s="1" t="s">
        <v>55</v>
      </c>
      <c r="AO106" s="1" t="s">
        <v>55</v>
      </c>
      <c r="AP106" s="1" t="s">
        <v>663</v>
      </c>
      <c r="AQ106" s="2" t="str">
        <f>HYPERLINK("https://icf.clappia.com/app/GMB253374/submission/OFR19223087/ICF247370-GMB253374-1laj1ijkbih120000000/SIG-20250626_164115obec.jpeg", "SIG-20250626_164115obec.jpeg")</f>
        <v>SIG-20250626_164115obec.jpeg</v>
      </c>
      <c r="AR106" s="1" t="s">
        <v>664</v>
      </c>
      <c r="AS106" s="2" t="str">
        <f>HYPERLINK("https://icf.clappia.com/app/GMB253374/submission/OFR19223087/ICF247370-GMB253374-3iilc00kp8n400000000/SIG-20250626_1641g1nlc.jpeg", "SIG-20250626_1641g1nlc.jpeg")</f>
        <v>SIG-20250626_1641g1nlc.jpeg</v>
      </c>
      <c r="AT106" s="1" t="s">
        <v>665</v>
      </c>
      <c r="AU106" s="2" t="str">
        <f>HYPERLINK("https://icf.clappia.com/app/GMB253374/submission/OFR19223087/ICF247370-GMB253374-9a4e6l8517mk0000000/SIG-20250626_1642i4i6h.jpeg", "SIG-20250626_1642i4i6h.jpeg")</f>
        <v>SIG-20250626_1642i4i6h.jpeg</v>
      </c>
      <c r="AV106" s="2" t="str">
        <f>HYPERLINK("https://www.google.com/maps/place/8.8666221%2C-12.0512994", "8.8666221,-12.0512994")</f>
        <v>8.8666221,-12.0512994</v>
      </c>
    </row>
    <row r="107" ht="15.75" customHeight="1">
      <c r="A107" s="1" t="s">
        <v>666</v>
      </c>
      <c r="B107" s="1" t="s">
        <v>46</v>
      </c>
      <c r="C107" s="1" t="s">
        <v>491</v>
      </c>
      <c r="D107" s="1" t="s">
        <v>661</v>
      </c>
      <c r="E107" s="1" t="s">
        <v>667</v>
      </c>
      <c r="F107" s="1" t="s">
        <v>64</v>
      </c>
      <c r="G107" s="1">
        <v>260.0</v>
      </c>
      <c r="H107" s="1" t="s">
        <v>50</v>
      </c>
      <c r="I107" s="1">
        <v>30.0</v>
      </c>
      <c r="J107" s="1">
        <v>15.0</v>
      </c>
      <c r="K107" s="1">
        <v>15.0</v>
      </c>
      <c r="L107" s="1">
        <v>15.0</v>
      </c>
      <c r="M107" s="1">
        <v>15.0</v>
      </c>
      <c r="N107" s="1" t="s">
        <v>51</v>
      </c>
      <c r="O107" s="1">
        <v>45.0</v>
      </c>
      <c r="P107" s="1">
        <v>20.0</v>
      </c>
      <c r="Q107" s="1">
        <v>20.0</v>
      </c>
      <c r="R107" s="1">
        <v>25.0</v>
      </c>
      <c r="S107" s="1">
        <v>25.0</v>
      </c>
      <c r="T107" s="1" t="s">
        <v>52</v>
      </c>
      <c r="U107" s="1">
        <v>32.0</v>
      </c>
      <c r="V107" s="1">
        <v>16.0</v>
      </c>
      <c r="W107" s="1">
        <v>16.0</v>
      </c>
      <c r="X107" s="1">
        <v>16.0</v>
      </c>
      <c r="Y107" s="1">
        <v>16.0</v>
      </c>
      <c r="Z107" s="1" t="s">
        <v>53</v>
      </c>
      <c r="AA107" s="1">
        <v>58.0</v>
      </c>
      <c r="AB107" s="1">
        <v>29.0</v>
      </c>
      <c r="AC107" s="1">
        <v>29.0</v>
      </c>
      <c r="AD107" s="1">
        <v>29.0</v>
      </c>
      <c r="AE107" s="1">
        <v>29.0</v>
      </c>
      <c r="AF107" s="1" t="s">
        <v>54</v>
      </c>
      <c r="AG107" s="1">
        <v>95.0</v>
      </c>
      <c r="AH107" s="1">
        <v>45.0</v>
      </c>
      <c r="AI107" s="1">
        <v>45.0</v>
      </c>
      <c r="AJ107" s="1">
        <v>50.0</v>
      </c>
      <c r="AK107" s="1">
        <v>50.0</v>
      </c>
      <c r="AL107" s="1">
        <v>260.0</v>
      </c>
      <c r="AM107" s="1" t="s">
        <v>668</v>
      </c>
      <c r="AN107" s="1" t="s">
        <v>55</v>
      </c>
      <c r="AO107" s="1" t="s">
        <v>55</v>
      </c>
      <c r="AP107" s="1" t="s">
        <v>669</v>
      </c>
      <c r="AQ107" s="2" t="str">
        <f>HYPERLINK("https://icf.clappia.com/app/GMB253374/submission/GPQ38223127/ICF247370-GMB253374-c8nbn6724lc40000000/SIG-20250626_1643525ja.jpeg", "SIG-20250626_1643525ja.jpeg")</f>
        <v>SIG-20250626_1643525ja.jpeg</v>
      </c>
      <c r="AR107" s="1" t="s">
        <v>670</v>
      </c>
      <c r="AS107" s="2" t="str">
        <f>HYPERLINK("https://icf.clappia.com/app/GMB253374/submission/GPQ38223127/ICF247370-GMB253374-3jjjbb6j5g7a00000000/SIG-20250626_1643c8o4n.jpeg", "SIG-20250626_1643c8o4n.jpeg")</f>
        <v>SIG-20250626_1643c8o4n.jpeg</v>
      </c>
      <c r="AT107" s="1" t="s">
        <v>671</v>
      </c>
      <c r="AU107" s="2" t="str">
        <f>HYPERLINK("https://icf.clappia.com/app/GMB253374/submission/GPQ38223127/ICF247370-GMB253374-ag739g00idj60000000/SIG-20250626_1644hanlj.jpeg", "SIG-20250626_1644hanlj.jpeg")</f>
        <v>SIG-20250626_1644hanlj.jpeg</v>
      </c>
      <c r="AV107" s="2" t="str">
        <f>HYPERLINK("https://www.google.com/maps/place/8.8646503%2C-12.0495145", "8.8646503,-12.0495145")</f>
        <v>8.8646503,-12.0495145</v>
      </c>
    </row>
    <row r="108" ht="15.75" customHeight="1">
      <c r="A108" s="1" t="s">
        <v>672</v>
      </c>
      <c r="B108" s="1" t="s">
        <v>46</v>
      </c>
      <c r="C108" s="1" t="s">
        <v>640</v>
      </c>
      <c r="D108" s="1" t="s">
        <v>661</v>
      </c>
      <c r="E108" s="1" t="s">
        <v>673</v>
      </c>
      <c r="F108" s="1" t="s">
        <v>64</v>
      </c>
      <c r="G108" s="1">
        <v>200.0</v>
      </c>
      <c r="H108" s="1" t="s">
        <v>50</v>
      </c>
      <c r="I108" s="1">
        <v>30.0</v>
      </c>
      <c r="J108" s="1">
        <v>15.0</v>
      </c>
      <c r="K108" s="1">
        <v>15.0</v>
      </c>
      <c r="L108" s="1">
        <v>15.0</v>
      </c>
      <c r="M108" s="1">
        <v>15.0</v>
      </c>
      <c r="N108" s="1" t="s">
        <v>51</v>
      </c>
      <c r="O108" s="1">
        <v>40.0</v>
      </c>
      <c r="P108" s="1">
        <v>20.0</v>
      </c>
      <c r="Q108" s="1">
        <v>20.0</v>
      </c>
      <c r="R108" s="1">
        <v>20.0</v>
      </c>
      <c r="S108" s="1">
        <v>20.0</v>
      </c>
      <c r="T108" s="1" t="s">
        <v>52</v>
      </c>
      <c r="U108" s="1">
        <v>25.0</v>
      </c>
      <c r="V108" s="1">
        <v>12.0</v>
      </c>
      <c r="W108" s="1">
        <v>12.0</v>
      </c>
      <c r="X108" s="1">
        <v>13.0</v>
      </c>
      <c r="Y108" s="1">
        <v>13.0</v>
      </c>
      <c r="Z108" s="1" t="s">
        <v>53</v>
      </c>
      <c r="AA108" s="1">
        <v>20.0</v>
      </c>
      <c r="AB108" s="1">
        <v>10.0</v>
      </c>
      <c r="AC108" s="1">
        <v>10.0</v>
      </c>
      <c r="AD108" s="1">
        <v>10.0</v>
      </c>
      <c r="AE108" s="1">
        <v>10.0</v>
      </c>
      <c r="AF108" s="1" t="s">
        <v>54</v>
      </c>
      <c r="AG108" s="1">
        <v>45.0</v>
      </c>
      <c r="AH108" s="1">
        <v>20.0</v>
      </c>
      <c r="AI108" s="1">
        <v>20.0</v>
      </c>
      <c r="AJ108" s="1">
        <v>25.0</v>
      </c>
      <c r="AK108" s="1">
        <v>25.0</v>
      </c>
      <c r="AL108" s="1">
        <v>160.0</v>
      </c>
      <c r="AM108" s="1" t="s">
        <v>55</v>
      </c>
      <c r="AN108" s="1">
        <v>40.0</v>
      </c>
      <c r="AO108" s="1">
        <v>40.0</v>
      </c>
      <c r="AP108" s="1" t="s">
        <v>669</v>
      </c>
      <c r="AQ108" s="2" t="str">
        <f>HYPERLINK("https://icf.clappia.com/app/GMB253374/submission/VZP00556040/ICF247370-GMB253374-d6e6pmgogmja0000000/SIG-20250626_162218de1l.jpeg", "SIG-20250626_162218de1l.jpeg")</f>
        <v>SIG-20250626_162218de1l.jpeg</v>
      </c>
      <c r="AR108" s="1" t="s">
        <v>670</v>
      </c>
      <c r="AS108" s="2" t="str">
        <f>HYPERLINK("https://icf.clappia.com/app/GMB253374/submission/VZP00556040/ICF247370-GMB253374-2hd7ngn8l41i00000000/SIG-20250626_1623176mhd.jpeg", "SIG-20250626_1623176mhd.jpeg")</f>
        <v>SIG-20250626_1623176mhd.jpeg</v>
      </c>
      <c r="AT108" s="1" t="s">
        <v>674</v>
      </c>
      <c r="AU108" s="2" t="str">
        <f>HYPERLINK("https://icf.clappia.com/app/GMB253374/submission/VZP00556040/ICF247370-GMB253374-4n44f9jh79g000000000/SIG-20250626_16241iem5.jpeg", "SIG-20250626_16241iem5.jpeg")</f>
        <v>SIG-20250626_16241iem5.jpeg</v>
      </c>
      <c r="AV108" s="2" t="str">
        <f>HYPERLINK("https://www.google.com/maps/place/8.8657348%2C-12.0473727", "8.8657348,-12.0473727")</f>
        <v>8.8657348,-12.0473727</v>
      </c>
    </row>
    <row r="109" ht="15.75" customHeight="1">
      <c r="A109" s="1" t="s">
        <v>675</v>
      </c>
      <c r="B109" s="1" t="s">
        <v>46</v>
      </c>
      <c r="C109" s="1" t="s">
        <v>676</v>
      </c>
      <c r="D109" s="1" t="s">
        <v>676</v>
      </c>
      <c r="E109" s="1" t="s">
        <v>677</v>
      </c>
      <c r="F109" s="1" t="s">
        <v>64</v>
      </c>
      <c r="G109" s="1">
        <v>100.0</v>
      </c>
      <c r="H109" s="1" t="s">
        <v>50</v>
      </c>
      <c r="I109" s="1">
        <v>30.0</v>
      </c>
      <c r="J109" s="1">
        <v>15.0</v>
      </c>
      <c r="K109" s="1">
        <v>15.0</v>
      </c>
      <c r="L109" s="1">
        <v>15.0</v>
      </c>
      <c r="M109" s="1">
        <v>15.0</v>
      </c>
      <c r="N109" s="1" t="s">
        <v>51</v>
      </c>
      <c r="O109" s="1">
        <v>20.0</v>
      </c>
      <c r="P109" s="1">
        <v>10.0</v>
      </c>
      <c r="Q109" s="1">
        <v>10.0</v>
      </c>
      <c r="R109" s="1">
        <v>10.0</v>
      </c>
      <c r="S109" s="1">
        <v>10.0</v>
      </c>
      <c r="T109" s="1" t="s">
        <v>52</v>
      </c>
      <c r="U109" s="1">
        <v>15.0</v>
      </c>
      <c r="V109" s="1">
        <v>7.0</v>
      </c>
      <c r="W109" s="1">
        <v>7.0</v>
      </c>
      <c r="X109" s="1">
        <v>8.0</v>
      </c>
      <c r="Y109" s="1">
        <v>8.0</v>
      </c>
      <c r="Z109" s="1" t="s">
        <v>53</v>
      </c>
      <c r="AA109" s="1">
        <v>18.0</v>
      </c>
      <c r="AB109" s="1">
        <v>9.0</v>
      </c>
      <c r="AC109" s="1">
        <v>7.0</v>
      </c>
      <c r="AD109" s="1">
        <v>9.0</v>
      </c>
      <c r="AE109" s="1">
        <v>8.0</v>
      </c>
      <c r="AF109" s="1" t="s">
        <v>54</v>
      </c>
      <c r="AG109" s="1">
        <v>17.0</v>
      </c>
      <c r="AH109" s="1">
        <v>9.0</v>
      </c>
      <c r="AI109" s="1">
        <v>9.0</v>
      </c>
      <c r="AJ109" s="1">
        <v>8.0</v>
      </c>
      <c r="AK109" s="1">
        <v>8.0</v>
      </c>
      <c r="AL109" s="1">
        <v>97.0</v>
      </c>
      <c r="AM109" s="1">
        <v>3.0</v>
      </c>
      <c r="AN109" s="1" t="s">
        <v>55</v>
      </c>
      <c r="AO109" s="1" t="s">
        <v>55</v>
      </c>
      <c r="AP109" s="1" t="s">
        <v>678</v>
      </c>
      <c r="AQ109" s="2" t="str">
        <f>HYPERLINK("https://icf.clappia.com/app/GMB253374/submission/MPB79082938/ICF247370-GMB253374-1bbniaibm4oj20000000/SIG-20250626_1639kjlj9.jpeg", "SIG-20250626_1639kjlj9.jpeg")</f>
        <v>SIG-20250626_1639kjlj9.jpeg</v>
      </c>
      <c r="AR109" s="1" t="s">
        <v>679</v>
      </c>
      <c r="AS109" s="2" t="str">
        <f>HYPERLINK("https://icf.clappia.com/app/GMB253374/submission/MPB79082938/ICF247370-GMB253374-667p0o9mkg2k00000000/SIG-20250626_164019gb6n.jpeg", "SIG-20250626_164019gb6n.jpeg")</f>
        <v>SIG-20250626_164019gb6n.jpeg</v>
      </c>
      <c r="AT109" s="1" t="s">
        <v>680</v>
      </c>
      <c r="AU109" s="2" t="str">
        <f>HYPERLINK("https://icf.clappia.com/app/GMB253374/submission/MPB79082938/ICF247370-GMB253374-1kb92da5ed5ci0000000/SIG-20250626_16401a10j9.jpeg", "SIG-20250626_16401a10j9.jpeg")</f>
        <v>SIG-20250626_16401a10j9.jpeg</v>
      </c>
      <c r="AV109" s="2" t="str">
        <f>HYPERLINK("https://www.google.com/maps/place/8.8666221%2C-12.0512994", "8.8666221,-12.0512994")</f>
        <v>8.8666221,-12.0512994</v>
      </c>
    </row>
    <row r="110" ht="15.75" customHeight="1">
      <c r="A110" s="1" t="s">
        <v>681</v>
      </c>
      <c r="B110" s="1" t="s">
        <v>46</v>
      </c>
      <c r="C110" s="1" t="s">
        <v>676</v>
      </c>
      <c r="D110" s="1" t="s">
        <v>676</v>
      </c>
      <c r="E110" s="1" t="s">
        <v>682</v>
      </c>
      <c r="F110" s="1" t="s">
        <v>64</v>
      </c>
      <c r="G110" s="1">
        <v>200.0</v>
      </c>
      <c r="H110" s="1" t="s">
        <v>50</v>
      </c>
      <c r="I110" s="1">
        <v>50.0</v>
      </c>
      <c r="J110" s="1">
        <v>25.0</v>
      </c>
      <c r="K110" s="1">
        <v>25.0</v>
      </c>
      <c r="L110" s="1">
        <v>25.0</v>
      </c>
      <c r="M110" s="1">
        <v>25.0</v>
      </c>
      <c r="N110" s="1" t="s">
        <v>51</v>
      </c>
      <c r="O110" s="1">
        <v>50.0</v>
      </c>
      <c r="P110" s="1">
        <v>20.0</v>
      </c>
      <c r="Q110" s="1">
        <v>20.0</v>
      </c>
      <c r="R110" s="1">
        <v>30.0</v>
      </c>
      <c r="S110" s="1">
        <v>30.0</v>
      </c>
      <c r="T110" s="1" t="s">
        <v>52</v>
      </c>
      <c r="U110" s="1">
        <v>30.0</v>
      </c>
      <c r="V110" s="1">
        <v>15.0</v>
      </c>
      <c r="W110" s="1">
        <v>15.0</v>
      </c>
      <c r="X110" s="1">
        <v>15.0</v>
      </c>
      <c r="Y110" s="1">
        <v>15.0</v>
      </c>
      <c r="Z110" s="1" t="s">
        <v>53</v>
      </c>
      <c r="AA110" s="1">
        <v>30.0</v>
      </c>
      <c r="AB110" s="1">
        <v>20.0</v>
      </c>
      <c r="AC110" s="1">
        <v>10.0</v>
      </c>
      <c r="AD110" s="1">
        <v>10.0</v>
      </c>
      <c r="AE110" s="1">
        <v>10.0</v>
      </c>
      <c r="AF110" s="1" t="s">
        <v>54</v>
      </c>
      <c r="AG110" s="1">
        <v>50.0</v>
      </c>
      <c r="AH110" s="1">
        <v>30.0</v>
      </c>
      <c r="AI110" s="1">
        <v>30.0</v>
      </c>
      <c r="AJ110" s="1">
        <v>20.0</v>
      </c>
      <c r="AK110" s="1">
        <v>20.0</v>
      </c>
      <c r="AL110" s="1">
        <v>200.0</v>
      </c>
      <c r="AM110" s="1" t="s">
        <v>55</v>
      </c>
      <c r="AN110" s="1" t="s">
        <v>55</v>
      </c>
      <c r="AO110" s="1" t="s">
        <v>55</v>
      </c>
      <c r="AP110" s="1" t="s">
        <v>683</v>
      </c>
      <c r="AQ110" s="2" t="str">
        <f>HYPERLINK("https://icf.clappia.com/app/GMB253374/submission/DSV72909191/ICF247370-GMB253374-1pm17aijedljm0000000/SIG-20250626_161815kedd.jpeg", "SIG-20250626_161815kedd.jpeg")</f>
        <v>SIG-20250626_161815kedd.jpeg</v>
      </c>
      <c r="AR110" s="1" t="s">
        <v>684</v>
      </c>
      <c r="AS110" s="2" t="str">
        <f>HYPERLINK("https://icf.clappia.com/app/GMB253374/submission/DSV72909191/ICF247370-GMB253374-gf1jk6lple000000000/SIG-20250626_16186m4o9.jpeg", "SIG-20250626_16186m4o9.jpeg")</f>
        <v>SIG-20250626_16186m4o9.jpeg</v>
      </c>
      <c r="AT110" s="1" t="s">
        <v>685</v>
      </c>
      <c r="AU110" s="2" t="str">
        <f>HYPERLINK("https://icf.clappia.com/app/GMB253374/submission/DSV72909191/ICF247370-GMB253374-45bc1g0l8d1200000000/SIG-20250626_1642132fkj.jpeg", "SIG-20250626_1642132fkj.jpeg")</f>
        <v>SIG-20250626_1642132fkj.jpeg</v>
      </c>
      <c r="AV110" s="2" t="str">
        <f>HYPERLINK("https://www.google.com/maps/place/8.8656733%2C-12.0501267", "8.8656733,-12.0501267")</f>
        <v>8.8656733,-12.0501267</v>
      </c>
    </row>
    <row r="111" ht="15.75" customHeight="1">
      <c r="A111" s="1" t="s">
        <v>686</v>
      </c>
      <c r="B111" s="1" t="s">
        <v>46</v>
      </c>
      <c r="C111" s="1" t="s">
        <v>379</v>
      </c>
      <c r="D111" s="1" t="s">
        <v>379</v>
      </c>
      <c r="E111" s="1" t="s">
        <v>687</v>
      </c>
      <c r="F111" s="1" t="s">
        <v>64</v>
      </c>
      <c r="G111" s="1">
        <v>70.0</v>
      </c>
      <c r="H111" s="1" t="s">
        <v>50</v>
      </c>
      <c r="I111" s="1">
        <v>20.0</v>
      </c>
      <c r="J111" s="1">
        <v>10.0</v>
      </c>
      <c r="K111" s="1">
        <v>10.0</v>
      </c>
      <c r="L111" s="1">
        <v>10.0</v>
      </c>
      <c r="M111" s="1">
        <v>10.0</v>
      </c>
      <c r="N111" s="1" t="s">
        <v>51</v>
      </c>
      <c r="O111" s="1">
        <v>20.0</v>
      </c>
      <c r="P111" s="1">
        <v>10.0</v>
      </c>
      <c r="Q111" s="1">
        <v>10.0</v>
      </c>
      <c r="R111" s="1">
        <v>10.0</v>
      </c>
      <c r="S111" s="1">
        <v>10.0</v>
      </c>
      <c r="T111" s="1" t="s">
        <v>52</v>
      </c>
      <c r="U111" s="1">
        <v>20.0</v>
      </c>
      <c r="V111" s="1">
        <v>10.0</v>
      </c>
      <c r="W111" s="1">
        <v>10.0</v>
      </c>
      <c r="X111" s="1">
        <v>10.0</v>
      </c>
      <c r="Y111" s="1">
        <v>10.0</v>
      </c>
      <c r="Z111" s="1" t="s">
        <v>53</v>
      </c>
      <c r="AA111" s="1">
        <v>5.0</v>
      </c>
      <c r="AB111" s="1">
        <v>3.0</v>
      </c>
      <c r="AC111" s="1">
        <v>3.0</v>
      </c>
      <c r="AD111" s="1">
        <v>2.0</v>
      </c>
      <c r="AE111" s="1">
        <v>2.0</v>
      </c>
      <c r="AF111" s="1" t="s">
        <v>54</v>
      </c>
      <c r="AG111" s="1">
        <v>5.0</v>
      </c>
      <c r="AH111" s="1">
        <v>2.0</v>
      </c>
      <c r="AI111" s="1">
        <v>2.0</v>
      </c>
      <c r="AJ111" s="1">
        <v>3.0</v>
      </c>
      <c r="AK111" s="1">
        <v>3.0</v>
      </c>
      <c r="AL111" s="1">
        <v>70.0</v>
      </c>
      <c r="AM111" s="1" t="s">
        <v>55</v>
      </c>
      <c r="AN111" s="1" t="s">
        <v>55</v>
      </c>
      <c r="AO111" s="1" t="s">
        <v>55</v>
      </c>
      <c r="AP111" s="1" t="s">
        <v>688</v>
      </c>
      <c r="AQ111" s="2" t="str">
        <f>HYPERLINK("https://icf.clappia.com/app/GMB253374/submission/ZCX38394625/ICF247370-GMB253374-4546mp20ec9m00000000/SIG-20250626_1639kn484.jpeg", "SIG-20250626_1639kn484.jpeg")</f>
        <v>SIG-20250626_1639kn484.jpeg</v>
      </c>
      <c r="AR111" s="1" t="s">
        <v>689</v>
      </c>
      <c r="AS111" s="2" t="str">
        <f>HYPERLINK("https://icf.clappia.com/app/GMB253374/submission/ZCX38394625/ICF247370-GMB253374-323kcfhhbf460000000/SIG-20250626_16409lkp1.jpeg", "SIG-20250626_16409lkp1.jpeg")</f>
        <v>SIG-20250626_16409lkp1.jpeg</v>
      </c>
      <c r="AT111" s="1" t="s">
        <v>690</v>
      </c>
      <c r="AU111" s="2" t="str">
        <f>HYPERLINK("https://icf.clappia.com/app/GMB253374/submission/ZCX38394625/ICF247370-GMB253374-1h4cjbhpoccfg0000000/SIG-20250626_164218932l.jpeg", "SIG-20250626_164218932l.jpeg")</f>
        <v>SIG-20250626_164218932l.jpeg</v>
      </c>
      <c r="AV111" s="2" t="str">
        <f>HYPERLINK("https://www.google.com/maps/place/8.8672872%2C-12.0516564", "8.8672872,-12.0516564")</f>
        <v>8.8672872,-12.0516564</v>
      </c>
    </row>
    <row r="112" ht="15.75" customHeight="1">
      <c r="A112" s="1" t="s">
        <v>691</v>
      </c>
      <c r="B112" s="1" t="s">
        <v>46</v>
      </c>
      <c r="C112" s="1" t="s">
        <v>379</v>
      </c>
      <c r="D112" s="1" t="s">
        <v>379</v>
      </c>
      <c r="E112" s="1" t="s">
        <v>692</v>
      </c>
      <c r="F112" s="1" t="s">
        <v>64</v>
      </c>
      <c r="G112" s="1">
        <v>254.0</v>
      </c>
      <c r="H112" s="1" t="s">
        <v>50</v>
      </c>
      <c r="I112" s="1">
        <v>50.0</v>
      </c>
      <c r="J112" s="1">
        <v>25.0</v>
      </c>
      <c r="K112" s="1">
        <v>25.0</v>
      </c>
      <c r="L112" s="1">
        <v>25.0</v>
      </c>
      <c r="M112" s="1">
        <v>25.0</v>
      </c>
      <c r="N112" s="1" t="s">
        <v>51</v>
      </c>
      <c r="O112" s="1">
        <v>50.0</v>
      </c>
      <c r="P112" s="1">
        <v>25.0</v>
      </c>
      <c r="Q112" s="1">
        <v>25.0</v>
      </c>
      <c r="R112" s="1">
        <v>25.0</v>
      </c>
      <c r="S112" s="1">
        <v>25.0</v>
      </c>
      <c r="T112" s="1" t="s">
        <v>52</v>
      </c>
      <c r="U112" s="1">
        <v>50.0</v>
      </c>
      <c r="V112" s="1">
        <v>25.0</v>
      </c>
      <c r="W112" s="1">
        <v>25.0</v>
      </c>
      <c r="X112" s="1">
        <v>25.0</v>
      </c>
      <c r="Y112" s="1">
        <v>25.0</v>
      </c>
      <c r="Z112" s="1" t="s">
        <v>53</v>
      </c>
      <c r="AA112" s="1">
        <v>50.0</v>
      </c>
      <c r="AB112" s="1">
        <v>25.0</v>
      </c>
      <c r="AC112" s="1">
        <v>25.0</v>
      </c>
      <c r="AD112" s="1">
        <v>25.0</v>
      </c>
      <c r="AE112" s="1">
        <v>25.0</v>
      </c>
      <c r="AF112" s="1" t="s">
        <v>54</v>
      </c>
      <c r="AG112" s="1">
        <v>50.0</v>
      </c>
      <c r="AH112" s="1">
        <v>25.0</v>
      </c>
      <c r="AI112" s="1">
        <v>25.0</v>
      </c>
      <c r="AJ112" s="1">
        <v>25.0</v>
      </c>
      <c r="AK112" s="1">
        <v>25.0</v>
      </c>
      <c r="AL112" s="1">
        <v>250.0</v>
      </c>
      <c r="AM112" s="1">
        <v>4.0</v>
      </c>
      <c r="AN112" s="1" t="s">
        <v>55</v>
      </c>
      <c r="AO112" s="1" t="s">
        <v>55</v>
      </c>
      <c r="AP112" s="1" t="s">
        <v>693</v>
      </c>
      <c r="AQ112" s="2" t="str">
        <f>HYPERLINK("https://icf.clappia.com/app/GMB253374/submission/SHU84387575/ICF247370-GMB253374-3jkgkgd6docm00000000/SIG-20250626_1641j2p08.jpeg", "SIG-20250626_1641j2p08.jpeg")</f>
        <v>SIG-20250626_1641j2p08.jpeg</v>
      </c>
      <c r="AR112" s="1" t="s">
        <v>694</v>
      </c>
      <c r="AS112" s="2" t="str">
        <f>HYPERLINK("https://icf.clappia.com/app/GMB253374/submission/SHU84387575/ICF247370-GMB253374-22fl38pi5mpao0000000/SIG-20250626_1641aiela.jpeg", "SIG-20250626_1641aiela.jpeg")</f>
        <v>SIG-20250626_1641aiela.jpeg</v>
      </c>
      <c r="AT112" s="1" t="s">
        <v>695</v>
      </c>
      <c r="AU112" s="2" t="str">
        <f>HYPERLINK("https://icf.clappia.com/app/GMB253374/submission/SHU84387575/ICF247370-GMB253374-29gmc2l6612o00000000/SIG-20250626_1642ep2b2.jpeg", "SIG-20250626_1642ep2b2.jpeg")</f>
        <v>SIG-20250626_1642ep2b2.jpeg</v>
      </c>
      <c r="AV112" s="2" t="str">
        <f>HYPERLINK("https://www.google.com/maps/place/8.864254%2C-12.0512994", "8.864254,-12.0512994")</f>
        <v>8.864254,-12.0512994</v>
      </c>
    </row>
    <row r="113" ht="15.75" customHeight="1">
      <c r="A113" s="1" t="s">
        <v>696</v>
      </c>
      <c r="B113" s="1" t="s">
        <v>46</v>
      </c>
      <c r="C113" s="1" t="s">
        <v>348</v>
      </c>
      <c r="D113" s="1" t="s">
        <v>348</v>
      </c>
      <c r="E113" s="1" t="s">
        <v>697</v>
      </c>
      <c r="F113" s="1" t="s">
        <v>64</v>
      </c>
      <c r="G113" s="1">
        <v>310.0</v>
      </c>
      <c r="H113" s="1" t="s">
        <v>50</v>
      </c>
      <c r="I113" s="1">
        <v>90.0</v>
      </c>
      <c r="J113" s="1">
        <v>47.0</v>
      </c>
      <c r="K113" s="1">
        <v>47.0</v>
      </c>
      <c r="L113" s="1">
        <v>43.0</v>
      </c>
      <c r="M113" s="1">
        <v>43.0</v>
      </c>
      <c r="N113" s="1" t="s">
        <v>51</v>
      </c>
      <c r="O113" s="1">
        <v>70.0</v>
      </c>
      <c r="P113" s="1">
        <v>36.0</v>
      </c>
      <c r="Q113" s="1">
        <v>36.0</v>
      </c>
      <c r="R113" s="1">
        <v>34.0</v>
      </c>
      <c r="S113" s="1">
        <v>34.0</v>
      </c>
      <c r="T113" s="1" t="s">
        <v>52</v>
      </c>
      <c r="U113" s="1">
        <v>55.0</v>
      </c>
      <c r="V113" s="1">
        <v>35.0</v>
      </c>
      <c r="W113" s="1">
        <v>35.0</v>
      </c>
      <c r="X113" s="1">
        <v>20.0</v>
      </c>
      <c r="Y113" s="1">
        <v>20.0</v>
      </c>
      <c r="Z113" s="1" t="s">
        <v>53</v>
      </c>
      <c r="AA113" s="1">
        <v>52.0</v>
      </c>
      <c r="AB113" s="1">
        <v>28.0</v>
      </c>
      <c r="AC113" s="1">
        <v>28.0</v>
      </c>
      <c r="AD113" s="1">
        <v>24.0</v>
      </c>
      <c r="AE113" s="1">
        <v>24.0</v>
      </c>
      <c r="AF113" s="1" t="s">
        <v>54</v>
      </c>
      <c r="AG113" s="1">
        <v>41.0</v>
      </c>
      <c r="AH113" s="1">
        <v>23.0</v>
      </c>
      <c r="AI113" s="1">
        <v>23.0</v>
      </c>
      <c r="AJ113" s="1">
        <v>18.0</v>
      </c>
      <c r="AK113" s="1">
        <v>18.0</v>
      </c>
      <c r="AL113" s="1">
        <v>308.0</v>
      </c>
      <c r="AM113" s="1" t="s">
        <v>55</v>
      </c>
      <c r="AN113" s="1">
        <v>2.0</v>
      </c>
      <c r="AO113" s="1">
        <v>2.0</v>
      </c>
      <c r="AP113" s="1" t="s">
        <v>643</v>
      </c>
      <c r="AQ113" s="2" t="str">
        <f>HYPERLINK("https://icf.clappia.com/app/GMB253374/submission/WYC29499980/ICF247370-GMB253374-4bk7h570dmhi00000000/SIG-20250626_1639b2noe.jpeg", "SIG-20250626_1639b2noe.jpeg")</f>
        <v>SIG-20250626_1639b2noe.jpeg</v>
      </c>
      <c r="AR113" s="1" t="s">
        <v>698</v>
      </c>
      <c r="AS113" s="2" t="str">
        <f>HYPERLINK("https://icf.clappia.com/app/GMB253374/submission/WYC29499980/ICF247370-GMB253374-40n6cgph54gg00000000/SIG-20250626_16391e0mh.jpeg", "SIG-20250626_16391e0mh.jpeg")</f>
        <v>SIG-20250626_16391e0mh.jpeg</v>
      </c>
      <c r="AT113" s="1" t="s">
        <v>699</v>
      </c>
      <c r="AU113" s="2" t="str">
        <f>HYPERLINK("https://icf.clappia.com/app/GMB253374/submission/WYC29499980/ICF247370-GMB253374-2h7nfk1a449400000000/SIG-20250626_164041i0a.jpeg", "SIG-20250626_164041i0a.jpeg")</f>
        <v>SIG-20250626_164041i0a.jpeg</v>
      </c>
      <c r="AV113" s="2" t="str">
        <f>HYPERLINK("https://www.google.com/maps/place/8.8655341%2C-12.0498094", "8.8655341,-12.0498094")</f>
        <v>8.8655341,-12.0498094</v>
      </c>
    </row>
    <row r="114" ht="15.75" customHeight="1">
      <c r="A114" s="1" t="s">
        <v>700</v>
      </c>
      <c r="B114" s="1" t="s">
        <v>46</v>
      </c>
      <c r="C114" s="1" t="s">
        <v>348</v>
      </c>
      <c r="D114" s="1" t="s">
        <v>348</v>
      </c>
      <c r="E114" s="1" t="s">
        <v>701</v>
      </c>
      <c r="F114" s="1" t="s">
        <v>64</v>
      </c>
      <c r="G114" s="1">
        <v>250.0</v>
      </c>
      <c r="H114" s="1" t="s">
        <v>50</v>
      </c>
      <c r="I114" s="1">
        <v>30.0</v>
      </c>
      <c r="J114" s="1">
        <v>17.0</v>
      </c>
      <c r="K114" s="1">
        <v>17.0</v>
      </c>
      <c r="L114" s="1">
        <v>13.0</v>
      </c>
      <c r="M114" s="1">
        <v>13.0</v>
      </c>
      <c r="N114" s="1" t="s">
        <v>51</v>
      </c>
      <c r="O114" s="1">
        <v>35.0</v>
      </c>
      <c r="P114" s="1">
        <v>15.0</v>
      </c>
      <c r="Q114" s="1">
        <v>15.0</v>
      </c>
      <c r="R114" s="1">
        <v>20.0</v>
      </c>
      <c r="S114" s="1">
        <v>20.0</v>
      </c>
      <c r="T114" s="1" t="s">
        <v>52</v>
      </c>
      <c r="U114" s="1">
        <v>46.0</v>
      </c>
      <c r="V114" s="1">
        <v>20.0</v>
      </c>
      <c r="W114" s="1">
        <v>20.0</v>
      </c>
      <c r="X114" s="1">
        <v>26.0</v>
      </c>
      <c r="Y114" s="1">
        <v>26.0</v>
      </c>
      <c r="Z114" s="1" t="s">
        <v>53</v>
      </c>
      <c r="AA114" s="1">
        <v>39.0</v>
      </c>
      <c r="AB114" s="1">
        <v>19.0</v>
      </c>
      <c r="AC114" s="1">
        <v>19.0</v>
      </c>
      <c r="AD114" s="1">
        <v>20.0</v>
      </c>
      <c r="AE114" s="1">
        <v>20.0</v>
      </c>
      <c r="AF114" s="1" t="s">
        <v>54</v>
      </c>
      <c r="AG114" s="1">
        <v>50.0</v>
      </c>
      <c r="AH114" s="1">
        <v>20.0</v>
      </c>
      <c r="AI114" s="1">
        <v>20.0</v>
      </c>
      <c r="AJ114" s="1">
        <v>30.0</v>
      </c>
      <c r="AK114" s="1">
        <v>30.0</v>
      </c>
      <c r="AL114" s="1">
        <v>200.0</v>
      </c>
      <c r="AM114" s="1" t="s">
        <v>55</v>
      </c>
      <c r="AN114" s="1">
        <v>50.0</v>
      </c>
      <c r="AO114" s="1">
        <v>50.0</v>
      </c>
      <c r="AP114" s="1" t="s">
        <v>702</v>
      </c>
      <c r="AQ114" s="2" t="str">
        <f>HYPERLINK("https://icf.clappia.com/app/GMB253374/submission/DOQ35980125/ICF247370-GMB253374-l998705a95a00000000/SIG-20250626_16391354e1.jpeg", "SIG-20250626_16391354e1.jpeg")</f>
        <v>SIG-20250626_16391354e1.jpeg</v>
      </c>
      <c r="AR114" s="1" t="s">
        <v>703</v>
      </c>
      <c r="AS114" s="2" t="str">
        <f>HYPERLINK("https://icf.clappia.com/app/GMB253374/submission/DOQ35980125/ICF247370-GMB253374-3b13jhc3na1c00000000/SIG-20250626_16396mam0.jpeg", "SIG-20250626_16396mam0.jpeg")</f>
        <v>SIG-20250626_16396mam0.jpeg</v>
      </c>
      <c r="AT114" s="1" t="s">
        <v>575</v>
      </c>
      <c r="AU114" s="2" t="str">
        <f>HYPERLINK("https://icf.clappia.com/app/GMB253374/submission/DOQ35980125/ICF247370-GMB253374-1jne25dm1foak0000000/SIG-20250626_1639del13.jpeg", "SIG-20250626_1639del13.jpeg")</f>
        <v>SIG-20250626_1639del13.jpeg</v>
      </c>
      <c r="AV114" s="2" t="str">
        <f>HYPERLINK("https://www.google.com/maps/place/8.8663186%2C-12.0502285", "8.8663186,-12.0502285")</f>
        <v>8.8663186,-12.0502285</v>
      </c>
    </row>
    <row r="115" ht="15.75" customHeight="1">
      <c r="A115" s="1" t="s">
        <v>704</v>
      </c>
      <c r="B115" s="1" t="s">
        <v>46</v>
      </c>
      <c r="C115" s="1" t="s">
        <v>467</v>
      </c>
      <c r="D115" s="1" t="s">
        <v>467</v>
      </c>
      <c r="E115" s="1" t="s">
        <v>705</v>
      </c>
      <c r="F115" s="1" t="s">
        <v>64</v>
      </c>
      <c r="G115" s="1">
        <v>500.0</v>
      </c>
      <c r="H115" s="1" t="s">
        <v>50</v>
      </c>
      <c r="I115" s="1">
        <v>100.0</v>
      </c>
      <c r="J115" s="1">
        <v>50.0</v>
      </c>
      <c r="K115" s="1">
        <v>49.0</v>
      </c>
      <c r="L115" s="1">
        <v>50.0</v>
      </c>
      <c r="M115" s="1">
        <v>50.0</v>
      </c>
      <c r="N115" s="1" t="s">
        <v>51</v>
      </c>
      <c r="O115" s="1">
        <v>100.0</v>
      </c>
      <c r="P115" s="1">
        <v>50.0</v>
      </c>
      <c r="Q115" s="1">
        <v>47.0</v>
      </c>
      <c r="R115" s="1">
        <v>50.0</v>
      </c>
      <c r="S115" s="1">
        <v>50.0</v>
      </c>
      <c r="T115" s="1" t="s">
        <v>52</v>
      </c>
      <c r="U115" s="1">
        <v>100.0</v>
      </c>
      <c r="V115" s="1">
        <v>50.0</v>
      </c>
      <c r="W115" s="1">
        <v>50.0</v>
      </c>
      <c r="X115" s="1">
        <v>50.0</v>
      </c>
      <c r="Y115" s="1">
        <v>50.0</v>
      </c>
      <c r="Z115" s="1" t="s">
        <v>53</v>
      </c>
      <c r="AA115" s="1">
        <v>100.0</v>
      </c>
      <c r="AB115" s="1">
        <v>50.0</v>
      </c>
      <c r="AC115" s="1">
        <v>50.0</v>
      </c>
      <c r="AD115" s="1">
        <v>50.0</v>
      </c>
      <c r="AE115" s="1">
        <v>50.0</v>
      </c>
      <c r="AF115" s="1" t="s">
        <v>54</v>
      </c>
      <c r="AG115" s="1">
        <v>100.0</v>
      </c>
      <c r="AH115" s="1">
        <v>50.0</v>
      </c>
      <c r="AI115" s="1">
        <v>50.0</v>
      </c>
      <c r="AJ115" s="1">
        <v>50.0</v>
      </c>
      <c r="AK115" s="1">
        <v>50.0</v>
      </c>
      <c r="AL115" s="1">
        <v>496.0</v>
      </c>
      <c r="AM115" s="1">
        <v>4.0</v>
      </c>
      <c r="AN115" s="1" t="s">
        <v>55</v>
      </c>
      <c r="AO115" s="1" t="s">
        <v>55</v>
      </c>
      <c r="AP115" s="1" t="s">
        <v>706</v>
      </c>
      <c r="AQ115" s="2" t="str">
        <f>HYPERLINK("https://icf.clappia.com/app/GMB253374/submission/UOT03448807/ICF247370-GMB253374-3kg3a97b398o00000000/SIG-20250626_1617pbkhf.jpeg", "SIG-20250626_1617pbkhf.jpeg")</f>
        <v>SIG-20250626_1617pbkhf.jpeg</v>
      </c>
      <c r="AR115" s="1" t="s">
        <v>707</v>
      </c>
      <c r="AS115" s="2" t="str">
        <f>HYPERLINK("https://icf.clappia.com/app/GMB253374/submission/UOT03448807/ICF247370-GMB253374-4na9h91n459600000000/SIG-20250626_1618184d7n.jpeg", "SIG-20250626_1618184d7n.jpeg")</f>
        <v>SIG-20250626_1618184d7n.jpeg</v>
      </c>
      <c r="AT115" s="1" t="s">
        <v>708</v>
      </c>
      <c r="AU115" s="2" t="str">
        <f>HYPERLINK("https://icf.clappia.com/app/GMB253374/submission/UOT03448807/ICF247370-GMB253374-65pfbfn0g4c60000000/SIG-20250626_161818814f.jpeg", "SIG-20250626_161818814f.jpeg")</f>
        <v>SIG-20250626_161818814f.jpeg</v>
      </c>
      <c r="AV115" s="2" t="str">
        <f>HYPERLINK("https://www.google.com/maps/place/7.9661952%2C-11.7408174", "7.9661952,-11.7408174")</f>
        <v>7.9661952,-11.7408174</v>
      </c>
    </row>
    <row r="116" ht="15.75" customHeight="1">
      <c r="A116" s="1" t="s">
        <v>709</v>
      </c>
      <c r="B116" s="1" t="s">
        <v>46</v>
      </c>
      <c r="C116" s="1" t="s">
        <v>467</v>
      </c>
      <c r="D116" s="1" t="s">
        <v>467</v>
      </c>
      <c r="E116" s="1" t="s">
        <v>710</v>
      </c>
      <c r="F116" s="1" t="s">
        <v>64</v>
      </c>
      <c r="G116" s="1">
        <v>200.0</v>
      </c>
      <c r="H116" s="1" t="s">
        <v>50</v>
      </c>
      <c r="I116" s="1">
        <v>30.0</v>
      </c>
      <c r="J116" s="1">
        <v>10.0</v>
      </c>
      <c r="K116" s="1">
        <v>10.0</v>
      </c>
      <c r="L116" s="1">
        <v>20.0</v>
      </c>
      <c r="M116" s="1">
        <v>20.0</v>
      </c>
      <c r="N116" s="1" t="s">
        <v>51</v>
      </c>
      <c r="O116" s="1">
        <v>40.0</v>
      </c>
      <c r="P116" s="1">
        <v>20.0</v>
      </c>
      <c r="Q116" s="1">
        <v>20.0</v>
      </c>
      <c r="R116" s="1">
        <v>20.0</v>
      </c>
      <c r="S116" s="1">
        <v>20.0</v>
      </c>
      <c r="T116" s="1" t="s">
        <v>52</v>
      </c>
      <c r="U116" s="1">
        <v>50.0</v>
      </c>
      <c r="V116" s="1">
        <v>25.0</v>
      </c>
      <c r="W116" s="1">
        <v>25.0</v>
      </c>
      <c r="X116" s="1">
        <v>25.0</v>
      </c>
      <c r="Y116" s="1">
        <v>25.0</v>
      </c>
      <c r="Z116" s="1" t="s">
        <v>53</v>
      </c>
      <c r="AA116" s="1">
        <v>30.0</v>
      </c>
      <c r="AB116" s="1">
        <v>15.0</v>
      </c>
      <c r="AC116" s="1">
        <v>15.0</v>
      </c>
      <c r="AD116" s="1">
        <v>15.0</v>
      </c>
      <c r="AE116" s="1">
        <v>15.0</v>
      </c>
      <c r="AF116" s="1" t="s">
        <v>54</v>
      </c>
      <c r="AG116" s="1">
        <v>50.0</v>
      </c>
      <c r="AH116" s="1">
        <v>20.0</v>
      </c>
      <c r="AI116" s="1">
        <v>20.0</v>
      </c>
      <c r="AJ116" s="1">
        <v>30.0</v>
      </c>
      <c r="AK116" s="1">
        <v>30.0</v>
      </c>
      <c r="AL116" s="1">
        <v>200.0</v>
      </c>
      <c r="AM116" s="1" t="s">
        <v>55</v>
      </c>
      <c r="AN116" s="1" t="s">
        <v>55</v>
      </c>
      <c r="AO116" s="1" t="s">
        <v>55</v>
      </c>
      <c r="AP116" s="1" t="s">
        <v>711</v>
      </c>
      <c r="AQ116" s="2" t="str">
        <f>HYPERLINK("https://icf.clappia.com/app/GMB253374/submission/YKC08602168/ICF247370-GMB253374-219n8bb8phm960000000/SIG-20250626_1637g4ka7.jpeg", "SIG-20250626_1637g4ka7.jpeg")</f>
        <v>SIG-20250626_1637g4ka7.jpeg</v>
      </c>
      <c r="AR116" s="1" t="s">
        <v>712</v>
      </c>
      <c r="AS116" s="2" t="str">
        <f>HYPERLINK("https://icf.clappia.com/app/GMB253374/submission/YKC08602168/ICF247370-GMB253374-920eh102on1a0000000/SIG-20250626_163839g9i.jpeg", "SIG-20250626_163839g9i.jpeg")</f>
        <v>SIG-20250626_163839g9i.jpeg</v>
      </c>
      <c r="AT116" s="1" t="s">
        <v>713</v>
      </c>
      <c r="AU116" s="2" t="str">
        <f>HYPERLINK("https://icf.clappia.com/app/GMB253374/submission/YKC08602168/ICF247370-GMB253374-5ni201j93g6000000000/SIG-20250626_16381888ke.jpeg", "SIG-20250626_16381888ke.jpeg")</f>
        <v>SIG-20250626_16381888ke.jpeg</v>
      </c>
      <c r="AV116" s="2" t="str">
        <f>HYPERLINK("https://www.google.com/maps/place/8.8666169%2C-12.051284", "8.8666169,-12.051284")</f>
        <v>8.8666169,-12.051284</v>
      </c>
    </row>
    <row r="117" ht="15.75" customHeight="1">
      <c r="A117" s="1" t="s">
        <v>714</v>
      </c>
      <c r="B117" s="1" t="s">
        <v>46</v>
      </c>
      <c r="C117" s="1" t="s">
        <v>302</v>
      </c>
      <c r="D117" s="1" t="s">
        <v>302</v>
      </c>
      <c r="E117" s="1" t="s">
        <v>715</v>
      </c>
      <c r="F117" s="1" t="s">
        <v>64</v>
      </c>
      <c r="G117" s="1">
        <v>200.0</v>
      </c>
      <c r="H117" s="1" t="s">
        <v>50</v>
      </c>
      <c r="I117" s="1">
        <v>50.0</v>
      </c>
      <c r="J117" s="1">
        <v>25.0</v>
      </c>
      <c r="K117" s="1">
        <v>25.0</v>
      </c>
      <c r="L117" s="1">
        <v>25.0</v>
      </c>
      <c r="M117" s="1">
        <v>25.0</v>
      </c>
      <c r="N117" s="1" t="s">
        <v>51</v>
      </c>
      <c r="O117" s="1">
        <v>50.0</v>
      </c>
      <c r="P117" s="1">
        <v>25.0</v>
      </c>
      <c r="Q117" s="1">
        <v>25.0</v>
      </c>
      <c r="R117" s="1">
        <v>25.0</v>
      </c>
      <c r="S117" s="1">
        <v>25.0</v>
      </c>
      <c r="T117" s="1" t="s">
        <v>52</v>
      </c>
      <c r="U117" s="1">
        <v>50.0</v>
      </c>
      <c r="V117" s="1">
        <v>25.0</v>
      </c>
      <c r="W117" s="1">
        <v>25.0</v>
      </c>
      <c r="X117" s="1">
        <v>25.0</v>
      </c>
      <c r="Y117" s="1">
        <v>25.0</v>
      </c>
      <c r="Z117" s="1" t="s">
        <v>53</v>
      </c>
      <c r="AA117" s="1">
        <v>40.0</v>
      </c>
      <c r="AB117" s="1">
        <v>20.0</v>
      </c>
      <c r="AC117" s="1">
        <v>20.0</v>
      </c>
      <c r="AD117" s="1">
        <v>20.0</v>
      </c>
      <c r="AE117" s="1">
        <v>20.0</v>
      </c>
      <c r="AF117" s="1" t="s">
        <v>54</v>
      </c>
      <c r="AG117" s="1">
        <v>10.0</v>
      </c>
      <c r="AH117" s="1">
        <v>5.0</v>
      </c>
      <c r="AI117" s="1">
        <v>5.0</v>
      </c>
      <c r="AJ117" s="1">
        <v>5.0</v>
      </c>
      <c r="AK117" s="1">
        <v>5.0</v>
      </c>
      <c r="AL117" s="1">
        <v>200.0</v>
      </c>
      <c r="AM117" s="1" t="s">
        <v>55</v>
      </c>
      <c r="AN117" s="1" t="s">
        <v>55</v>
      </c>
      <c r="AO117" s="1" t="s">
        <v>55</v>
      </c>
      <c r="AP117" s="1" t="s">
        <v>716</v>
      </c>
      <c r="AQ117" s="2" t="str">
        <f>HYPERLINK("https://icf.clappia.com/app/GMB253374/submission/DAW51102374/ICF247370-GMB253374-d8dn85a4840o0000000/SIG-20250626_1634cf4dc.jpeg", "SIG-20250626_1634cf4dc.jpeg")</f>
        <v>SIG-20250626_1634cf4dc.jpeg</v>
      </c>
      <c r="AR117" s="1" t="s">
        <v>717</v>
      </c>
      <c r="AS117" s="2" t="str">
        <f>HYPERLINK("https://icf.clappia.com/app/GMB253374/submission/DAW51102374/ICF247370-GMB253374-ahmoob36k2na0000000/SIG-20250626_16341977lg.jpeg", "SIG-20250626_16341977lg.jpeg")</f>
        <v>SIG-20250626_16341977lg.jpeg</v>
      </c>
      <c r="AT117" s="1" t="s">
        <v>718</v>
      </c>
      <c r="AU117" s="2" t="str">
        <f>HYPERLINK("https://icf.clappia.com/app/GMB253374/submission/DAW51102374/ICF247370-GMB253374-4onmd243pc8i00000000/SIG-20250626_1634i6ahe.jpeg", "SIG-20250626_1634i6ahe.jpeg")</f>
        <v>SIG-20250626_1634i6ahe.jpeg</v>
      </c>
      <c r="AV117" s="2" t="str">
        <f>HYPERLINK("https://www.google.com/maps/place/8.8672872%2C-12.0516564", "8.8672872,-12.0516564")</f>
        <v>8.8672872,-12.0516564</v>
      </c>
    </row>
    <row r="118" ht="15.75" customHeight="1">
      <c r="A118" s="1" t="s">
        <v>719</v>
      </c>
      <c r="B118" s="1" t="s">
        <v>46</v>
      </c>
      <c r="C118" s="1" t="s">
        <v>302</v>
      </c>
      <c r="D118" s="1" t="s">
        <v>302</v>
      </c>
      <c r="E118" s="1" t="s">
        <v>720</v>
      </c>
      <c r="F118" s="1" t="s">
        <v>64</v>
      </c>
      <c r="G118" s="1">
        <v>500.0</v>
      </c>
      <c r="H118" s="1" t="s">
        <v>50</v>
      </c>
      <c r="I118" s="1">
        <v>100.0</v>
      </c>
      <c r="J118" s="1">
        <v>50.0</v>
      </c>
      <c r="K118" s="1">
        <v>49.0</v>
      </c>
      <c r="L118" s="1">
        <v>50.0</v>
      </c>
      <c r="M118" s="1">
        <v>50.0</v>
      </c>
      <c r="N118" s="1" t="s">
        <v>51</v>
      </c>
      <c r="O118" s="1">
        <v>100.0</v>
      </c>
      <c r="P118" s="1">
        <v>47.0</v>
      </c>
      <c r="Q118" s="1">
        <v>47.0</v>
      </c>
      <c r="R118" s="1">
        <v>49.0</v>
      </c>
      <c r="S118" s="1">
        <v>49.0</v>
      </c>
      <c r="T118" s="1" t="s">
        <v>52</v>
      </c>
      <c r="U118" s="1">
        <v>100.0</v>
      </c>
      <c r="V118" s="1">
        <v>50.0</v>
      </c>
      <c r="W118" s="1">
        <v>50.0</v>
      </c>
      <c r="X118" s="1">
        <v>50.0</v>
      </c>
      <c r="Y118" s="1">
        <v>47.0</v>
      </c>
      <c r="Z118" s="1" t="s">
        <v>53</v>
      </c>
      <c r="AA118" s="1">
        <v>100.0</v>
      </c>
      <c r="AB118" s="1">
        <v>50.0</v>
      </c>
      <c r="AC118" s="1">
        <v>50.0</v>
      </c>
      <c r="AD118" s="1">
        <v>50.0</v>
      </c>
      <c r="AE118" s="1">
        <v>49.0</v>
      </c>
      <c r="AF118" s="1" t="s">
        <v>54</v>
      </c>
      <c r="AG118" s="1">
        <v>100.0</v>
      </c>
      <c r="AH118" s="1">
        <v>50.0</v>
      </c>
      <c r="AI118" s="1">
        <v>48.0</v>
      </c>
      <c r="AJ118" s="1">
        <v>50.0</v>
      </c>
      <c r="AK118" s="1">
        <v>50.0</v>
      </c>
      <c r="AL118" s="1">
        <v>489.0</v>
      </c>
      <c r="AM118" s="1" t="s">
        <v>55</v>
      </c>
      <c r="AN118" s="1">
        <v>11.0</v>
      </c>
      <c r="AO118" s="1">
        <v>11.0</v>
      </c>
      <c r="AP118" s="1" t="s">
        <v>721</v>
      </c>
      <c r="AQ118" s="2" t="str">
        <f>HYPERLINK("https://icf.clappia.com/app/GMB253374/submission/AOW26399354/ICF247370-GMB253374-44758cjd0pbi00000000/SIG-20250626_151057f19.jpeg", "SIG-20250626_151057f19.jpeg")</f>
        <v>SIG-20250626_151057f19.jpeg</v>
      </c>
      <c r="AR118" s="1" t="s">
        <v>722</v>
      </c>
      <c r="AS118" s="2" t="str">
        <f>HYPERLINK("https://icf.clappia.com/app/GMB253374/submission/AOW26399354/ICF247370-GMB253374-223ecco7d42mi0000000/SIG-20250626_1510209ij.jpeg", "SIG-20250626_1510209ij.jpeg")</f>
        <v>SIG-20250626_1510209ij.jpeg</v>
      </c>
      <c r="AT118" s="1" t="s">
        <v>723</v>
      </c>
      <c r="AU118" s="2" t="str">
        <f>HYPERLINK("https://icf.clappia.com/app/GMB253374/submission/AOW26399354/ICF247370-GMB253374-5phd9dl2ljgk00000000/SIG-20250626_1511gmfag.jpeg", "SIG-20250626_1511gmfag.jpeg")</f>
        <v>SIG-20250626_1511gmfag.jpeg</v>
      </c>
      <c r="AV118" s="2" t="str">
        <f>HYPERLINK("https://www.google.com/maps/place/7.9662%2C-11.73964", "7.9662,-11.73964")</f>
        <v>7.9662,-11.73964</v>
      </c>
    </row>
    <row r="119" ht="15.75" customHeight="1">
      <c r="A119" s="1" t="s">
        <v>724</v>
      </c>
      <c r="B119" s="1" t="s">
        <v>46</v>
      </c>
      <c r="C119" s="1" t="s">
        <v>725</v>
      </c>
      <c r="D119" s="1" t="s">
        <v>725</v>
      </c>
      <c r="E119" s="1" t="s">
        <v>726</v>
      </c>
      <c r="F119" s="1" t="s">
        <v>64</v>
      </c>
      <c r="G119" s="1">
        <v>500.0</v>
      </c>
      <c r="H119" s="1" t="s">
        <v>50</v>
      </c>
      <c r="I119" s="1">
        <v>100.0</v>
      </c>
      <c r="J119" s="1">
        <v>50.0</v>
      </c>
      <c r="K119" s="1">
        <v>49.0</v>
      </c>
      <c r="L119" s="1">
        <v>50.0</v>
      </c>
      <c r="M119" s="1">
        <v>50.0</v>
      </c>
      <c r="N119" s="1" t="s">
        <v>51</v>
      </c>
      <c r="O119" s="1">
        <v>100.0</v>
      </c>
      <c r="P119" s="1">
        <v>50.0</v>
      </c>
      <c r="Q119" s="1">
        <v>47.0</v>
      </c>
      <c r="R119" s="1">
        <v>50.0</v>
      </c>
      <c r="S119" s="1">
        <v>49.0</v>
      </c>
      <c r="T119" s="1" t="s">
        <v>52</v>
      </c>
      <c r="U119" s="1">
        <v>100.0</v>
      </c>
      <c r="V119" s="1">
        <v>50.0</v>
      </c>
      <c r="W119" s="1">
        <v>50.0</v>
      </c>
      <c r="X119" s="1">
        <v>50.0</v>
      </c>
      <c r="Y119" s="1">
        <v>47.0</v>
      </c>
      <c r="Z119" s="1" t="s">
        <v>53</v>
      </c>
      <c r="AA119" s="1">
        <v>100.0</v>
      </c>
      <c r="AB119" s="1">
        <v>50.0</v>
      </c>
      <c r="AC119" s="1">
        <v>50.0</v>
      </c>
      <c r="AD119" s="1">
        <v>50.0</v>
      </c>
      <c r="AE119" s="1">
        <v>49.0</v>
      </c>
      <c r="AF119" s="1" t="s">
        <v>54</v>
      </c>
      <c r="AG119" s="1">
        <v>100.0</v>
      </c>
      <c r="AH119" s="1">
        <v>50.0</v>
      </c>
      <c r="AI119" s="1">
        <v>48.0</v>
      </c>
      <c r="AJ119" s="1">
        <v>50.0</v>
      </c>
      <c r="AK119" s="1">
        <v>50.0</v>
      </c>
      <c r="AL119" s="1">
        <v>489.0</v>
      </c>
      <c r="AM119" s="1" t="s">
        <v>55</v>
      </c>
      <c r="AN119" s="1">
        <v>11.0</v>
      </c>
      <c r="AO119" s="1">
        <v>11.0</v>
      </c>
      <c r="AP119" s="1" t="s">
        <v>727</v>
      </c>
      <c r="AQ119" s="2" t="str">
        <f>HYPERLINK("https://icf.clappia.com/app/GMB253374/submission/LTB83762644/ICF247370-GMB253374-31kkc0771n5a00000000/SIG-20250626_163213ol61.jpeg", "SIG-20250626_163213ol61.jpeg")</f>
        <v>SIG-20250626_163213ol61.jpeg</v>
      </c>
      <c r="AR119" s="1" t="s">
        <v>728</v>
      </c>
      <c r="AS119" s="2" t="str">
        <f>HYPERLINK("https://icf.clappia.com/app/GMB253374/submission/LTB83762644/ICF247370-GMB253374-570fpgh27bd200000000/SIG-20250626_163292ki2.jpeg", "SIG-20250626_163292ki2.jpeg")</f>
        <v>SIG-20250626_163292ki2.jpeg</v>
      </c>
      <c r="AT119" s="1" t="s">
        <v>729</v>
      </c>
      <c r="AU119" s="2" t="str">
        <f>HYPERLINK("https://icf.clappia.com/app/GMB253374/submission/LTB83762644/ICF247370-GMB253374-36m99nhj3m7m00000000/SIG-20250626_1632lga7e.jpeg", "SIG-20250626_1632lga7e.jpeg")</f>
        <v>SIG-20250626_1632lga7e.jpeg</v>
      </c>
      <c r="AV119" s="2" t="str">
        <f>HYPERLINK("https://www.google.com/maps/place/7.9650512%2C-11.7408165", "7.9650512,-11.7408165")</f>
        <v>7.9650512,-11.7408165</v>
      </c>
    </row>
    <row r="120" ht="15.75" customHeight="1">
      <c r="A120" s="1" t="s">
        <v>730</v>
      </c>
      <c r="B120" s="1" t="s">
        <v>46</v>
      </c>
      <c r="C120" s="1" t="s">
        <v>731</v>
      </c>
      <c r="D120" s="1" t="s">
        <v>731</v>
      </c>
      <c r="E120" s="1" t="s">
        <v>732</v>
      </c>
      <c r="F120" s="1" t="s">
        <v>64</v>
      </c>
      <c r="G120" s="1">
        <v>500.0</v>
      </c>
      <c r="H120" s="1" t="s">
        <v>50</v>
      </c>
      <c r="I120" s="1">
        <v>100.0</v>
      </c>
      <c r="J120" s="1">
        <v>50.0</v>
      </c>
      <c r="K120" s="1">
        <v>49.0</v>
      </c>
      <c r="L120" s="1">
        <v>50.0</v>
      </c>
      <c r="M120" s="1">
        <v>50.0</v>
      </c>
      <c r="N120" s="1" t="s">
        <v>51</v>
      </c>
      <c r="O120" s="1">
        <v>100.0</v>
      </c>
      <c r="P120" s="1">
        <v>50.0</v>
      </c>
      <c r="Q120" s="1">
        <v>47.0</v>
      </c>
      <c r="R120" s="1">
        <v>50.0</v>
      </c>
      <c r="S120" s="1">
        <v>49.0</v>
      </c>
      <c r="T120" s="1" t="s">
        <v>52</v>
      </c>
      <c r="U120" s="1">
        <v>120.0</v>
      </c>
      <c r="V120" s="1">
        <v>70.0</v>
      </c>
      <c r="W120" s="1">
        <v>65.0</v>
      </c>
      <c r="X120" s="1">
        <v>50.0</v>
      </c>
      <c r="Y120" s="1">
        <v>48.0</v>
      </c>
      <c r="Z120" s="1" t="s">
        <v>53</v>
      </c>
      <c r="AA120" s="1">
        <v>100.0</v>
      </c>
      <c r="AB120" s="1">
        <v>50.0</v>
      </c>
      <c r="AC120" s="1">
        <v>43.0</v>
      </c>
      <c r="AD120" s="1">
        <v>50.0</v>
      </c>
      <c r="AE120" s="1">
        <v>48.0</v>
      </c>
      <c r="AF120" s="1" t="s">
        <v>54</v>
      </c>
      <c r="AG120" s="1">
        <v>100.0</v>
      </c>
      <c r="AH120" s="1">
        <v>50.0</v>
      </c>
      <c r="AI120" s="1">
        <v>49.0</v>
      </c>
      <c r="AJ120" s="1">
        <v>50.0</v>
      </c>
      <c r="AK120" s="1">
        <v>47.0</v>
      </c>
      <c r="AL120" s="1">
        <v>495.0</v>
      </c>
      <c r="AM120" s="1">
        <v>5.0</v>
      </c>
      <c r="AN120" s="1" t="s">
        <v>55</v>
      </c>
      <c r="AO120" s="1" t="s">
        <v>55</v>
      </c>
      <c r="AP120" s="1" t="s">
        <v>733</v>
      </c>
      <c r="AQ120" s="2" t="str">
        <f>HYPERLINK("https://icf.clappia.com/app/GMB253374/submission/SGT61156767/ICF247370-GMB253374-5ek6n9ogmjkc00000000/SIG-20250626_144717h9b6.jpeg", "SIG-20250626_144717h9b6.jpeg")</f>
        <v>SIG-20250626_144717h9b6.jpeg</v>
      </c>
      <c r="AR120" s="1" t="s">
        <v>734</v>
      </c>
      <c r="AS120" s="2" t="str">
        <f>HYPERLINK("https://icf.clappia.com/app/GMB253374/submission/SGT61156767/ICF247370-GMB253374-3m15ma28jk8400000000/SIG-20250626_15044idd2.jpeg", "SIG-20250626_15044idd2.jpeg")</f>
        <v>SIG-20250626_15044idd2.jpeg</v>
      </c>
      <c r="AT120" s="1" t="s">
        <v>735</v>
      </c>
      <c r="AU120" s="2" t="str">
        <f>HYPERLINK("https://icf.clappia.com/app/GMB253374/submission/SGT61156767/ICF247370-GMB253374-3oe9boc9bmim00000000/SIG-20250626_15057pgmc.jpeg", "SIG-20250626_15057pgmc.jpeg")</f>
        <v>SIG-20250626_15057pgmc.jpeg</v>
      </c>
      <c r="AV120" s="2" t="str">
        <f>HYPERLINK("https://www.google.com/maps/place/7.9661774%2C-11.7408583", "7.9661774,-11.7408583")</f>
        <v>7.9661774,-11.7408583</v>
      </c>
    </row>
    <row r="121" ht="15.75" customHeight="1">
      <c r="A121" s="1" t="s">
        <v>736</v>
      </c>
      <c r="B121" s="1" t="s">
        <v>46</v>
      </c>
      <c r="C121" s="1" t="s">
        <v>737</v>
      </c>
      <c r="D121" s="1" t="s">
        <v>737</v>
      </c>
      <c r="E121" s="1" t="s">
        <v>738</v>
      </c>
      <c r="F121" s="1" t="s">
        <v>64</v>
      </c>
      <c r="G121" s="1">
        <v>200.0</v>
      </c>
      <c r="H121" s="1" t="s">
        <v>50</v>
      </c>
      <c r="I121" s="1">
        <v>50.0</v>
      </c>
      <c r="J121" s="1">
        <v>25.0</v>
      </c>
      <c r="K121" s="1">
        <v>25.0</v>
      </c>
      <c r="L121" s="1">
        <v>25.0</v>
      </c>
      <c r="M121" s="1">
        <v>25.0</v>
      </c>
      <c r="N121" s="1" t="s">
        <v>51</v>
      </c>
      <c r="O121" s="1">
        <v>50.0</v>
      </c>
      <c r="P121" s="1">
        <v>25.0</v>
      </c>
      <c r="Q121" s="1">
        <v>25.0</v>
      </c>
      <c r="R121" s="1">
        <v>25.0</v>
      </c>
      <c r="S121" s="1">
        <v>25.0</v>
      </c>
      <c r="T121" s="1" t="s">
        <v>52</v>
      </c>
      <c r="U121" s="1">
        <v>50.0</v>
      </c>
      <c r="V121" s="1">
        <v>25.0</v>
      </c>
      <c r="W121" s="1">
        <v>25.0</v>
      </c>
      <c r="X121" s="1">
        <v>25.0</v>
      </c>
      <c r="Y121" s="1">
        <v>25.0</v>
      </c>
      <c r="Z121" s="1" t="s">
        <v>53</v>
      </c>
      <c r="AA121" s="1">
        <v>20.0</v>
      </c>
      <c r="AB121" s="1">
        <v>10.0</v>
      </c>
      <c r="AC121" s="1">
        <v>10.0</v>
      </c>
      <c r="AD121" s="1">
        <v>10.0</v>
      </c>
      <c r="AE121" s="1">
        <v>10.0</v>
      </c>
      <c r="AF121" s="1" t="s">
        <v>54</v>
      </c>
      <c r="AG121" s="1">
        <v>30.0</v>
      </c>
      <c r="AH121" s="1">
        <v>15.0</v>
      </c>
      <c r="AI121" s="1">
        <v>15.0</v>
      </c>
      <c r="AJ121" s="1">
        <v>15.0</v>
      </c>
      <c r="AK121" s="1">
        <v>15.0</v>
      </c>
      <c r="AL121" s="1">
        <v>200.0</v>
      </c>
      <c r="AM121" s="1" t="s">
        <v>55</v>
      </c>
      <c r="AN121" s="1" t="s">
        <v>55</v>
      </c>
      <c r="AO121" s="1" t="s">
        <v>55</v>
      </c>
      <c r="AP121" s="1" t="s">
        <v>712</v>
      </c>
      <c r="AQ121" s="2" t="str">
        <f>HYPERLINK("https://icf.clappia.com/app/GMB253374/submission/AZY88432850/ICF247370-GMB253374-59egbgn874bm00000000/SIG-20250626_161919g2cb.jpeg", "SIG-20250626_161919g2cb.jpeg")</f>
        <v>SIG-20250626_161919g2cb.jpeg</v>
      </c>
      <c r="AR121" s="1" t="s">
        <v>713</v>
      </c>
      <c r="AS121" s="2" t="str">
        <f>HYPERLINK("https://icf.clappia.com/app/GMB253374/submission/AZY88432850/ICF247370-GMB253374-6bhjc1jj8jmc00000000/SIG-20250626_162018i6ko.jpeg", "SIG-20250626_162018i6ko.jpeg")</f>
        <v>SIG-20250626_162018i6ko.jpeg</v>
      </c>
      <c r="AT121" s="1" t="s">
        <v>739</v>
      </c>
      <c r="AU121" s="2" t="str">
        <f>HYPERLINK("https://icf.clappia.com/app/GMB253374/submission/AZY88432850/ICF247370-GMB253374-2ng40l3i02k600000000/SIG-20250626_162017hb0a.jpeg", "SIG-20250626_162017hb0a.jpeg")</f>
        <v>SIG-20250626_162017hb0a.jpeg</v>
      </c>
      <c r="AV121" s="2" t="str">
        <f>HYPERLINK("https://www.google.com/maps/place/8.8661857%2C-12.0499863", "8.8661857,-12.0499863")</f>
        <v>8.8661857,-12.0499863</v>
      </c>
    </row>
    <row r="122" ht="15.75" customHeight="1">
      <c r="A122" s="1" t="s">
        <v>740</v>
      </c>
      <c r="B122" s="1" t="s">
        <v>46</v>
      </c>
      <c r="C122" s="1" t="s">
        <v>569</v>
      </c>
      <c r="D122" s="1" t="s">
        <v>737</v>
      </c>
      <c r="E122" s="1" t="s">
        <v>741</v>
      </c>
      <c r="F122" s="1" t="s">
        <v>64</v>
      </c>
      <c r="G122" s="1">
        <v>450.0</v>
      </c>
      <c r="H122" s="1" t="s">
        <v>50</v>
      </c>
      <c r="I122" s="1">
        <v>100.0</v>
      </c>
      <c r="J122" s="1">
        <v>50.0</v>
      </c>
      <c r="K122" s="1">
        <v>50.0</v>
      </c>
      <c r="L122" s="1">
        <v>50.0</v>
      </c>
      <c r="M122" s="1">
        <v>50.0</v>
      </c>
      <c r="N122" s="1" t="s">
        <v>51</v>
      </c>
      <c r="O122" s="1">
        <v>100.0</v>
      </c>
      <c r="P122" s="1">
        <v>50.0</v>
      </c>
      <c r="Q122" s="1">
        <v>50.0</v>
      </c>
      <c r="R122" s="1">
        <v>50.0</v>
      </c>
      <c r="S122" s="1">
        <v>50.0</v>
      </c>
      <c r="T122" s="1" t="s">
        <v>52</v>
      </c>
      <c r="U122" s="1">
        <v>100.0</v>
      </c>
      <c r="V122" s="1">
        <v>50.0</v>
      </c>
      <c r="W122" s="1">
        <v>50.0</v>
      </c>
      <c r="X122" s="1">
        <v>50.0</v>
      </c>
      <c r="Y122" s="1">
        <v>50.0</v>
      </c>
      <c r="Z122" s="1" t="s">
        <v>53</v>
      </c>
      <c r="AA122" s="1">
        <v>100.0</v>
      </c>
      <c r="AB122" s="1">
        <v>50.0</v>
      </c>
      <c r="AC122" s="1">
        <v>50.0</v>
      </c>
      <c r="AD122" s="1">
        <v>50.0</v>
      </c>
      <c r="AE122" s="1">
        <v>50.0</v>
      </c>
      <c r="AF122" s="1" t="s">
        <v>54</v>
      </c>
      <c r="AG122" s="1">
        <v>37.0</v>
      </c>
      <c r="AH122" s="1">
        <v>20.0</v>
      </c>
      <c r="AI122" s="1">
        <v>18.0</v>
      </c>
      <c r="AJ122" s="1">
        <v>17.0</v>
      </c>
      <c r="AK122" s="1">
        <v>15.0</v>
      </c>
      <c r="AL122" s="1">
        <v>433.0</v>
      </c>
      <c r="AM122" s="1">
        <v>4.0</v>
      </c>
      <c r="AN122" s="1">
        <v>13.0</v>
      </c>
      <c r="AO122" s="1">
        <v>13.0</v>
      </c>
      <c r="AP122" s="1" t="s">
        <v>742</v>
      </c>
      <c r="AQ122" s="2" t="str">
        <f>HYPERLINK("https://icf.clappia.com/app/GMB253374/submission/RRN47461632/ICF247370-GMB253374-252n32meabiic0000000/SIG-20250626_1617ld07i.jpeg", "SIG-20250626_1617ld07i.jpeg")</f>
        <v>SIG-20250626_1617ld07i.jpeg</v>
      </c>
      <c r="AR122" s="1" t="s">
        <v>743</v>
      </c>
      <c r="AS122" s="2" t="str">
        <f>HYPERLINK("https://icf.clappia.com/app/GMB253374/submission/RRN47461632/ICF247370-GMB253374-250o280l7el0c0000000/SIG-20250626_16181077k9.jpeg", "SIG-20250626_16181077k9.jpeg")</f>
        <v>SIG-20250626_16181077k9.jpeg</v>
      </c>
      <c r="AT122" s="1" t="s">
        <v>744</v>
      </c>
      <c r="AU122" s="2" t="str">
        <f>HYPERLINK("https://icf.clappia.com/app/GMB253374/submission/RRN47461632/ICF247370-GMB253374-37lf0f26i60600000000/SIG-20250626_1618125fpb.jpeg", "SIG-20250626_1618125fpb.jpeg")</f>
        <v>SIG-20250626_1618125fpb.jpeg</v>
      </c>
      <c r="AV122" s="2" t="str">
        <f>HYPERLINK("https://www.google.com/maps/place/8.8656683%2C-12.04986", "8.8656683,-12.04986")</f>
        <v>8.8656683,-12.04986</v>
      </c>
    </row>
    <row r="123" ht="15.75" customHeight="1">
      <c r="A123" s="1" t="s">
        <v>745</v>
      </c>
      <c r="B123" s="1" t="s">
        <v>46</v>
      </c>
      <c r="C123" s="1" t="s">
        <v>746</v>
      </c>
      <c r="D123" s="1" t="s">
        <v>746</v>
      </c>
      <c r="E123" s="1" t="s">
        <v>747</v>
      </c>
      <c r="F123" s="1" t="s">
        <v>64</v>
      </c>
      <c r="G123" s="1">
        <v>200.0</v>
      </c>
      <c r="H123" s="1" t="s">
        <v>50</v>
      </c>
      <c r="I123" s="1">
        <v>150.0</v>
      </c>
      <c r="J123" s="1">
        <v>75.0</v>
      </c>
      <c r="K123" s="1">
        <v>75.0</v>
      </c>
      <c r="L123" s="1">
        <v>75.0</v>
      </c>
      <c r="M123" s="1">
        <v>75.0</v>
      </c>
      <c r="N123" s="1" t="s">
        <v>51</v>
      </c>
      <c r="O123" s="1">
        <v>120.0</v>
      </c>
      <c r="P123" s="1">
        <v>60.0</v>
      </c>
      <c r="Q123" s="1">
        <v>60.0</v>
      </c>
      <c r="R123" s="1">
        <v>60.0</v>
      </c>
      <c r="S123" s="1">
        <v>60.0</v>
      </c>
      <c r="T123" s="1" t="s">
        <v>52</v>
      </c>
      <c r="U123" s="1">
        <v>100.0</v>
      </c>
      <c r="V123" s="1">
        <v>50.0</v>
      </c>
      <c r="W123" s="1">
        <v>50.0</v>
      </c>
      <c r="X123" s="1">
        <v>50.0</v>
      </c>
      <c r="Y123" s="1">
        <v>50.0</v>
      </c>
      <c r="Z123" s="1" t="s">
        <v>53</v>
      </c>
      <c r="AA123" s="1">
        <v>130.0</v>
      </c>
      <c r="AB123" s="1">
        <v>65.0</v>
      </c>
      <c r="AC123" s="1">
        <v>65.0</v>
      </c>
      <c r="AD123" s="1">
        <v>65.0</v>
      </c>
      <c r="AE123" s="1">
        <v>65.0</v>
      </c>
      <c r="AF123" s="1" t="s">
        <v>54</v>
      </c>
      <c r="AG123" s="1">
        <v>110.0</v>
      </c>
      <c r="AH123" s="1">
        <v>55.0</v>
      </c>
      <c r="AI123" s="1">
        <v>55.0</v>
      </c>
      <c r="AJ123" s="1">
        <v>55.0</v>
      </c>
      <c r="AK123" s="1">
        <v>55.0</v>
      </c>
      <c r="AL123" s="1">
        <v>610.0</v>
      </c>
      <c r="AM123" s="1">
        <v>-410.0</v>
      </c>
      <c r="AN123" s="1" t="s">
        <v>55</v>
      </c>
      <c r="AO123" s="1">
        <v>-410.0</v>
      </c>
      <c r="AP123" s="1" t="s">
        <v>748</v>
      </c>
      <c r="AQ123" s="2" t="str">
        <f>HYPERLINK("https://icf.clappia.com/app/GMB253374/submission/GBW75806042/ICF247370-GMB253374-4e0c51ml5m9i00000000/SIG-20250626_1624i5m2m.jpeg", "SIG-20250626_1624i5m2m.jpeg")</f>
        <v>SIG-20250626_1624i5m2m.jpeg</v>
      </c>
      <c r="AR123" s="1" t="s">
        <v>749</v>
      </c>
      <c r="AS123" s="2" t="str">
        <f>HYPERLINK("https://icf.clappia.com/app/GMB253374/submission/GBW75806042/ICF247370-GMB253374-1950jpe6g59j60000000/SIG-20250626_1626blhb6.jpeg", "SIG-20250626_1626blhb6.jpeg")</f>
        <v>SIG-20250626_1626blhb6.jpeg</v>
      </c>
      <c r="AT123" s="1" t="s">
        <v>750</v>
      </c>
      <c r="AU123" s="2" t="str">
        <f>HYPERLINK("https://icf.clappia.com/app/GMB253374/submission/GBW75806042/ICF247370-GMB253374-5b93f73fe7hi00000000/SIG-20250626_162614e6oo.jpeg", "SIG-20250626_162614e6oo.jpeg")</f>
        <v>SIG-20250626_162614e6oo.jpeg</v>
      </c>
      <c r="AV123" s="2" t="str">
        <f>HYPERLINK("https://www.google.com/maps/place/8.8657294%2C-12.049923", "8.8657294,-12.049923")</f>
        <v>8.8657294,-12.049923</v>
      </c>
    </row>
    <row r="124" ht="15.75" customHeight="1">
      <c r="A124" s="1" t="s">
        <v>751</v>
      </c>
      <c r="B124" s="1" t="s">
        <v>46</v>
      </c>
      <c r="C124" s="1" t="s">
        <v>752</v>
      </c>
      <c r="D124" s="1" t="s">
        <v>752</v>
      </c>
      <c r="E124" s="1" t="s">
        <v>753</v>
      </c>
      <c r="F124" s="1" t="s">
        <v>64</v>
      </c>
      <c r="G124" s="1">
        <v>200.0</v>
      </c>
      <c r="H124" s="1" t="s">
        <v>50</v>
      </c>
      <c r="I124" s="1">
        <v>20.0</v>
      </c>
      <c r="J124" s="1">
        <v>10.0</v>
      </c>
      <c r="K124" s="1">
        <v>10.0</v>
      </c>
      <c r="L124" s="1">
        <v>10.0</v>
      </c>
      <c r="M124" s="1">
        <v>8.0</v>
      </c>
      <c r="N124" s="1" t="s">
        <v>51</v>
      </c>
      <c r="O124" s="1">
        <v>25.0</v>
      </c>
      <c r="P124" s="1">
        <v>15.0</v>
      </c>
      <c r="Q124" s="1">
        <v>15.0</v>
      </c>
      <c r="R124" s="1">
        <v>10.0</v>
      </c>
      <c r="S124" s="1">
        <v>10.0</v>
      </c>
      <c r="T124" s="1" t="s">
        <v>52</v>
      </c>
      <c r="U124" s="1">
        <v>35.0</v>
      </c>
      <c r="V124" s="1">
        <v>15.0</v>
      </c>
      <c r="W124" s="1">
        <v>10.0</v>
      </c>
      <c r="X124" s="1">
        <v>20.0</v>
      </c>
      <c r="Y124" s="1">
        <v>17.0</v>
      </c>
      <c r="Z124" s="1" t="s">
        <v>53</v>
      </c>
      <c r="AA124" s="1">
        <v>40.0</v>
      </c>
      <c r="AB124" s="1">
        <v>15.0</v>
      </c>
      <c r="AC124" s="1">
        <v>14.0</v>
      </c>
      <c r="AD124" s="1">
        <v>25.0</v>
      </c>
      <c r="AE124" s="1">
        <v>21.0</v>
      </c>
      <c r="AF124" s="1" t="s">
        <v>54</v>
      </c>
      <c r="AG124" s="1">
        <v>60.0</v>
      </c>
      <c r="AH124" s="1">
        <v>28.0</v>
      </c>
      <c r="AI124" s="1">
        <v>28.0</v>
      </c>
      <c r="AJ124" s="1">
        <v>32.0</v>
      </c>
      <c r="AK124" s="1">
        <v>30.0</v>
      </c>
      <c r="AL124" s="1">
        <v>163.0</v>
      </c>
      <c r="AM124" s="1" t="s">
        <v>55</v>
      </c>
      <c r="AN124" s="1">
        <v>37.0</v>
      </c>
      <c r="AO124" s="1">
        <v>37.0</v>
      </c>
      <c r="AP124" s="1" t="s">
        <v>754</v>
      </c>
      <c r="AQ124" s="2" t="str">
        <f>HYPERLINK("https://icf.clappia.com/app/GMB253374/submission/IPK13682449/ICF247370-GMB253374-1o4hhj1p0dg5m0000000/SIG-20250626_134718lp9.jpeg", "SIG-20250626_134718lp9.jpeg")</f>
        <v>SIG-20250626_134718lp9.jpeg</v>
      </c>
      <c r="AR124" s="1" t="s">
        <v>755</v>
      </c>
      <c r="AS124" s="2" t="str">
        <f>HYPERLINK("https://icf.clappia.com/app/GMB253374/submission/IPK13682449/ICF247370-GMB253374-b81ghm3oo38k0000000/SIG-20250626_140318048f.jpeg", "SIG-20250626_140318048f.jpeg")</f>
        <v>SIG-20250626_140318048f.jpeg</v>
      </c>
      <c r="AT124" s="1" t="s">
        <v>756</v>
      </c>
      <c r="AU124" s="2" t="str">
        <f>HYPERLINK("https://icf.clappia.com/app/GMB253374/submission/IPK13682449/ICF247370-GMB253374-608ecjaf3p2400000000/SIG-20250626_1347cfe2h.jpeg", "SIG-20250626_1347cfe2h.jpeg")</f>
        <v>SIG-20250626_1347cfe2h.jpeg</v>
      </c>
      <c r="AV124" s="2" t="str">
        <f>HYPERLINK("https://www.google.com/maps/place/8.8651842%2C-12.0500829", "8.8651842,-12.0500829")</f>
        <v>8.8651842,-12.0500829</v>
      </c>
    </row>
    <row r="125" ht="15.75" customHeight="1">
      <c r="A125" s="1" t="s">
        <v>757</v>
      </c>
      <c r="B125" s="1" t="s">
        <v>46</v>
      </c>
      <c r="C125" s="1" t="s">
        <v>368</v>
      </c>
      <c r="D125" s="1" t="s">
        <v>368</v>
      </c>
      <c r="E125" s="1" t="s">
        <v>758</v>
      </c>
      <c r="F125" s="1" t="s">
        <v>64</v>
      </c>
      <c r="G125" s="1">
        <v>250.0</v>
      </c>
      <c r="H125" s="1" t="s">
        <v>50</v>
      </c>
      <c r="I125" s="1">
        <v>50.0</v>
      </c>
      <c r="J125" s="1">
        <v>25.0</v>
      </c>
      <c r="K125" s="1">
        <v>25.0</v>
      </c>
      <c r="L125" s="1">
        <v>25.0</v>
      </c>
      <c r="M125" s="1">
        <v>25.0</v>
      </c>
      <c r="N125" s="1" t="s">
        <v>51</v>
      </c>
      <c r="O125" s="1">
        <v>20.0</v>
      </c>
      <c r="P125" s="1">
        <v>8.0</v>
      </c>
      <c r="Q125" s="1">
        <v>8.0</v>
      </c>
      <c r="R125" s="1">
        <v>12.0</v>
      </c>
      <c r="S125" s="1">
        <v>12.0</v>
      </c>
      <c r="T125" s="1" t="s">
        <v>52</v>
      </c>
      <c r="U125" s="1">
        <v>30.0</v>
      </c>
      <c r="V125" s="1">
        <v>10.0</v>
      </c>
      <c r="W125" s="1">
        <v>10.0</v>
      </c>
      <c r="X125" s="1">
        <v>20.0</v>
      </c>
      <c r="Y125" s="1">
        <v>20.0</v>
      </c>
      <c r="Z125" s="1" t="s">
        <v>53</v>
      </c>
      <c r="AA125" s="1">
        <v>50.0</v>
      </c>
      <c r="AB125" s="1">
        <v>20.0</v>
      </c>
      <c r="AC125" s="1">
        <v>20.0</v>
      </c>
      <c r="AD125" s="1">
        <v>30.0</v>
      </c>
      <c r="AE125" s="1">
        <v>30.0</v>
      </c>
      <c r="AF125" s="1" t="s">
        <v>54</v>
      </c>
      <c r="AG125" s="1">
        <v>50.0</v>
      </c>
      <c r="AH125" s="1">
        <v>30.0</v>
      </c>
      <c r="AI125" s="1">
        <v>30.0</v>
      </c>
      <c r="AJ125" s="1">
        <v>20.0</v>
      </c>
      <c r="AK125" s="1">
        <v>20.0</v>
      </c>
      <c r="AL125" s="1">
        <v>200.0</v>
      </c>
      <c r="AM125" s="1" t="s">
        <v>55</v>
      </c>
      <c r="AN125" s="1">
        <v>50.0</v>
      </c>
      <c r="AO125" s="1" t="s">
        <v>55</v>
      </c>
      <c r="AP125" s="1" t="s">
        <v>759</v>
      </c>
      <c r="AQ125" s="2" t="str">
        <f>HYPERLINK("https://icf.clappia.com/app/GMB253374/submission/MZY35756360/ICF247370-GMB253374-288k0f1p6ed8c0000000/SIG-20250626_1620m6j5f.jpeg", "SIG-20250626_1620m6j5f.jpeg")</f>
        <v>SIG-20250626_1620m6j5f.jpeg</v>
      </c>
      <c r="AR125" s="1" t="s">
        <v>760</v>
      </c>
      <c r="AS125" s="2" t="str">
        <f>HYPERLINK("https://icf.clappia.com/app/GMB253374/submission/MZY35756360/ICF247370-GMB253374-kn234mi92m6c0000000/SIG-20250626_1621133dfj.jpeg", "SIG-20250626_1621133dfj.jpeg")</f>
        <v>SIG-20250626_1621133dfj.jpeg</v>
      </c>
      <c r="AT125" s="1" t="s">
        <v>761</v>
      </c>
      <c r="AU125" s="2" t="str">
        <f>HYPERLINK("https://icf.clappia.com/app/GMB253374/submission/MZY35756360/ICF247370-GMB253374-66bg248ifh6i00000000/SIG-20250626_1621196i89.jpeg", "SIG-20250626_1621196i89.jpeg")</f>
        <v>SIG-20250626_1621196i89.jpeg</v>
      </c>
      <c r="AV125" s="2" t="str">
        <f>HYPERLINK("https://www.google.com/maps/place/8.8655453%2C-12.0503661", "8.8655453,-12.0503661")</f>
        <v>8.8655453,-12.0503661</v>
      </c>
    </row>
    <row r="126" ht="15.75" customHeight="1">
      <c r="A126" s="1" t="s">
        <v>762</v>
      </c>
      <c r="B126" s="1" t="s">
        <v>46</v>
      </c>
      <c r="C126" s="1" t="s">
        <v>355</v>
      </c>
      <c r="D126" s="1" t="s">
        <v>355</v>
      </c>
      <c r="E126" s="1" t="s">
        <v>763</v>
      </c>
      <c r="F126" s="1" t="s">
        <v>64</v>
      </c>
      <c r="G126" s="1">
        <v>428.0</v>
      </c>
      <c r="H126" s="1" t="s">
        <v>50</v>
      </c>
      <c r="I126" s="1">
        <v>50.0</v>
      </c>
      <c r="J126" s="1">
        <v>23.0</v>
      </c>
      <c r="K126" s="1">
        <v>23.0</v>
      </c>
      <c r="L126" s="1">
        <v>27.0</v>
      </c>
      <c r="M126" s="1">
        <v>27.0</v>
      </c>
      <c r="N126" s="1" t="s">
        <v>51</v>
      </c>
      <c r="O126" s="1">
        <v>100.0</v>
      </c>
      <c r="P126" s="1">
        <v>35.0</v>
      </c>
      <c r="Q126" s="1">
        <v>35.0</v>
      </c>
      <c r="R126" s="1">
        <v>65.0</v>
      </c>
      <c r="S126" s="1">
        <v>65.0</v>
      </c>
      <c r="T126" s="1" t="s">
        <v>52</v>
      </c>
      <c r="U126" s="1">
        <v>78.0</v>
      </c>
      <c r="V126" s="1">
        <v>44.0</v>
      </c>
      <c r="W126" s="1">
        <v>44.0</v>
      </c>
      <c r="X126" s="1">
        <v>34.0</v>
      </c>
      <c r="Y126" s="1">
        <v>34.0</v>
      </c>
      <c r="Z126" s="1" t="s">
        <v>53</v>
      </c>
      <c r="AA126" s="1">
        <v>100.0</v>
      </c>
      <c r="AB126" s="1">
        <v>50.0</v>
      </c>
      <c r="AC126" s="1">
        <v>50.0</v>
      </c>
      <c r="AD126" s="1">
        <v>50.0</v>
      </c>
      <c r="AE126" s="1">
        <v>50.0</v>
      </c>
      <c r="AF126" s="1" t="s">
        <v>54</v>
      </c>
      <c r="AG126" s="1">
        <v>100.0</v>
      </c>
      <c r="AH126" s="1">
        <v>60.0</v>
      </c>
      <c r="AI126" s="1">
        <v>50.0</v>
      </c>
      <c r="AJ126" s="1">
        <v>40.0</v>
      </c>
      <c r="AK126" s="1">
        <v>40.0</v>
      </c>
      <c r="AL126" s="1">
        <v>418.0</v>
      </c>
      <c r="AM126" s="1">
        <v>10.0</v>
      </c>
      <c r="AN126" s="1" t="s">
        <v>55</v>
      </c>
      <c r="AO126" s="1" t="s">
        <v>55</v>
      </c>
      <c r="AP126" s="1" t="s">
        <v>764</v>
      </c>
      <c r="AQ126" s="2" t="str">
        <f>HYPERLINK("https://icf.clappia.com/app/GMB253374/submission/SQZ00008360/ICF247370-GMB253374-15bh46188opda0000000/SIG-20250626_1621fobl1.jpeg", "SIG-20250626_1621fobl1.jpeg")</f>
        <v>SIG-20250626_1621fobl1.jpeg</v>
      </c>
      <c r="AR126" s="1" t="s">
        <v>765</v>
      </c>
      <c r="AS126" s="2" t="str">
        <f>HYPERLINK("https://icf.clappia.com/app/GMB253374/submission/SQZ00008360/ICF247370-GMB253374-508f9mbj23e000000000/SIG-20250626_1621fbh9o.jpeg", "SIG-20250626_1621fbh9o.jpeg")</f>
        <v>SIG-20250626_1621fbh9o.jpeg</v>
      </c>
      <c r="AT126" s="1" t="s">
        <v>659</v>
      </c>
      <c r="AU126" s="2" t="str">
        <f>HYPERLINK("https://icf.clappia.com/app/GMB253374/submission/SQZ00008360/ICF247370-GMB253374-4c5n304eaam000000000/SIG-20250626_1622jfhob.jpeg", "SIG-20250626_1622jfhob.jpeg")</f>
        <v>SIG-20250626_1622jfhob.jpeg</v>
      </c>
      <c r="AV126" s="2" t="str">
        <f>HYPERLINK("https://www.google.com/maps/place/8.8658962%2C-12.0498459", "8.8658962,-12.0498459")</f>
        <v>8.8658962,-12.0498459</v>
      </c>
    </row>
    <row r="127" ht="15.75" customHeight="1">
      <c r="A127" s="1" t="s">
        <v>766</v>
      </c>
      <c r="B127" s="1" t="s">
        <v>46</v>
      </c>
      <c r="C127" s="1" t="s">
        <v>767</v>
      </c>
      <c r="D127" s="1" t="s">
        <v>768</v>
      </c>
      <c r="E127" s="1" t="s">
        <v>769</v>
      </c>
      <c r="F127" s="1" t="s">
        <v>49</v>
      </c>
      <c r="G127" s="1">
        <v>50.0</v>
      </c>
      <c r="H127" s="1" t="s">
        <v>50</v>
      </c>
      <c r="I127" s="1">
        <v>10.0</v>
      </c>
      <c r="J127" s="1">
        <v>5.0</v>
      </c>
      <c r="K127" s="1">
        <v>5.0</v>
      </c>
      <c r="L127" s="1">
        <v>5.0</v>
      </c>
      <c r="M127" s="1">
        <v>5.0</v>
      </c>
      <c r="N127" s="1" t="s">
        <v>51</v>
      </c>
      <c r="O127" s="1">
        <v>6.0</v>
      </c>
      <c r="P127" s="1">
        <v>3.0</v>
      </c>
      <c r="Q127" s="1">
        <v>3.0</v>
      </c>
      <c r="R127" s="1">
        <v>3.0</v>
      </c>
      <c r="S127" s="1">
        <v>3.0</v>
      </c>
      <c r="T127" s="1" t="s">
        <v>52</v>
      </c>
      <c r="U127" s="1">
        <v>16.0</v>
      </c>
      <c r="V127" s="1">
        <v>8.0</v>
      </c>
      <c r="W127" s="1">
        <v>8.0</v>
      </c>
      <c r="X127" s="1">
        <v>8.0</v>
      </c>
      <c r="Y127" s="1">
        <v>8.0</v>
      </c>
      <c r="Z127" s="1" t="s">
        <v>53</v>
      </c>
      <c r="AA127" s="1">
        <v>6.0</v>
      </c>
      <c r="AB127" s="1">
        <v>3.0</v>
      </c>
      <c r="AC127" s="1">
        <v>3.0</v>
      </c>
      <c r="AD127" s="1">
        <v>3.0</v>
      </c>
      <c r="AE127" s="1">
        <v>3.0</v>
      </c>
      <c r="AF127" s="1" t="s">
        <v>54</v>
      </c>
      <c r="AG127" s="1">
        <v>8.0</v>
      </c>
      <c r="AH127" s="1">
        <v>3.0</v>
      </c>
      <c r="AI127" s="1">
        <v>3.0</v>
      </c>
      <c r="AJ127" s="1">
        <v>5.0</v>
      </c>
      <c r="AK127" s="1">
        <v>5.0</v>
      </c>
      <c r="AL127" s="1">
        <v>46.0</v>
      </c>
      <c r="AM127" s="1" t="s">
        <v>55</v>
      </c>
      <c r="AN127" s="1">
        <v>4.0</v>
      </c>
      <c r="AO127" s="1">
        <v>4.0</v>
      </c>
      <c r="AP127" s="1" t="s">
        <v>770</v>
      </c>
      <c r="AQ127" s="2" t="str">
        <f>HYPERLINK("https://icf.clappia.com/app/GMB253374/submission/WEO06356331/ICF247370-GMB253374-l11oh3gho4ac0000000/SIG-20250626_1614kc48n.jpeg", "SIG-20250626_1614kc48n.jpeg")</f>
        <v>SIG-20250626_1614kc48n.jpeg</v>
      </c>
      <c r="AR127" s="1" t="s">
        <v>771</v>
      </c>
      <c r="AS127" s="2" t="str">
        <f>HYPERLINK("https://icf.clappia.com/app/GMB253374/submission/WEO06356331/ICF247370-GMB253374-2p3mh2clllgm00000000/SIG-20250626_1614ao8lh.jpeg", "SIG-20250626_1614ao8lh.jpeg")</f>
        <v>SIG-20250626_1614ao8lh.jpeg</v>
      </c>
      <c r="AT127" s="1" t="s">
        <v>772</v>
      </c>
      <c r="AU127" s="2" t="str">
        <f>HYPERLINK("https://icf.clappia.com/app/GMB253374/submission/WEO06356331/ICF247370-GMB253374-ocebplcef3da0000000/SIG-20250626_161418fgpj.jpeg", "SIG-20250626_161418fgpj.jpeg")</f>
        <v>SIG-20250626_161418fgpj.jpeg</v>
      </c>
      <c r="AV127" s="2" t="str">
        <f>HYPERLINK("https://www.google.com/maps/place/8.8656035%2C-12.0498536", "8.8656035,-12.0498536")</f>
        <v>8.8656035,-12.0498536</v>
      </c>
    </row>
    <row r="128" ht="15.75" customHeight="1">
      <c r="A128" s="1" t="s">
        <v>773</v>
      </c>
      <c r="B128" s="1" t="s">
        <v>46</v>
      </c>
      <c r="C128" s="1" t="s">
        <v>774</v>
      </c>
      <c r="D128" s="1" t="s">
        <v>774</v>
      </c>
      <c r="E128" s="1" t="s">
        <v>775</v>
      </c>
      <c r="F128" s="1" t="s">
        <v>64</v>
      </c>
      <c r="G128" s="1">
        <v>153.0</v>
      </c>
      <c r="H128" s="1" t="s">
        <v>50</v>
      </c>
      <c r="I128" s="1">
        <v>40.0</v>
      </c>
      <c r="J128" s="1">
        <v>20.0</v>
      </c>
      <c r="K128" s="1">
        <v>20.0</v>
      </c>
      <c r="L128" s="1">
        <v>20.0</v>
      </c>
      <c r="M128" s="1">
        <v>20.0</v>
      </c>
      <c r="N128" s="1" t="s">
        <v>51</v>
      </c>
      <c r="O128" s="1">
        <v>40.0</v>
      </c>
      <c r="P128" s="1">
        <v>20.0</v>
      </c>
      <c r="Q128" s="1">
        <v>20.0</v>
      </c>
      <c r="R128" s="1">
        <v>20.0</v>
      </c>
      <c r="S128" s="1">
        <v>20.0</v>
      </c>
      <c r="T128" s="1" t="s">
        <v>52</v>
      </c>
      <c r="U128" s="1">
        <v>20.0</v>
      </c>
      <c r="V128" s="1">
        <v>10.0</v>
      </c>
      <c r="W128" s="1">
        <v>10.0</v>
      </c>
      <c r="X128" s="1">
        <v>10.0</v>
      </c>
      <c r="Y128" s="1">
        <v>10.0</v>
      </c>
      <c r="Z128" s="1" t="s">
        <v>53</v>
      </c>
      <c r="AA128" s="1">
        <v>20.0</v>
      </c>
      <c r="AB128" s="1">
        <v>10.0</v>
      </c>
      <c r="AC128" s="1">
        <v>10.0</v>
      </c>
      <c r="AD128" s="1">
        <v>10.0</v>
      </c>
      <c r="AE128" s="1">
        <v>10.0</v>
      </c>
      <c r="AF128" s="1" t="s">
        <v>54</v>
      </c>
      <c r="AG128" s="1">
        <v>23.0</v>
      </c>
      <c r="AH128" s="1">
        <v>10.0</v>
      </c>
      <c r="AI128" s="1">
        <v>10.0</v>
      </c>
      <c r="AJ128" s="1">
        <v>13.0</v>
      </c>
      <c r="AK128" s="1">
        <v>13.0</v>
      </c>
      <c r="AL128" s="1">
        <v>143.0</v>
      </c>
      <c r="AM128" s="1" t="s">
        <v>55</v>
      </c>
      <c r="AN128" s="1">
        <v>10.0</v>
      </c>
      <c r="AO128" s="1">
        <v>10.0</v>
      </c>
      <c r="AP128" s="1" t="s">
        <v>689</v>
      </c>
      <c r="AQ128" s="2" t="str">
        <f>HYPERLINK("https://icf.clappia.com/app/GMB253374/submission/WAV18273517/ICF247370-GMB253374-3el6hbj23f3m00000000/SIG-20250626_1618d0ofk.jpeg", "SIG-20250626_1618d0ofk.jpeg")</f>
        <v>SIG-20250626_1618d0ofk.jpeg</v>
      </c>
      <c r="AR128" s="1" t="s">
        <v>483</v>
      </c>
      <c r="AS128" s="2" t="str">
        <f>HYPERLINK("https://icf.clappia.com/app/GMB253374/submission/WAV18273517/ICF247370-GMB253374-8f788mc9po280000000/SIG-20250626_16198dh2d.jpeg", "SIG-20250626_16198dh2d.jpeg")</f>
        <v>SIG-20250626_16198dh2d.jpeg</v>
      </c>
      <c r="AT128" s="1" t="s">
        <v>776</v>
      </c>
      <c r="AU128" s="2" t="str">
        <f>HYPERLINK("https://icf.clappia.com/app/GMB253374/submission/WAV18273517/ICF247370-GMB253374-4po8k469d0ge00000000/SIG-20250626_1619ag77n.jpeg", "SIG-20250626_1619ag77n.jpeg")</f>
        <v>SIG-20250626_1619ag77n.jpeg</v>
      </c>
      <c r="AV128" s="2" t="str">
        <f>HYPERLINK("https://www.google.com/maps/place/8.8666266%2C-12.051161", "8.8666266,-12.051161")</f>
        <v>8.8666266,-12.051161</v>
      </c>
    </row>
    <row r="129" ht="15.75" customHeight="1">
      <c r="A129" s="1" t="s">
        <v>777</v>
      </c>
      <c r="B129" s="1" t="s">
        <v>46</v>
      </c>
      <c r="C129" s="1" t="s">
        <v>774</v>
      </c>
      <c r="D129" s="1" t="s">
        <v>774</v>
      </c>
      <c r="E129" s="1" t="s">
        <v>778</v>
      </c>
      <c r="F129" s="1" t="s">
        <v>64</v>
      </c>
      <c r="G129" s="1">
        <v>250.0</v>
      </c>
      <c r="H129" s="1" t="s">
        <v>50</v>
      </c>
      <c r="I129" s="1">
        <v>25.0</v>
      </c>
      <c r="J129" s="1">
        <v>10.0</v>
      </c>
      <c r="K129" s="1">
        <v>10.0</v>
      </c>
      <c r="L129" s="1">
        <v>15.0</v>
      </c>
      <c r="M129" s="1">
        <v>15.0</v>
      </c>
      <c r="N129" s="1" t="s">
        <v>51</v>
      </c>
      <c r="O129" s="1">
        <v>30.0</v>
      </c>
      <c r="P129" s="1">
        <v>15.0</v>
      </c>
      <c r="Q129" s="1">
        <v>14.0</v>
      </c>
      <c r="R129" s="1">
        <v>15.0</v>
      </c>
      <c r="S129" s="1">
        <v>15.0</v>
      </c>
      <c r="T129" s="1" t="s">
        <v>52</v>
      </c>
      <c r="U129" s="1">
        <v>20.0</v>
      </c>
      <c r="V129" s="1">
        <v>5.0</v>
      </c>
      <c r="W129" s="1">
        <v>5.0</v>
      </c>
      <c r="X129" s="1">
        <v>15.0</v>
      </c>
      <c r="Y129" s="1">
        <v>14.0</v>
      </c>
      <c r="Z129" s="1" t="s">
        <v>53</v>
      </c>
      <c r="AA129" s="1">
        <v>15.0</v>
      </c>
      <c r="AB129" s="1">
        <v>5.0</v>
      </c>
      <c r="AC129" s="1">
        <v>5.0</v>
      </c>
      <c r="AD129" s="1">
        <v>10.0</v>
      </c>
      <c r="AE129" s="1">
        <v>9.0</v>
      </c>
      <c r="AF129" s="1" t="s">
        <v>54</v>
      </c>
      <c r="AG129" s="1">
        <v>30.0</v>
      </c>
      <c r="AH129" s="1">
        <v>10.0</v>
      </c>
      <c r="AI129" s="1">
        <v>10.0</v>
      </c>
      <c r="AJ129" s="1">
        <v>20.0</v>
      </c>
      <c r="AK129" s="1">
        <v>20.0</v>
      </c>
      <c r="AL129" s="1">
        <v>117.0</v>
      </c>
      <c r="AM129" s="1">
        <v>2.0</v>
      </c>
      <c r="AN129" s="1">
        <v>131.0</v>
      </c>
      <c r="AO129" s="1">
        <v>119.0</v>
      </c>
      <c r="AP129" s="1" t="s">
        <v>779</v>
      </c>
      <c r="AQ129" s="2" t="str">
        <f>HYPERLINK("https://icf.clappia.com/app/GMB253374/submission/MTU05124037/ICF247370-GMB253374-2fhd3k7gk4ec00000000/SIG-20250626_161911g5kf.jpeg", "SIG-20250626_161911g5kf.jpeg")</f>
        <v>SIG-20250626_161911g5kf.jpeg</v>
      </c>
      <c r="AR129" s="1" t="s">
        <v>780</v>
      </c>
      <c r="AS129" s="2" t="str">
        <f>HYPERLINK("https://icf.clappia.com/app/GMB253374/submission/MTU05124037/ICF247370-GMB253374-29k196pj8f75a0000000/SIG-20250626_1619cbg5n.jpeg", "SIG-20250626_1619cbg5n.jpeg")</f>
        <v>SIG-20250626_1619cbg5n.jpeg</v>
      </c>
      <c r="AT129" s="1" t="s">
        <v>781</v>
      </c>
      <c r="AU129" s="2" t="str">
        <f>HYPERLINK("https://icf.clappia.com/app/GMB253374/submission/MTU05124037/ICF247370-GMB253374-ope5mj859pfe0000000/SIG-20250626_1619135fj3.jpeg", "SIG-20250626_1619135fj3.jpeg")</f>
        <v>SIG-20250626_1619135fj3.jpeg</v>
      </c>
      <c r="AV129" s="2" t="str">
        <f>HYPERLINK("https://www.google.com/maps/place/8.8655956%2C-12.0516564", "8.8655956,-12.0516564")</f>
        <v>8.8655956,-12.0516564</v>
      </c>
    </row>
    <row r="130" ht="15.75" customHeight="1">
      <c r="A130" s="1" t="s">
        <v>782</v>
      </c>
      <c r="B130" s="1" t="s">
        <v>46</v>
      </c>
      <c r="C130" s="1" t="s">
        <v>462</v>
      </c>
      <c r="D130" s="1" t="s">
        <v>462</v>
      </c>
      <c r="E130" s="1" t="s">
        <v>783</v>
      </c>
      <c r="F130" s="1" t="s">
        <v>64</v>
      </c>
      <c r="G130" s="1">
        <v>320.0</v>
      </c>
      <c r="H130" s="1" t="s">
        <v>50</v>
      </c>
      <c r="I130" s="1">
        <v>90.0</v>
      </c>
      <c r="J130" s="1">
        <v>47.0</v>
      </c>
      <c r="K130" s="1">
        <v>47.0</v>
      </c>
      <c r="L130" s="1">
        <v>43.0</v>
      </c>
      <c r="M130" s="1">
        <v>43.0</v>
      </c>
      <c r="N130" s="1" t="s">
        <v>51</v>
      </c>
      <c r="O130" s="1">
        <v>70.0</v>
      </c>
      <c r="P130" s="1">
        <v>36.0</v>
      </c>
      <c r="Q130" s="1">
        <v>36.0</v>
      </c>
      <c r="R130" s="1">
        <v>34.0</v>
      </c>
      <c r="S130" s="1">
        <v>34.0</v>
      </c>
      <c r="T130" s="1" t="s">
        <v>52</v>
      </c>
      <c r="U130" s="1">
        <v>55.0</v>
      </c>
      <c r="V130" s="1">
        <v>35.0</v>
      </c>
      <c r="W130" s="1">
        <v>35.0</v>
      </c>
      <c r="X130" s="1">
        <v>20.0</v>
      </c>
      <c r="Y130" s="1">
        <v>20.0</v>
      </c>
      <c r="Z130" s="1" t="s">
        <v>53</v>
      </c>
      <c r="AA130" s="1">
        <v>52.0</v>
      </c>
      <c r="AB130" s="1">
        <v>28.0</v>
      </c>
      <c r="AC130" s="1">
        <v>28.0</v>
      </c>
      <c r="AD130" s="1">
        <v>24.0</v>
      </c>
      <c r="AE130" s="1">
        <v>24.0</v>
      </c>
      <c r="AF130" s="1" t="s">
        <v>54</v>
      </c>
      <c r="AG130" s="1">
        <v>41.0</v>
      </c>
      <c r="AH130" s="1">
        <v>23.0</v>
      </c>
      <c r="AI130" s="1">
        <v>23.0</v>
      </c>
      <c r="AJ130" s="1">
        <v>18.0</v>
      </c>
      <c r="AK130" s="1">
        <v>18.0</v>
      </c>
      <c r="AL130" s="1">
        <v>308.0</v>
      </c>
      <c r="AM130" s="1" t="s">
        <v>55</v>
      </c>
      <c r="AN130" s="1">
        <v>12.0</v>
      </c>
      <c r="AO130" s="1" t="s">
        <v>55</v>
      </c>
      <c r="AP130" s="1" t="s">
        <v>643</v>
      </c>
      <c r="AQ130" s="2" t="str">
        <f>HYPERLINK("https://icf.clappia.com/app/GMB253374/submission/HFT43822083/ICF247370-GMB253374-50en9fdk52c400000000/SIG-20250626_1617a3jbj.jpeg", "SIG-20250626_1617a3jbj.jpeg")</f>
        <v>SIG-20250626_1617a3jbj.jpeg</v>
      </c>
      <c r="AR130" s="1" t="s">
        <v>784</v>
      </c>
      <c r="AS130" s="2" t="str">
        <f>HYPERLINK("https://icf.clappia.com/app/GMB253374/submission/HFT43822083/ICF247370-GMB253374-152nogojm970c0000000/SIG-20250626_161829189.jpeg", "SIG-20250626_161829189.jpeg")</f>
        <v>SIG-20250626_161829189.jpeg</v>
      </c>
      <c r="AT130" s="1" t="s">
        <v>785</v>
      </c>
      <c r="AU130" s="2" t="str">
        <f>HYPERLINK("https://icf.clappia.com/app/GMB253374/submission/HFT43822083/ICF247370-GMB253374-20a05cm321mc80000000/SIG-20250626_1618d7o65.jpeg", "SIG-20250626_1618d7o65.jpeg")</f>
        <v>SIG-20250626_1618d7o65.jpeg</v>
      </c>
      <c r="AV130" s="2" t="str">
        <f>HYPERLINK("https://www.google.com/maps/place/8.8654683%2C-12.0499433", "8.8654683,-12.0499433")</f>
        <v>8.8654683,-12.0499433</v>
      </c>
    </row>
    <row r="131" ht="15.75" customHeight="1">
      <c r="A131" s="1" t="s">
        <v>786</v>
      </c>
      <c r="B131" s="1" t="s">
        <v>46</v>
      </c>
      <c r="C131" s="1" t="s">
        <v>462</v>
      </c>
      <c r="D131" s="1" t="s">
        <v>462</v>
      </c>
      <c r="E131" s="1" t="s">
        <v>787</v>
      </c>
      <c r="F131" s="1" t="s">
        <v>64</v>
      </c>
      <c r="G131" s="1">
        <v>299.0</v>
      </c>
      <c r="H131" s="1" t="s">
        <v>50</v>
      </c>
      <c r="I131" s="1">
        <v>90.0</v>
      </c>
      <c r="J131" s="1">
        <v>40.0</v>
      </c>
      <c r="K131" s="1">
        <v>40.0</v>
      </c>
      <c r="L131" s="1">
        <v>50.0</v>
      </c>
      <c r="M131" s="1">
        <v>50.0</v>
      </c>
      <c r="N131" s="1" t="s">
        <v>51</v>
      </c>
      <c r="O131" s="1">
        <v>50.0</v>
      </c>
      <c r="P131" s="1">
        <v>25.0</v>
      </c>
      <c r="Q131" s="1">
        <v>25.0</v>
      </c>
      <c r="R131" s="1">
        <v>25.0</v>
      </c>
      <c r="S131" s="1">
        <v>25.0</v>
      </c>
      <c r="T131" s="1" t="s">
        <v>52</v>
      </c>
      <c r="U131" s="1">
        <v>50.0</v>
      </c>
      <c r="V131" s="1">
        <v>25.0</v>
      </c>
      <c r="W131" s="1">
        <v>25.0</v>
      </c>
      <c r="X131" s="1">
        <v>25.0</v>
      </c>
      <c r="Y131" s="1">
        <v>25.0</v>
      </c>
      <c r="Z131" s="1" t="s">
        <v>53</v>
      </c>
      <c r="AA131" s="1">
        <v>50.0</v>
      </c>
      <c r="AB131" s="1">
        <v>25.0</v>
      </c>
      <c r="AC131" s="1">
        <v>25.0</v>
      </c>
      <c r="AD131" s="1">
        <v>25.0</v>
      </c>
      <c r="AE131" s="1">
        <v>25.0</v>
      </c>
      <c r="AF131" s="1" t="s">
        <v>54</v>
      </c>
      <c r="AG131" s="1">
        <v>50.0</v>
      </c>
      <c r="AH131" s="1">
        <v>25.0</v>
      </c>
      <c r="AI131" s="1">
        <v>25.0</v>
      </c>
      <c r="AJ131" s="1">
        <v>25.0</v>
      </c>
      <c r="AK131" s="1">
        <v>25.0</v>
      </c>
      <c r="AL131" s="1">
        <v>290.0</v>
      </c>
      <c r="AM131" s="1">
        <v>9.0</v>
      </c>
      <c r="AN131" s="1" t="s">
        <v>55</v>
      </c>
      <c r="AO131" s="1" t="s">
        <v>55</v>
      </c>
      <c r="AP131" s="1" t="s">
        <v>693</v>
      </c>
      <c r="AQ131" s="2" t="str">
        <f>HYPERLINK("https://icf.clappia.com/app/GMB253374/submission/GPF87912724/ICF247370-GMB253374-2epigdm6o6bi00000000/SIG-20250626_1617kemmd.jpeg", "SIG-20250626_1617kemmd.jpeg")</f>
        <v>SIG-20250626_1617kemmd.jpeg</v>
      </c>
      <c r="AR131" s="1" t="s">
        <v>694</v>
      </c>
      <c r="AS131" s="2" t="str">
        <f>HYPERLINK("https://icf.clappia.com/app/GMB253374/submission/GPF87912724/ICF247370-GMB253374-ji9b9if38kic0000000/SIG-20250626_1618cdd1b.jpeg", "SIG-20250626_1618cdd1b.jpeg")</f>
        <v>SIG-20250626_1618cdd1b.jpeg</v>
      </c>
      <c r="AT131" s="1" t="s">
        <v>788</v>
      </c>
      <c r="AU131" s="2" t="str">
        <f>HYPERLINK("https://icf.clappia.com/app/GMB253374/submission/GPF87912724/ICF247370-GMB253374-1hgkj7h3ghp4c0000000/SIG-20250626_16182dc40.jpeg", "SIG-20250626_16182dc40.jpeg")</f>
        <v>SIG-20250626_16182dc40.jpeg</v>
      </c>
      <c r="AV131" s="2" t="str">
        <f>HYPERLINK("https://www.google.com/maps/place/8.8639157%2C-12.0512994", "8.8639157,-12.0512994")</f>
        <v>8.8639157,-12.0512994</v>
      </c>
    </row>
    <row r="132" ht="15.75" customHeight="1">
      <c r="A132" s="1" t="s">
        <v>789</v>
      </c>
      <c r="B132" s="1" t="s">
        <v>46</v>
      </c>
      <c r="C132" s="1" t="s">
        <v>569</v>
      </c>
      <c r="D132" s="1" t="s">
        <v>569</v>
      </c>
      <c r="E132" s="1" t="s">
        <v>790</v>
      </c>
      <c r="F132" s="1" t="s">
        <v>64</v>
      </c>
      <c r="G132" s="1">
        <v>200.0</v>
      </c>
      <c r="H132" s="1" t="s">
        <v>50</v>
      </c>
      <c r="I132" s="1">
        <v>30.0</v>
      </c>
      <c r="J132" s="1">
        <v>15.0</v>
      </c>
      <c r="K132" s="1">
        <v>15.0</v>
      </c>
      <c r="L132" s="1">
        <v>15.0</v>
      </c>
      <c r="M132" s="1">
        <v>15.0</v>
      </c>
      <c r="N132" s="1" t="s">
        <v>51</v>
      </c>
      <c r="O132" s="1">
        <v>20.0</v>
      </c>
      <c r="P132" s="1">
        <v>10.0</v>
      </c>
      <c r="Q132" s="1">
        <v>10.0</v>
      </c>
      <c r="R132" s="1">
        <v>10.0</v>
      </c>
      <c r="S132" s="1">
        <v>10.0</v>
      </c>
      <c r="T132" s="1" t="s">
        <v>52</v>
      </c>
      <c r="U132" s="1">
        <v>26.0</v>
      </c>
      <c r="V132" s="1">
        <v>10.0</v>
      </c>
      <c r="W132" s="1">
        <v>10.0</v>
      </c>
      <c r="X132" s="1">
        <v>16.0</v>
      </c>
      <c r="Y132" s="1">
        <v>16.0</v>
      </c>
      <c r="Z132" s="1" t="s">
        <v>53</v>
      </c>
      <c r="AA132" s="1">
        <v>10.0</v>
      </c>
      <c r="AB132" s="1">
        <v>5.0</v>
      </c>
      <c r="AC132" s="1">
        <v>5.0</v>
      </c>
      <c r="AD132" s="1">
        <v>5.0</v>
      </c>
      <c r="AE132" s="1">
        <v>5.0</v>
      </c>
      <c r="AF132" s="1" t="s">
        <v>54</v>
      </c>
      <c r="AG132" s="1">
        <v>10.0</v>
      </c>
      <c r="AH132" s="1">
        <v>5.0</v>
      </c>
      <c r="AI132" s="1">
        <v>5.0</v>
      </c>
      <c r="AJ132" s="1">
        <v>5.0</v>
      </c>
      <c r="AK132" s="1">
        <v>5.0</v>
      </c>
      <c r="AL132" s="1">
        <v>96.0</v>
      </c>
      <c r="AM132" s="1" t="s">
        <v>55</v>
      </c>
      <c r="AN132" s="1">
        <v>104.0</v>
      </c>
      <c r="AO132" s="1">
        <v>104.0</v>
      </c>
      <c r="AP132" s="1" t="s">
        <v>791</v>
      </c>
      <c r="AQ132" s="2" t="str">
        <f>HYPERLINK("https://icf.clappia.com/app/GMB253374/submission/IMK02682622/ICF247370-GMB253374-35m5e378p4oe00000000/SIG-20250626_161713ipmj.jpeg", "SIG-20250626_161713ipmj.jpeg")</f>
        <v>SIG-20250626_161713ipmj.jpeg</v>
      </c>
      <c r="AR132" s="1" t="s">
        <v>792</v>
      </c>
      <c r="AS132" s="2" t="str">
        <f>HYPERLINK("https://icf.clappia.com/app/GMB253374/submission/IMK02682622/ICF247370-GMB253374-42f6c1mli7d400000000/SIG-20250626_1618ooed2.jpeg", "SIG-20250626_1618ooed2.jpeg")</f>
        <v>SIG-20250626_1618ooed2.jpeg</v>
      </c>
      <c r="AT132" s="1" t="s">
        <v>793</v>
      </c>
      <c r="AU132" s="2" t="str">
        <f>HYPERLINK("https://icf.clappia.com/app/GMB253374/submission/IMK02682622/ICF247370-GMB253374-47cjmah08cd600000000/SIG-20250626_1618ba85g.jpeg", "SIG-20250626_1618ba85g.jpeg")</f>
        <v>SIG-20250626_1618ba85g.jpeg</v>
      </c>
      <c r="AV132" s="2" t="str">
        <f>HYPERLINK("https://www.google.com/maps/place/8.8688975%2C-12.0541554", "8.8688975,-12.0541554")</f>
        <v>8.8688975,-12.0541554</v>
      </c>
    </row>
    <row r="133" ht="15.75" customHeight="1">
      <c r="A133" s="1" t="s">
        <v>794</v>
      </c>
      <c r="B133" s="1" t="s">
        <v>46</v>
      </c>
      <c r="C133" s="1" t="s">
        <v>569</v>
      </c>
      <c r="D133" s="1" t="s">
        <v>569</v>
      </c>
      <c r="E133" s="1" t="s">
        <v>795</v>
      </c>
      <c r="F133" s="1" t="s">
        <v>64</v>
      </c>
      <c r="G133" s="1">
        <v>200.0</v>
      </c>
      <c r="H133" s="1" t="s">
        <v>50</v>
      </c>
      <c r="I133" s="1">
        <v>37.0</v>
      </c>
      <c r="J133" s="1">
        <v>17.0</v>
      </c>
      <c r="K133" s="1">
        <v>17.0</v>
      </c>
      <c r="L133" s="1">
        <v>20.0</v>
      </c>
      <c r="M133" s="1">
        <v>20.0</v>
      </c>
      <c r="N133" s="1" t="s">
        <v>51</v>
      </c>
      <c r="O133" s="1">
        <v>38.0</v>
      </c>
      <c r="P133" s="1">
        <v>25.0</v>
      </c>
      <c r="Q133" s="1">
        <v>25.0</v>
      </c>
      <c r="R133" s="1">
        <v>13.0</v>
      </c>
      <c r="S133" s="1">
        <v>13.0</v>
      </c>
      <c r="T133" s="1" t="s">
        <v>52</v>
      </c>
      <c r="U133" s="1">
        <v>40.0</v>
      </c>
      <c r="V133" s="1">
        <v>25.0</v>
      </c>
      <c r="W133" s="1">
        <v>25.0</v>
      </c>
      <c r="X133" s="1">
        <v>15.0</v>
      </c>
      <c r="Y133" s="1">
        <v>15.0</v>
      </c>
      <c r="Z133" s="1" t="s">
        <v>53</v>
      </c>
      <c r="AA133" s="1">
        <v>36.0</v>
      </c>
      <c r="AB133" s="1">
        <v>16.0</v>
      </c>
      <c r="AC133" s="1">
        <v>16.0</v>
      </c>
      <c r="AD133" s="1">
        <v>20.0</v>
      </c>
      <c r="AE133" s="1">
        <v>20.0</v>
      </c>
      <c r="AF133" s="1" t="s">
        <v>54</v>
      </c>
      <c r="AG133" s="1">
        <v>38.0</v>
      </c>
      <c r="AH133" s="1">
        <v>21.0</v>
      </c>
      <c r="AI133" s="1">
        <v>21.0</v>
      </c>
      <c r="AJ133" s="1">
        <v>17.0</v>
      </c>
      <c r="AK133" s="1">
        <v>17.0</v>
      </c>
      <c r="AL133" s="1">
        <v>189.0</v>
      </c>
      <c r="AM133" s="1" t="s">
        <v>55</v>
      </c>
      <c r="AN133" s="1">
        <v>11.0</v>
      </c>
      <c r="AO133" s="1">
        <v>11.0</v>
      </c>
      <c r="AP133" s="1" t="s">
        <v>603</v>
      </c>
      <c r="AQ133" s="2" t="str">
        <f>HYPERLINK("https://icf.clappia.com/app/GMB253374/submission/PJD95333060/ICF247370-GMB253374-6630i5boo3ma00000000/SIG-20250626_1616jg0d3.jpeg", "SIG-20250626_1616jg0d3.jpeg")</f>
        <v>SIG-20250626_1616jg0d3.jpeg</v>
      </c>
      <c r="AR133" s="1" t="s">
        <v>602</v>
      </c>
      <c r="AS133" s="2" t="str">
        <f>HYPERLINK("https://icf.clappia.com/app/GMB253374/submission/PJD95333060/ICF247370-GMB253374-fj2ekf538io80000000/SIG-20250626_1617ek8ll.jpeg", "SIG-20250626_1617ek8ll.jpeg")</f>
        <v>SIG-20250626_1617ek8ll.jpeg</v>
      </c>
      <c r="AT133" s="1" t="s">
        <v>601</v>
      </c>
      <c r="AU133" s="2" t="str">
        <f>HYPERLINK("https://icf.clappia.com/app/GMB253374/submission/PJD95333060/ICF247370-GMB253374-232a9il6jjdb60000000/SIG-20250626_161730ie.jpeg", "SIG-20250626_161730ie.jpeg")</f>
        <v>SIG-20250626_161730ie.jpeg</v>
      </c>
      <c r="AV133" s="2" t="str">
        <f>HYPERLINK("https://www.google.com/maps/place/8.8656765%2C-12.0498917", "8.8656765,-12.0498917")</f>
        <v>8.8656765,-12.0498917</v>
      </c>
    </row>
    <row r="134" ht="15.75" customHeight="1">
      <c r="A134" s="1" t="s">
        <v>796</v>
      </c>
      <c r="B134" s="1" t="s">
        <v>46</v>
      </c>
      <c r="C134" s="1" t="s">
        <v>569</v>
      </c>
      <c r="D134" s="1" t="s">
        <v>569</v>
      </c>
      <c r="E134" s="1" t="s">
        <v>797</v>
      </c>
      <c r="F134" s="1" t="s">
        <v>64</v>
      </c>
      <c r="G134" s="1">
        <v>200.0</v>
      </c>
      <c r="H134" s="1" t="s">
        <v>50</v>
      </c>
      <c r="I134" s="1">
        <v>20.0</v>
      </c>
      <c r="J134" s="1">
        <v>5.0</v>
      </c>
      <c r="K134" s="1">
        <v>5.0</v>
      </c>
      <c r="L134" s="1">
        <v>15.0</v>
      </c>
      <c r="M134" s="1">
        <v>15.0</v>
      </c>
      <c r="N134" s="1" t="s">
        <v>51</v>
      </c>
      <c r="O134" s="1">
        <v>30.0</v>
      </c>
      <c r="P134" s="1">
        <v>12.0</v>
      </c>
      <c r="Q134" s="1">
        <v>12.0</v>
      </c>
      <c r="R134" s="1">
        <v>18.0</v>
      </c>
      <c r="S134" s="1">
        <v>18.0</v>
      </c>
      <c r="T134" s="1" t="s">
        <v>52</v>
      </c>
      <c r="U134" s="1">
        <v>35.0</v>
      </c>
      <c r="V134" s="1">
        <v>15.0</v>
      </c>
      <c r="W134" s="1">
        <v>15.0</v>
      </c>
      <c r="X134" s="1">
        <v>20.0</v>
      </c>
      <c r="Y134" s="1">
        <v>20.0</v>
      </c>
      <c r="Z134" s="1" t="s">
        <v>53</v>
      </c>
      <c r="AA134" s="1">
        <v>40.0</v>
      </c>
      <c r="AB134" s="1">
        <v>20.0</v>
      </c>
      <c r="AC134" s="1">
        <v>20.0</v>
      </c>
      <c r="AD134" s="1">
        <v>20.0</v>
      </c>
      <c r="AE134" s="1">
        <v>20.0</v>
      </c>
      <c r="AF134" s="1" t="s">
        <v>54</v>
      </c>
      <c r="AG134" s="1">
        <v>42.0</v>
      </c>
      <c r="AH134" s="1">
        <v>20.0</v>
      </c>
      <c r="AI134" s="1">
        <v>20.0</v>
      </c>
      <c r="AJ134" s="1">
        <v>22.0</v>
      </c>
      <c r="AK134" s="1">
        <v>22.0</v>
      </c>
      <c r="AL134" s="1">
        <v>167.0</v>
      </c>
      <c r="AM134" s="1" t="s">
        <v>55</v>
      </c>
      <c r="AN134" s="1">
        <v>33.0</v>
      </c>
      <c r="AO134" s="1">
        <v>33.0</v>
      </c>
      <c r="AP134" s="1" t="s">
        <v>702</v>
      </c>
      <c r="AQ134" s="2" t="str">
        <f>HYPERLINK("https://icf.clappia.com/app/GMB253374/submission/ORU54467526/ICF247370-GMB253374-3o9bnib317ne00000000/SIG-20250626_161720l41.jpeg", "SIG-20250626_161720l41.jpeg")</f>
        <v>SIG-20250626_161720l41.jpeg</v>
      </c>
      <c r="AR134" s="1" t="s">
        <v>703</v>
      </c>
      <c r="AS134" s="2" t="str">
        <f>HYPERLINK("https://icf.clappia.com/app/GMB253374/submission/ORU54467526/ICF247370-GMB253374-510064j8hk3e00000000/SIG-20250626_1617388jd.jpeg", "SIG-20250626_1617388jd.jpeg")</f>
        <v>SIG-20250626_1617388jd.jpeg</v>
      </c>
      <c r="AT134" s="1" t="s">
        <v>575</v>
      </c>
      <c r="AU134" s="2" t="str">
        <f>HYPERLINK("https://icf.clappia.com/app/GMB253374/submission/ORU54467526/ICF247370-GMB253374-261a5e188g4j20000000/SIG-20250626_1618168pog.jpeg", "SIG-20250626_1618168pog.jpeg")</f>
        <v>SIG-20250626_1618168pog.jpeg</v>
      </c>
      <c r="AV134" s="2" t="str">
        <f>HYPERLINK("https://www.google.com/maps/place/8.8666217%2C-12.0512981", "8.8666217,-12.0512981")</f>
        <v>8.8666217,-12.0512981</v>
      </c>
    </row>
    <row r="135" ht="15.75" customHeight="1">
      <c r="A135" s="1" t="s">
        <v>798</v>
      </c>
      <c r="B135" s="1" t="s">
        <v>46</v>
      </c>
      <c r="C135" s="1" t="s">
        <v>799</v>
      </c>
      <c r="D135" s="1" t="s">
        <v>799</v>
      </c>
      <c r="E135" s="1" t="s">
        <v>800</v>
      </c>
      <c r="F135" s="1" t="s">
        <v>49</v>
      </c>
      <c r="G135" s="1">
        <v>400.0</v>
      </c>
      <c r="H135" s="1" t="s">
        <v>50</v>
      </c>
      <c r="I135" s="1">
        <v>50.0</v>
      </c>
      <c r="J135" s="1">
        <v>25.0</v>
      </c>
      <c r="K135" s="1">
        <v>25.0</v>
      </c>
      <c r="L135" s="1">
        <v>25.0</v>
      </c>
      <c r="M135" s="1">
        <v>20.0</v>
      </c>
      <c r="N135" s="1" t="s">
        <v>51</v>
      </c>
      <c r="O135" s="1">
        <v>75.0</v>
      </c>
      <c r="P135" s="1">
        <v>25.0</v>
      </c>
      <c r="Q135" s="1">
        <v>25.0</v>
      </c>
      <c r="R135" s="1">
        <v>50.0</v>
      </c>
      <c r="S135" s="1">
        <v>50.0</v>
      </c>
      <c r="T135" s="1" t="s">
        <v>52</v>
      </c>
      <c r="U135" s="1">
        <v>60.0</v>
      </c>
      <c r="V135" s="1">
        <v>30.0</v>
      </c>
      <c r="W135" s="1">
        <v>30.0</v>
      </c>
      <c r="X135" s="1">
        <v>30.0</v>
      </c>
      <c r="Y135" s="1">
        <v>30.0</v>
      </c>
      <c r="Z135" s="1" t="s">
        <v>53</v>
      </c>
      <c r="AA135" s="1">
        <v>52.0</v>
      </c>
      <c r="AB135" s="1">
        <v>32.0</v>
      </c>
      <c r="AC135" s="1">
        <v>32.0</v>
      </c>
      <c r="AD135" s="1">
        <v>20.0</v>
      </c>
      <c r="AE135" s="1">
        <v>20.0</v>
      </c>
      <c r="AF135" s="1" t="s">
        <v>54</v>
      </c>
      <c r="AG135" s="1">
        <v>100.0</v>
      </c>
      <c r="AH135" s="1">
        <v>40.0</v>
      </c>
      <c r="AI135" s="1">
        <v>40.0</v>
      </c>
      <c r="AJ135" s="1">
        <v>60.0</v>
      </c>
      <c r="AK135" s="1">
        <v>60.0</v>
      </c>
      <c r="AL135" s="1">
        <v>332.0</v>
      </c>
      <c r="AM135" s="1">
        <v>5.0</v>
      </c>
      <c r="AN135" s="1">
        <v>63.0</v>
      </c>
      <c r="AO135" s="1">
        <v>63.0</v>
      </c>
      <c r="AP135" s="1" t="s">
        <v>801</v>
      </c>
      <c r="AQ135" s="2" t="str">
        <f>HYPERLINK("https://icf.clappia.com/app/GMB253374/submission/DFG98550531/ICF247370-GMB253374-2ecn9ap0l1c20000000/SIG-20250626_16161047bc.jpeg", "SIG-20250626_16161047bc.jpeg")</f>
        <v>SIG-20250626_16161047bc.jpeg</v>
      </c>
      <c r="AR135" s="1" t="s">
        <v>802</v>
      </c>
      <c r="AS135" s="2" t="str">
        <f>HYPERLINK("https://icf.clappia.com/app/GMB253374/submission/DFG98550531/ICF247370-GMB253374-1p2kifi86oe560000000/SIG-20250626_1616lg8l0.jpeg", "SIG-20250626_1616lg8l0.jpeg")</f>
        <v>SIG-20250626_1616lg8l0.jpeg</v>
      </c>
      <c r="AT135" s="1" t="s">
        <v>803</v>
      </c>
      <c r="AU135" s="2" t="str">
        <f>HYPERLINK("https://icf.clappia.com/app/GMB253374/submission/DFG98550531/ICF247370-GMB253374-5f17h7j7o9ak00000000/SIG-20250626_161699e45.jpeg", "SIG-20250626_161699e45.jpeg")</f>
        <v>SIG-20250626_161699e45.jpeg</v>
      </c>
      <c r="AV135" s="2" t="str">
        <f>HYPERLINK("https://www.google.com/maps/place/8.8618163%2C-12.0534414", "8.8618163,-12.0534414")</f>
        <v>8.8618163,-12.0534414</v>
      </c>
    </row>
    <row r="136" ht="15.75" customHeight="1">
      <c r="A136" s="1" t="s">
        <v>804</v>
      </c>
      <c r="B136" s="1" t="s">
        <v>46</v>
      </c>
      <c r="C136" s="1" t="s">
        <v>386</v>
      </c>
      <c r="D136" s="1" t="s">
        <v>386</v>
      </c>
      <c r="E136" s="1" t="s">
        <v>805</v>
      </c>
      <c r="F136" s="1" t="s">
        <v>64</v>
      </c>
      <c r="G136" s="1">
        <v>100.0</v>
      </c>
      <c r="H136" s="1" t="s">
        <v>50</v>
      </c>
      <c r="I136" s="1">
        <v>30.0</v>
      </c>
      <c r="J136" s="1">
        <v>15.0</v>
      </c>
      <c r="K136" s="1">
        <v>15.0</v>
      </c>
      <c r="L136" s="1">
        <v>15.0</v>
      </c>
      <c r="M136" s="1">
        <v>15.0</v>
      </c>
      <c r="N136" s="1" t="s">
        <v>51</v>
      </c>
      <c r="O136" s="1">
        <v>20.0</v>
      </c>
      <c r="P136" s="1">
        <v>10.0</v>
      </c>
      <c r="Q136" s="1">
        <v>10.0</v>
      </c>
      <c r="R136" s="1">
        <v>10.0</v>
      </c>
      <c r="S136" s="1">
        <v>10.0</v>
      </c>
      <c r="T136" s="1" t="s">
        <v>52</v>
      </c>
      <c r="U136" s="1">
        <v>15.0</v>
      </c>
      <c r="V136" s="1">
        <v>7.0</v>
      </c>
      <c r="W136" s="1">
        <v>7.0</v>
      </c>
      <c r="X136" s="1">
        <v>8.0</v>
      </c>
      <c r="Y136" s="1">
        <v>8.0</v>
      </c>
      <c r="Z136" s="1" t="s">
        <v>53</v>
      </c>
      <c r="AA136" s="1">
        <v>18.0</v>
      </c>
      <c r="AB136" s="1">
        <v>9.0</v>
      </c>
      <c r="AC136" s="1">
        <v>7.0</v>
      </c>
      <c r="AD136" s="1">
        <v>9.0</v>
      </c>
      <c r="AE136" s="1">
        <v>8.0</v>
      </c>
      <c r="AF136" s="1" t="s">
        <v>54</v>
      </c>
      <c r="AG136" s="1">
        <v>17.0</v>
      </c>
      <c r="AH136" s="1">
        <v>9.0</v>
      </c>
      <c r="AI136" s="1">
        <v>9.0</v>
      </c>
      <c r="AJ136" s="1">
        <v>8.0</v>
      </c>
      <c r="AK136" s="1">
        <v>8.0</v>
      </c>
      <c r="AL136" s="1">
        <v>97.0</v>
      </c>
      <c r="AM136" s="1">
        <v>3.0</v>
      </c>
      <c r="AN136" s="1" t="s">
        <v>55</v>
      </c>
      <c r="AO136" s="1" t="s">
        <v>55</v>
      </c>
      <c r="AP136" s="1" t="s">
        <v>806</v>
      </c>
      <c r="AQ136" s="2" t="str">
        <f>HYPERLINK("https://icf.clappia.com/app/GMB253374/submission/ZGJ21841531/ICF247370-GMB253374-32b25gd4fhb600000000/SIG-20250626_16156lpbc.jpeg", "SIG-20250626_16156lpbc.jpeg")</f>
        <v>SIG-20250626_16156lpbc.jpeg</v>
      </c>
      <c r="AR136" s="1" t="s">
        <v>678</v>
      </c>
      <c r="AS136" s="2" t="str">
        <f>HYPERLINK("https://icf.clappia.com/app/GMB253374/submission/ZGJ21841531/ICF247370-GMB253374-1cd9n12ad8if20000000/SIG-20250626_1616105p42.jpeg", "SIG-20250626_1616105p42.jpeg")</f>
        <v>SIG-20250626_1616105p42.jpeg</v>
      </c>
      <c r="AT136" s="1" t="s">
        <v>679</v>
      </c>
      <c r="AU136" s="2" t="str">
        <f>HYPERLINK("https://icf.clappia.com/app/GMB253374/submission/ZGJ21841531/ICF247370-GMB253374-2f53ei8pg4pc00000000/SIG-20250626_161610i4lk.jpeg", "SIG-20250626_161610i4lk.jpeg")</f>
        <v>SIG-20250626_161610i4lk.jpeg</v>
      </c>
      <c r="AV136" s="2" t="str">
        <f>HYPERLINK("https://www.google.com/maps/place/8.8654894%2C-12.049659", "8.8654894,-12.049659")</f>
        <v>8.8654894,-12.049659</v>
      </c>
    </row>
    <row r="137" ht="15.75" customHeight="1">
      <c r="A137" s="1" t="s">
        <v>807</v>
      </c>
      <c r="B137" s="1" t="s">
        <v>46</v>
      </c>
      <c r="C137" s="1" t="s">
        <v>767</v>
      </c>
      <c r="D137" s="1" t="s">
        <v>767</v>
      </c>
      <c r="E137" s="1" t="s">
        <v>808</v>
      </c>
      <c r="F137" s="1" t="s">
        <v>64</v>
      </c>
      <c r="G137" s="1">
        <v>200.0</v>
      </c>
      <c r="H137" s="1" t="s">
        <v>50</v>
      </c>
      <c r="I137" s="1">
        <v>50.0</v>
      </c>
      <c r="J137" s="1">
        <v>25.0</v>
      </c>
      <c r="K137" s="1">
        <v>25.0</v>
      </c>
      <c r="L137" s="1">
        <v>25.0</v>
      </c>
      <c r="M137" s="1">
        <v>25.0</v>
      </c>
      <c r="N137" s="1" t="s">
        <v>51</v>
      </c>
      <c r="O137" s="1">
        <v>50.0</v>
      </c>
      <c r="P137" s="1">
        <v>25.0</v>
      </c>
      <c r="Q137" s="1">
        <v>25.0</v>
      </c>
      <c r="R137" s="1">
        <v>25.0</v>
      </c>
      <c r="S137" s="1">
        <v>25.0</v>
      </c>
      <c r="T137" s="1" t="s">
        <v>52</v>
      </c>
      <c r="U137" s="1">
        <v>50.0</v>
      </c>
      <c r="V137" s="1">
        <v>25.0</v>
      </c>
      <c r="W137" s="1">
        <v>25.0</v>
      </c>
      <c r="X137" s="1">
        <v>25.0</v>
      </c>
      <c r="Y137" s="1">
        <v>25.0</v>
      </c>
      <c r="Z137" s="1" t="s">
        <v>53</v>
      </c>
      <c r="AA137" s="1">
        <v>40.0</v>
      </c>
      <c r="AB137" s="1">
        <v>20.0</v>
      </c>
      <c r="AC137" s="1">
        <v>20.0</v>
      </c>
      <c r="AD137" s="1">
        <v>20.0</v>
      </c>
      <c r="AE137" s="1">
        <v>20.0</v>
      </c>
      <c r="AF137" s="1" t="s">
        <v>54</v>
      </c>
      <c r="AG137" s="1">
        <v>10.0</v>
      </c>
      <c r="AH137" s="1">
        <v>5.0</v>
      </c>
      <c r="AI137" s="1">
        <v>5.0</v>
      </c>
      <c r="AJ137" s="1">
        <v>5.0</v>
      </c>
      <c r="AK137" s="1">
        <v>5.0</v>
      </c>
      <c r="AL137" s="1">
        <v>200.0</v>
      </c>
      <c r="AM137" s="1" t="s">
        <v>55</v>
      </c>
      <c r="AN137" s="1" t="s">
        <v>55</v>
      </c>
      <c r="AO137" s="1" t="s">
        <v>55</v>
      </c>
      <c r="AP137" s="1" t="s">
        <v>809</v>
      </c>
      <c r="AQ137" s="2" t="str">
        <f>HYPERLINK("https://icf.clappia.com/app/GMB253374/submission/ZXF04347235/ICF247370-GMB253374-2ofp7ofoelmk00000000/SIG-20250626_1614118ihn.jpeg", "SIG-20250626_1614118ihn.jpeg")</f>
        <v>SIG-20250626_1614118ihn.jpeg</v>
      </c>
      <c r="AR137" s="1" t="s">
        <v>716</v>
      </c>
      <c r="AS137" s="2" t="str">
        <f>HYPERLINK("https://icf.clappia.com/app/GMB253374/submission/ZXF04347235/ICF247370-GMB253374-5j6in8g397eo00000000/SIG-20250626_1615dcljo.jpeg", "SIG-20250626_1615dcljo.jpeg")</f>
        <v>SIG-20250626_1615dcljo.jpeg</v>
      </c>
      <c r="AT137" s="1" t="s">
        <v>717</v>
      </c>
      <c r="AU137" s="2" t="str">
        <f>HYPERLINK("https://icf.clappia.com/app/GMB253374/submission/ZXF04347235/ICF247370-GMB253374-57ba4d10142g00000000/SIG-20250626_161410ddlg.jpeg", "SIG-20250626_161410ddlg.jpeg")</f>
        <v>SIG-20250626_161410ddlg.jpeg</v>
      </c>
      <c r="AV137" s="2" t="str">
        <f>HYPERLINK("https://www.google.com/maps/place/8.8657683%2C-12.0497733", "8.8657683,-12.0497733")</f>
        <v>8.8657683,-12.0497733</v>
      </c>
    </row>
    <row r="138" ht="15.75" customHeight="1">
      <c r="A138" s="1" t="s">
        <v>810</v>
      </c>
      <c r="B138" s="1" t="s">
        <v>46</v>
      </c>
      <c r="C138" s="1" t="s">
        <v>767</v>
      </c>
      <c r="D138" s="1" t="s">
        <v>767</v>
      </c>
      <c r="E138" s="1" t="s">
        <v>811</v>
      </c>
      <c r="F138" s="1" t="s">
        <v>64</v>
      </c>
      <c r="G138" s="1">
        <v>250.0</v>
      </c>
      <c r="H138" s="1" t="s">
        <v>50</v>
      </c>
      <c r="I138" s="1">
        <v>50.0</v>
      </c>
      <c r="J138" s="1">
        <v>20.0</v>
      </c>
      <c r="K138" s="1">
        <v>20.0</v>
      </c>
      <c r="L138" s="1">
        <v>30.0</v>
      </c>
      <c r="M138" s="1">
        <v>30.0</v>
      </c>
      <c r="N138" s="1" t="s">
        <v>51</v>
      </c>
      <c r="O138" s="1">
        <v>50.0</v>
      </c>
      <c r="P138" s="1">
        <v>15.0</v>
      </c>
      <c r="Q138" s="1">
        <v>15.0</v>
      </c>
      <c r="R138" s="1">
        <v>35.0</v>
      </c>
      <c r="S138" s="1">
        <v>35.0</v>
      </c>
      <c r="T138" s="1" t="s">
        <v>52</v>
      </c>
      <c r="U138" s="1">
        <v>50.0</v>
      </c>
      <c r="V138" s="1">
        <v>25.0</v>
      </c>
      <c r="W138" s="1">
        <v>25.0</v>
      </c>
      <c r="X138" s="1">
        <v>25.0</v>
      </c>
      <c r="Y138" s="1">
        <v>25.0</v>
      </c>
      <c r="Z138" s="1" t="s">
        <v>53</v>
      </c>
      <c r="AA138" s="1">
        <v>50.0</v>
      </c>
      <c r="AB138" s="1">
        <v>10.0</v>
      </c>
      <c r="AC138" s="1">
        <v>10.0</v>
      </c>
      <c r="AD138" s="1">
        <v>40.0</v>
      </c>
      <c r="AE138" s="1">
        <v>40.0</v>
      </c>
      <c r="AF138" s="1" t="s">
        <v>54</v>
      </c>
      <c r="AG138" s="1">
        <v>50.0</v>
      </c>
      <c r="AH138" s="1">
        <v>20.0</v>
      </c>
      <c r="AI138" s="1">
        <v>20.0</v>
      </c>
      <c r="AJ138" s="1">
        <v>30.0</v>
      </c>
      <c r="AK138" s="1">
        <v>30.0</v>
      </c>
      <c r="AL138" s="1">
        <v>250.0</v>
      </c>
      <c r="AM138" s="1" t="s">
        <v>55</v>
      </c>
      <c r="AN138" s="1" t="s">
        <v>55</v>
      </c>
      <c r="AO138" s="1" t="s">
        <v>55</v>
      </c>
      <c r="AP138" s="1" t="s">
        <v>812</v>
      </c>
      <c r="AQ138" s="2" t="str">
        <f>HYPERLINK("https://icf.clappia.com/app/GMB253374/submission/NUE17311124/ICF247370-GMB253374-193bkb00h80og0000000/SIG-20250626_1613feej4.jpeg", "SIG-20250626_1613feej4.jpeg")</f>
        <v>SIG-20250626_1613feej4.jpeg</v>
      </c>
      <c r="AR138" s="1" t="s">
        <v>813</v>
      </c>
      <c r="AS138" s="2" t="str">
        <f>HYPERLINK("https://icf.clappia.com/app/GMB253374/submission/NUE17311124/ICF247370-GMB253374-1k3b2m0k258720000000/SIG-20250626_1614i87pg.jpeg", "SIG-20250626_1614i87pg.jpeg")</f>
        <v>SIG-20250626_1614i87pg.jpeg</v>
      </c>
      <c r="AT138" s="1" t="s">
        <v>614</v>
      </c>
      <c r="AU138" s="2" t="str">
        <f>HYPERLINK("https://icf.clappia.com/app/GMB253374/submission/NUE17311124/ICF247370-GMB253374-1ai17n5acb82k0000000/SIG-20250626_1614be8lc.jpeg", "SIG-20250626_1614be8lc.jpeg")</f>
        <v>SIG-20250626_1614be8lc.jpeg</v>
      </c>
      <c r="AV138" s="2" t="str">
        <f>HYPERLINK("https://www.google.com/maps/place/8.8666221%2C-12.0512994", "8.8666221,-12.0512994")</f>
        <v>8.8666221,-12.0512994</v>
      </c>
    </row>
    <row r="139" ht="15.75" customHeight="1">
      <c r="A139" s="1" t="s">
        <v>814</v>
      </c>
      <c r="B139" s="1" t="s">
        <v>46</v>
      </c>
      <c r="C139" s="1" t="s">
        <v>815</v>
      </c>
      <c r="D139" s="1" t="s">
        <v>815</v>
      </c>
      <c r="E139" s="1" t="s">
        <v>816</v>
      </c>
      <c r="F139" s="1" t="s">
        <v>64</v>
      </c>
      <c r="G139" s="1">
        <v>200.0</v>
      </c>
      <c r="H139" s="1" t="s">
        <v>50</v>
      </c>
      <c r="I139" s="1">
        <v>30.0</v>
      </c>
      <c r="J139" s="1">
        <v>15.0</v>
      </c>
      <c r="K139" s="1">
        <v>15.0</v>
      </c>
      <c r="L139" s="1">
        <v>15.0</v>
      </c>
      <c r="M139" s="1">
        <v>15.0</v>
      </c>
      <c r="N139" s="1" t="s">
        <v>51</v>
      </c>
      <c r="O139" s="1">
        <v>60.0</v>
      </c>
      <c r="P139" s="1">
        <v>25.0</v>
      </c>
      <c r="Q139" s="1">
        <v>25.0</v>
      </c>
      <c r="R139" s="1">
        <v>35.0</v>
      </c>
      <c r="S139" s="1">
        <v>35.0</v>
      </c>
      <c r="T139" s="1" t="s">
        <v>52</v>
      </c>
      <c r="U139" s="1">
        <v>20.0</v>
      </c>
      <c r="V139" s="1">
        <v>5.0</v>
      </c>
      <c r="W139" s="1">
        <v>5.0</v>
      </c>
      <c r="X139" s="1">
        <v>15.0</v>
      </c>
      <c r="Y139" s="1">
        <v>15.0</v>
      </c>
      <c r="Z139" s="1" t="s">
        <v>53</v>
      </c>
      <c r="AA139" s="1">
        <v>20.0</v>
      </c>
      <c r="AB139" s="1">
        <v>15.0</v>
      </c>
      <c r="AC139" s="1">
        <v>15.0</v>
      </c>
      <c r="AD139" s="1">
        <v>5.0</v>
      </c>
      <c r="AE139" s="1">
        <v>5.0</v>
      </c>
      <c r="AF139" s="1" t="s">
        <v>54</v>
      </c>
      <c r="AG139" s="1">
        <v>20.0</v>
      </c>
      <c r="AH139" s="1">
        <v>12.0</v>
      </c>
      <c r="AI139" s="1">
        <v>12.0</v>
      </c>
      <c r="AJ139" s="1">
        <v>8.0</v>
      </c>
      <c r="AK139" s="1">
        <v>8.0</v>
      </c>
      <c r="AL139" s="1">
        <v>150.0</v>
      </c>
      <c r="AM139" s="1" t="s">
        <v>55</v>
      </c>
      <c r="AN139" s="1">
        <v>50.0</v>
      </c>
      <c r="AO139" s="1">
        <v>50.0</v>
      </c>
      <c r="AP139" s="1" t="s">
        <v>817</v>
      </c>
      <c r="AQ139" s="2" t="str">
        <f>HYPERLINK("https://icf.clappia.com/app/GMB253374/submission/GVJ21755503/ICF247370-GMB253374-3j0ka8mf55mm00000000/SIG-20250626_1612134a13.jpeg", "SIG-20250626_1612134a13.jpeg")</f>
        <v>SIG-20250626_1612134a13.jpeg</v>
      </c>
      <c r="AR139" s="1" t="s">
        <v>818</v>
      </c>
      <c r="AS139" s="2" t="str">
        <f>HYPERLINK("https://icf.clappia.com/app/GMB253374/submission/GVJ21755503/ICF247370-GMB253374-3mm9lc23227e00000000/SIG-20250626_1612nk8h6.jpeg", "SIG-20250626_1612nk8h6.jpeg")</f>
        <v>SIG-20250626_1612nk8h6.jpeg</v>
      </c>
      <c r="AT139" s="1" t="s">
        <v>819</v>
      </c>
      <c r="AU139" s="2" t="str">
        <f>HYPERLINK("https://icf.clappia.com/app/GMB253374/submission/GVJ21755503/ICF247370-GMB253374-2oel7m9ehp1k0000000/SIG-20250626_1613blkf3.jpeg", "SIG-20250626_1613blkf3.jpeg")</f>
        <v>SIG-20250626_1613blkf3.jpeg</v>
      </c>
      <c r="AV139" s="2" t="str">
        <f>HYPERLINK("https://www.google.com/maps/place/8.8655933%2C-12.0498317", "8.8655933,-12.0498317")</f>
        <v>8.8655933,-12.0498317</v>
      </c>
    </row>
    <row r="140" ht="15.75" customHeight="1">
      <c r="A140" s="1" t="s">
        <v>820</v>
      </c>
      <c r="B140" s="1" t="s">
        <v>46</v>
      </c>
      <c r="C140" s="1" t="s">
        <v>821</v>
      </c>
      <c r="D140" s="1" t="s">
        <v>821</v>
      </c>
      <c r="E140" s="1" t="s">
        <v>822</v>
      </c>
      <c r="F140" s="1" t="s">
        <v>64</v>
      </c>
      <c r="G140" s="1">
        <v>121.0</v>
      </c>
      <c r="H140" s="1" t="s">
        <v>50</v>
      </c>
      <c r="I140" s="1">
        <v>26.0</v>
      </c>
      <c r="J140" s="1">
        <v>13.0</v>
      </c>
      <c r="K140" s="1">
        <v>13.0</v>
      </c>
      <c r="L140" s="1">
        <v>13.0</v>
      </c>
      <c r="M140" s="1">
        <v>13.0</v>
      </c>
      <c r="N140" s="1" t="s">
        <v>51</v>
      </c>
      <c r="O140" s="1">
        <v>24.0</v>
      </c>
      <c r="P140" s="1">
        <v>12.0</v>
      </c>
      <c r="Q140" s="1">
        <v>12.0</v>
      </c>
      <c r="R140" s="1">
        <v>12.0</v>
      </c>
      <c r="S140" s="1">
        <v>12.0</v>
      </c>
      <c r="T140" s="1" t="s">
        <v>52</v>
      </c>
      <c r="U140" s="1">
        <v>24.0</v>
      </c>
      <c r="V140" s="1">
        <v>12.0</v>
      </c>
      <c r="W140" s="1">
        <v>12.0</v>
      </c>
      <c r="X140" s="1">
        <v>12.0</v>
      </c>
      <c r="Y140" s="1">
        <v>12.0</v>
      </c>
      <c r="Z140" s="1" t="s">
        <v>53</v>
      </c>
      <c r="AA140" s="1">
        <v>24.0</v>
      </c>
      <c r="AB140" s="1">
        <v>12.0</v>
      </c>
      <c r="AC140" s="1">
        <v>12.0</v>
      </c>
      <c r="AD140" s="1">
        <v>12.0</v>
      </c>
      <c r="AE140" s="1">
        <v>12.0</v>
      </c>
      <c r="AF140" s="1" t="s">
        <v>54</v>
      </c>
      <c r="AG140" s="1">
        <v>23.0</v>
      </c>
      <c r="AH140" s="1">
        <v>10.0</v>
      </c>
      <c r="AI140" s="1">
        <v>10.0</v>
      </c>
      <c r="AJ140" s="1">
        <v>13.0</v>
      </c>
      <c r="AK140" s="1">
        <v>13.0</v>
      </c>
      <c r="AL140" s="1">
        <v>121.0</v>
      </c>
      <c r="AM140" s="1" t="s">
        <v>55</v>
      </c>
      <c r="AN140" s="1" t="s">
        <v>55</v>
      </c>
      <c r="AO140" s="1" t="s">
        <v>55</v>
      </c>
      <c r="AP140" s="1" t="s">
        <v>823</v>
      </c>
      <c r="AQ140" s="2" t="str">
        <f>HYPERLINK("https://icf.clappia.com/app/GMB253374/submission/PVP25975903/ICF247370-GMB253374-4e89fa2d43na00000000/SIG-20250626_1400ikeml.jpeg", "SIG-20250626_1400ikeml.jpeg")</f>
        <v>SIG-20250626_1400ikeml.jpeg</v>
      </c>
      <c r="AR140" s="1" t="s">
        <v>824</v>
      </c>
      <c r="AS140" s="2" t="str">
        <f>HYPERLINK("https://icf.clappia.com/app/GMB253374/submission/PVP25975903/ICF247370-GMB253374-5hh006aged9e00000000/SIG-20250626_140218090p.jpeg", "SIG-20250626_140218090p.jpeg")</f>
        <v>SIG-20250626_140218090p.jpeg</v>
      </c>
      <c r="AT140" s="1" t="s">
        <v>825</v>
      </c>
      <c r="AU140" s="2" t="str">
        <f>HYPERLINK("https://icf.clappia.com/app/GMB253374/submission/PVP25975903/ICF247370-GMB253374-53nh4hipoi4e00000000/SIG-20250626_14024n6a4.jpeg", "SIG-20250626_14024n6a4.jpeg")</f>
        <v>SIG-20250626_14024n6a4.jpeg</v>
      </c>
      <c r="AV140" s="2" t="str">
        <f>HYPERLINK("https://www.google.com/maps/place/8.8666211%2C-12.0512958", "8.8666211,-12.0512958")</f>
        <v>8.8666211,-12.0512958</v>
      </c>
    </row>
    <row r="141" ht="15.75" customHeight="1">
      <c r="A141" s="1" t="s">
        <v>826</v>
      </c>
      <c r="B141" s="1" t="s">
        <v>46</v>
      </c>
      <c r="C141" s="1" t="s">
        <v>827</v>
      </c>
      <c r="D141" s="1" t="s">
        <v>827</v>
      </c>
      <c r="E141" s="1" t="s">
        <v>828</v>
      </c>
      <c r="F141" s="1" t="s">
        <v>64</v>
      </c>
      <c r="G141" s="1">
        <v>250.0</v>
      </c>
      <c r="H141" s="1" t="s">
        <v>50</v>
      </c>
      <c r="I141" s="1">
        <v>50.0</v>
      </c>
      <c r="J141" s="1">
        <v>30.0</v>
      </c>
      <c r="K141" s="1">
        <v>30.0</v>
      </c>
      <c r="L141" s="1">
        <v>20.0</v>
      </c>
      <c r="M141" s="1">
        <v>20.0</v>
      </c>
      <c r="N141" s="1" t="s">
        <v>51</v>
      </c>
      <c r="O141" s="1">
        <v>30.0</v>
      </c>
      <c r="P141" s="1">
        <v>15.0</v>
      </c>
      <c r="Q141" s="1">
        <v>15.0</v>
      </c>
      <c r="R141" s="1">
        <v>15.0</v>
      </c>
      <c r="S141" s="1">
        <v>15.0</v>
      </c>
      <c r="T141" s="1" t="s">
        <v>52</v>
      </c>
      <c r="U141" s="1">
        <v>40.0</v>
      </c>
      <c r="V141" s="1">
        <v>20.0</v>
      </c>
      <c r="W141" s="1">
        <v>20.0</v>
      </c>
      <c r="X141" s="1">
        <v>20.0</v>
      </c>
      <c r="Y141" s="1">
        <v>20.0</v>
      </c>
      <c r="Z141" s="1" t="s">
        <v>53</v>
      </c>
      <c r="AA141" s="1">
        <v>50.0</v>
      </c>
      <c r="AB141" s="1">
        <v>25.0</v>
      </c>
      <c r="AC141" s="1">
        <v>25.0</v>
      </c>
      <c r="AD141" s="1">
        <v>25.0</v>
      </c>
      <c r="AE141" s="1">
        <v>25.0</v>
      </c>
      <c r="AF141" s="1" t="s">
        <v>54</v>
      </c>
      <c r="AG141" s="1">
        <v>80.0</v>
      </c>
      <c r="AH141" s="1">
        <v>40.0</v>
      </c>
      <c r="AI141" s="1">
        <v>40.0</v>
      </c>
      <c r="AJ141" s="1">
        <v>40.0</v>
      </c>
      <c r="AK141" s="1">
        <v>40.0</v>
      </c>
      <c r="AL141" s="1">
        <v>250.0</v>
      </c>
      <c r="AM141" s="1" t="s">
        <v>668</v>
      </c>
      <c r="AN141" s="1" t="s">
        <v>55</v>
      </c>
      <c r="AO141" s="1" t="s">
        <v>55</v>
      </c>
      <c r="AP141" s="1" t="s">
        <v>829</v>
      </c>
      <c r="AQ141" s="2" t="str">
        <f>HYPERLINK("https://icf.clappia.com/app/GMB253374/submission/NHL00235913/ICF247370-GMB253374-1o01llkh9cbok0000000/SIG-20250626_15459h51m.jpeg", "SIG-20250626_15459h51m.jpeg")</f>
        <v>SIG-20250626_15459h51m.jpeg</v>
      </c>
      <c r="AR141" s="1" t="s">
        <v>830</v>
      </c>
      <c r="AS141" s="2" t="str">
        <f>HYPERLINK("https://icf.clappia.com/app/GMB253374/submission/NHL00235913/ICF247370-GMB253374-34le7lgcm2ok00000000/SIG-20250626_154516b2h0.jpeg", "SIG-20250626_154516b2h0.jpeg")</f>
        <v>SIG-20250626_154516b2h0.jpeg</v>
      </c>
      <c r="AT141" s="1" t="s">
        <v>831</v>
      </c>
      <c r="AU141" s="2" t="str">
        <f>HYPERLINK("https://icf.clappia.com/app/GMB253374/submission/NHL00235913/ICF247370-GMB253374-67kf0ci1fm0i00000000/SIG-20250626_1546k5leg.jpeg", "SIG-20250626_1546k5leg.jpeg")</f>
        <v>SIG-20250626_1546k5leg.jpeg</v>
      </c>
      <c r="AV141" s="2" t="str">
        <f>HYPERLINK("https://www.google.com/maps/place/7.9575499%2C-11.7575473", "7.9575499,-11.7575473")</f>
        <v>7.9575499,-11.7575473</v>
      </c>
    </row>
    <row r="142" ht="15.75" customHeight="1">
      <c r="A142" s="1" t="s">
        <v>832</v>
      </c>
      <c r="B142" s="1" t="s">
        <v>46</v>
      </c>
      <c r="C142" s="1" t="s">
        <v>827</v>
      </c>
      <c r="D142" s="1" t="s">
        <v>827</v>
      </c>
      <c r="E142" s="1" t="s">
        <v>833</v>
      </c>
      <c r="F142" s="1" t="s">
        <v>64</v>
      </c>
      <c r="G142" s="1">
        <v>250.0</v>
      </c>
      <c r="H142" s="1" t="s">
        <v>50</v>
      </c>
      <c r="I142" s="1">
        <v>50.0</v>
      </c>
      <c r="J142" s="1">
        <v>30.0</v>
      </c>
      <c r="K142" s="1">
        <v>20.0</v>
      </c>
      <c r="L142" s="1">
        <v>20.0</v>
      </c>
      <c r="M142" s="1">
        <v>15.0</v>
      </c>
      <c r="N142" s="1" t="s">
        <v>51</v>
      </c>
      <c r="O142" s="1">
        <v>30.0</v>
      </c>
      <c r="P142" s="1">
        <v>15.0</v>
      </c>
      <c r="Q142" s="1">
        <v>15.0</v>
      </c>
      <c r="R142" s="1">
        <v>15.0</v>
      </c>
      <c r="S142" s="1">
        <v>15.0</v>
      </c>
      <c r="T142" s="1" t="s">
        <v>52</v>
      </c>
      <c r="U142" s="1">
        <v>40.0</v>
      </c>
      <c r="V142" s="1">
        <v>25.0</v>
      </c>
      <c r="W142" s="1">
        <v>20.0</v>
      </c>
      <c r="X142" s="1">
        <v>15.0</v>
      </c>
      <c r="Y142" s="1">
        <v>10.0</v>
      </c>
      <c r="Z142" s="1" t="s">
        <v>53</v>
      </c>
      <c r="AA142" s="1">
        <v>55.0</v>
      </c>
      <c r="AB142" s="1">
        <v>30.0</v>
      </c>
      <c r="AC142" s="1">
        <v>30.0</v>
      </c>
      <c r="AD142" s="1">
        <v>25.0</v>
      </c>
      <c r="AE142" s="1">
        <v>25.0</v>
      </c>
      <c r="AF142" s="1" t="s">
        <v>54</v>
      </c>
      <c r="AG142" s="1">
        <v>100.0</v>
      </c>
      <c r="AH142" s="1">
        <v>50.0</v>
      </c>
      <c r="AI142" s="1">
        <v>40.0</v>
      </c>
      <c r="AJ142" s="1">
        <v>10.0</v>
      </c>
      <c r="AK142" s="1">
        <v>10.0</v>
      </c>
      <c r="AL142" s="1">
        <v>200.0</v>
      </c>
      <c r="AM142" s="1">
        <v>10.0</v>
      </c>
      <c r="AN142" s="1">
        <v>40.0</v>
      </c>
      <c r="AO142" s="1">
        <v>40.0</v>
      </c>
      <c r="AP142" s="1" t="s">
        <v>834</v>
      </c>
      <c r="AQ142" s="2" t="str">
        <f>HYPERLINK("https://icf.clappia.com/app/GMB253374/submission/RCT08233292/ICF247370-GMB253374-35icpj6b027800000000/SIG-20250626_15455705k.jpeg", "SIG-20250626_15455705k.jpeg")</f>
        <v>SIG-20250626_15455705k.jpeg</v>
      </c>
      <c r="AR142" s="1" t="s">
        <v>835</v>
      </c>
      <c r="AS142" s="2" t="str">
        <f>HYPERLINK("https://icf.clappia.com/app/GMB253374/submission/RCT08233292/ICF247370-GMB253374-30582354675600000000/SIG-20250626_15463996j.jpeg", "SIG-20250626_15463996j.jpeg")</f>
        <v>SIG-20250626_15463996j.jpeg</v>
      </c>
      <c r="AT142" s="1" t="s">
        <v>836</v>
      </c>
      <c r="AU142" s="2" t="str">
        <f>HYPERLINK("https://icf.clappia.com/app/GMB253374/submission/RCT08233292/ICF247370-GMB253374-20360e4ami2l60000000/SIG-20250626_1548okh8c.jpeg", "SIG-20250626_1548okh8c.jpeg")</f>
        <v>SIG-20250626_1548okh8c.jpeg</v>
      </c>
      <c r="AV142" s="2" t="str">
        <f>HYPERLINK("https://www.google.com/maps/place/7.9642603%2C-11.745088", "7.9642603,-11.745088")</f>
        <v>7.9642603,-11.745088</v>
      </c>
    </row>
    <row r="143" ht="15.75" customHeight="1">
      <c r="A143" s="1" t="s">
        <v>837</v>
      </c>
      <c r="B143" s="1" t="s">
        <v>838</v>
      </c>
      <c r="C143" s="1" t="s">
        <v>839</v>
      </c>
      <c r="D143" s="1" t="s">
        <v>840</v>
      </c>
      <c r="E143" s="1" t="s">
        <v>841</v>
      </c>
      <c r="F143" s="1" t="s">
        <v>64</v>
      </c>
      <c r="G143" s="1">
        <v>500.0</v>
      </c>
      <c r="H143" s="1" t="s">
        <v>50</v>
      </c>
      <c r="I143" s="1">
        <v>60.0</v>
      </c>
      <c r="J143" s="1">
        <v>30.0</v>
      </c>
      <c r="K143" s="1">
        <v>30.0</v>
      </c>
      <c r="L143" s="1">
        <v>30.0</v>
      </c>
      <c r="M143" s="1">
        <v>30.0</v>
      </c>
      <c r="N143" s="1" t="s">
        <v>51</v>
      </c>
      <c r="O143" s="1">
        <v>40.0</v>
      </c>
      <c r="P143" s="1">
        <v>20.0</v>
      </c>
      <c r="Q143" s="1">
        <v>20.0</v>
      </c>
      <c r="R143" s="1">
        <v>20.0</v>
      </c>
      <c r="S143" s="1">
        <v>20.0</v>
      </c>
      <c r="T143" s="1" t="s">
        <v>52</v>
      </c>
      <c r="U143" s="1">
        <v>30.0</v>
      </c>
      <c r="V143" s="1">
        <v>20.0</v>
      </c>
      <c r="W143" s="1">
        <v>20.0</v>
      </c>
      <c r="X143" s="1">
        <v>10.0</v>
      </c>
      <c r="Y143" s="1">
        <v>10.0</v>
      </c>
      <c r="Z143" s="1" t="s">
        <v>53</v>
      </c>
      <c r="AA143" s="1">
        <v>70.0</v>
      </c>
      <c r="AB143" s="1">
        <v>35.0</v>
      </c>
      <c r="AC143" s="1">
        <v>35.0</v>
      </c>
      <c r="AD143" s="1">
        <v>35.0</v>
      </c>
      <c r="AE143" s="1">
        <v>35.0</v>
      </c>
      <c r="AF143" s="1" t="s">
        <v>54</v>
      </c>
      <c r="AG143" s="1">
        <v>80.0</v>
      </c>
      <c r="AH143" s="1">
        <v>40.0</v>
      </c>
      <c r="AI143" s="1">
        <v>40.0</v>
      </c>
      <c r="AJ143" s="1">
        <v>40.0</v>
      </c>
      <c r="AK143" s="1">
        <v>40.0</v>
      </c>
      <c r="AL143" s="1">
        <v>280.0</v>
      </c>
      <c r="AM143" s="1" t="s">
        <v>55</v>
      </c>
      <c r="AN143" s="1">
        <v>220.0</v>
      </c>
      <c r="AO143" s="1">
        <v>220.0</v>
      </c>
      <c r="AP143" s="1" t="s">
        <v>842</v>
      </c>
      <c r="AQ143" s="2" t="str">
        <f>HYPERLINK("https://icf.clappia.com/app/GMB253374/submission/GXP70201123/ICF247370-GMB253374-5dh3kn9f7pmm00000000/SIG-20250626_1300150a8i.jpeg", "SIG-20250626_1300150a8i.jpeg")</f>
        <v>SIG-20250626_1300150a8i.jpeg</v>
      </c>
      <c r="AR143" s="1" t="s">
        <v>843</v>
      </c>
      <c r="AS143" s="2" t="str">
        <f>HYPERLINK("https://icf.clappia.com/app/GMB253374/submission/GXP70201123/ICF247370-GMB253374-1ahf5he980c4o0000000/SIG-20250626_1300ncb3k.jpeg", "SIG-20250626_1300ncb3k.jpeg")</f>
        <v>SIG-20250626_1300ncb3k.jpeg</v>
      </c>
      <c r="AT143" s="1" t="s">
        <v>844</v>
      </c>
      <c r="AU143" s="2" t="str">
        <f>HYPERLINK("https://icf.clappia.com/app/GMB253374/submission/GXP70201123/ICF247370-GMB253374-4a161lc938ea00000000/SIG-20250626_1301j23fe.jpeg", "SIG-20250626_1301j23fe.jpeg")</f>
        <v>SIG-20250626_1301j23fe.jpeg</v>
      </c>
      <c r="AV143" s="2" t="str">
        <f>HYPERLINK("https://www.google.com/maps/place/7.9610474%2C-11.7404606", "7.9610474,-11.7404606")</f>
        <v>7.9610474,-11.7404606</v>
      </c>
    </row>
    <row r="144" ht="15.75" customHeight="1">
      <c r="A144" s="1" t="s">
        <v>845</v>
      </c>
      <c r="B144" s="1" t="s">
        <v>46</v>
      </c>
      <c r="C144" s="1" t="s">
        <v>846</v>
      </c>
      <c r="D144" s="1" t="s">
        <v>846</v>
      </c>
      <c r="E144" s="1" t="s">
        <v>847</v>
      </c>
      <c r="F144" s="1" t="s">
        <v>64</v>
      </c>
      <c r="G144" s="1">
        <v>200.0</v>
      </c>
      <c r="H144" s="1" t="s">
        <v>50</v>
      </c>
      <c r="I144" s="1">
        <v>20.0</v>
      </c>
      <c r="J144" s="1">
        <v>10.0</v>
      </c>
      <c r="K144" s="1">
        <v>10.0</v>
      </c>
      <c r="L144" s="1">
        <v>10.0</v>
      </c>
      <c r="M144" s="1">
        <v>8.0</v>
      </c>
      <c r="N144" s="1" t="s">
        <v>51</v>
      </c>
      <c r="O144" s="1">
        <v>50.0</v>
      </c>
      <c r="P144" s="1">
        <v>25.0</v>
      </c>
      <c r="Q144" s="1">
        <v>25.0</v>
      </c>
      <c r="R144" s="1">
        <v>25.0</v>
      </c>
      <c r="S144" s="1">
        <v>25.0</v>
      </c>
      <c r="T144" s="1" t="s">
        <v>52</v>
      </c>
      <c r="U144" s="1">
        <v>35.0</v>
      </c>
      <c r="V144" s="1">
        <v>15.0</v>
      </c>
      <c r="W144" s="1">
        <v>14.0</v>
      </c>
      <c r="X144" s="1">
        <v>20.0</v>
      </c>
      <c r="Y144" s="1">
        <v>18.0</v>
      </c>
      <c r="Z144" s="1" t="s">
        <v>53</v>
      </c>
      <c r="AA144" s="1">
        <v>40.0</v>
      </c>
      <c r="AB144" s="1">
        <v>15.0</v>
      </c>
      <c r="AC144" s="1">
        <v>14.0</v>
      </c>
      <c r="AD144" s="1">
        <v>25.0</v>
      </c>
      <c r="AE144" s="1">
        <v>21.0</v>
      </c>
      <c r="AF144" s="1" t="s">
        <v>54</v>
      </c>
      <c r="AG144" s="1">
        <v>60.0</v>
      </c>
      <c r="AH144" s="1">
        <v>22.0</v>
      </c>
      <c r="AI144" s="1">
        <v>22.0</v>
      </c>
      <c r="AJ144" s="1">
        <v>32.0</v>
      </c>
      <c r="AK144" s="1">
        <v>30.0</v>
      </c>
      <c r="AL144" s="1">
        <v>187.0</v>
      </c>
      <c r="AM144" s="1" t="s">
        <v>55</v>
      </c>
      <c r="AN144" s="1">
        <v>13.0</v>
      </c>
      <c r="AO144" s="1">
        <v>13.0</v>
      </c>
      <c r="AP144" s="1" t="s">
        <v>848</v>
      </c>
      <c r="AQ144" s="2" t="str">
        <f>HYPERLINK("https://icf.clappia.com/app/GMB253374/submission/KTN72961643/ICF247370-GMB253374-2dl0k3efc6ig00000000/SIG-20250626_1353195gb4.jpeg", "SIG-20250626_1353195gb4.jpeg")</f>
        <v>SIG-20250626_1353195gb4.jpeg</v>
      </c>
      <c r="AR144" s="1" t="s">
        <v>849</v>
      </c>
      <c r="AS144" s="2" t="str">
        <f>HYPERLINK("https://icf.clappia.com/app/GMB253374/submission/KTN72961643/ICF247370-GMB253374-535clknb151200000000/SIG-20250626_1358nhdhj.jpeg", "SIG-20250626_1358nhdhj.jpeg")</f>
        <v>SIG-20250626_1358nhdhj.jpeg</v>
      </c>
      <c r="AT144" s="1" t="s">
        <v>850</v>
      </c>
      <c r="AU144" s="2" t="str">
        <f>HYPERLINK("https://icf.clappia.com/app/GMB253374/submission/KTN72961643/ICF247370-GMB253374-652loc96p9p200000000/SIG-20250626_13581242f.jpeg", "SIG-20250626_13581242f.jpeg")</f>
        <v>SIG-20250626_13581242f.jpeg</v>
      </c>
      <c r="AV144" s="2" t="str">
        <f t="shared" ref="AV144:AV145" si="3">HYPERLINK("https://www.google.com/maps/place/8.8673336%2C-12.0502285", "8.8673336,-12.0502285")</f>
        <v>8.8673336,-12.0502285</v>
      </c>
    </row>
    <row r="145" ht="15.75" customHeight="1">
      <c r="A145" s="1" t="s">
        <v>851</v>
      </c>
      <c r="B145" s="1" t="s">
        <v>46</v>
      </c>
      <c r="C145" s="1" t="s">
        <v>852</v>
      </c>
      <c r="D145" s="1" t="s">
        <v>852</v>
      </c>
      <c r="E145" s="1" t="s">
        <v>853</v>
      </c>
      <c r="F145" s="1" t="s">
        <v>64</v>
      </c>
      <c r="G145" s="1">
        <v>200.0</v>
      </c>
      <c r="H145" s="1" t="s">
        <v>50</v>
      </c>
      <c r="I145" s="1">
        <v>20.0</v>
      </c>
      <c r="J145" s="1">
        <v>10.0</v>
      </c>
      <c r="K145" s="1">
        <v>10.0</v>
      </c>
      <c r="L145" s="1">
        <v>10.0</v>
      </c>
      <c r="M145" s="1">
        <v>8.0</v>
      </c>
      <c r="N145" s="1" t="s">
        <v>51</v>
      </c>
      <c r="O145" s="1">
        <v>25.0</v>
      </c>
      <c r="P145" s="1">
        <v>15.0</v>
      </c>
      <c r="Q145" s="1">
        <v>15.0</v>
      </c>
      <c r="R145" s="1">
        <v>10.0</v>
      </c>
      <c r="S145" s="1">
        <v>10.0</v>
      </c>
      <c r="T145" s="1" t="s">
        <v>52</v>
      </c>
      <c r="U145" s="1">
        <v>35.0</v>
      </c>
      <c r="V145" s="1">
        <v>15.0</v>
      </c>
      <c r="W145" s="1">
        <v>10.0</v>
      </c>
      <c r="X145" s="1">
        <v>20.0</v>
      </c>
      <c r="Y145" s="1">
        <v>17.0</v>
      </c>
      <c r="Z145" s="1" t="s">
        <v>53</v>
      </c>
      <c r="AA145" s="1">
        <v>40.0</v>
      </c>
      <c r="AB145" s="1">
        <v>15.0</v>
      </c>
      <c r="AC145" s="1">
        <v>14.0</v>
      </c>
      <c r="AD145" s="1">
        <v>25.0</v>
      </c>
      <c r="AE145" s="1">
        <v>21.0</v>
      </c>
      <c r="AF145" s="1" t="s">
        <v>54</v>
      </c>
      <c r="AG145" s="1">
        <v>60.0</v>
      </c>
      <c r="AH145" s="1">
        <v>28.0</v>
      </c>
      <c r="AI145" s="1">
        <v>28.0</v>
      </c>
      <c r="AJ145" s="1">
        <v>32.0</v>
      </c>
      <c r="AK145" s="1">
        <v>30.0</v>
      </c>
      <c r="AL145" s="1">
        <v>163.0</v>
      </c>
      <c r="AM145" s="1" t="s">
        <v>55</v>
      </c>
      <c r="AN145" s="1">
        <v>37.0</v>
      </c>
      <c r="AO145" s="1">
        <v>37.0</v>
      </c>
      <c r="AP145" s="1" t="s">
        <v>548</v>
      </c>
      <c r="AQ145" s="2" t="str">
        <f>HYPERLINK("https://icf.clappia.com/app/GMB253374/submission/AQQ01993895/ICF247370-GMB253374-3mhoj9b994f400000000/SIG-20250626_135571jjf.jpeg", "SIG-20250626_135571jjf.jpeg")</f>
        <v>SIG-20250626_135571jjf.jpeg</v>
      </c>
      <c r="AR145" s="1" t="s">
        <v>854</v>
      </c>
      <c r="AS145" s="2" t="str">
        <f>HYPERLINK("https://icf.clappia.com/app/GMB253374/submission/AQQ01993895/ICF247370-GMB253374-4kbbfd93mggi0000000/SIG-20250626_1355109gok.jpeg", "SIG-20250626_1355109gok.jpeg")</f>
        <v>SIG-20250626_1355109gok.jpeg</v>
      </c>
      <c r="AT145" s="1" t="s">
        <v>855</v>
      </c>
      <c r="AU145" s="2" t="str">
        <f>HYPERLINK("https://icf.clappia.com/app/GMB253374/submission/AQQ01993895/ICF247370-GMB253374-1380lcce61gn20000000/SIG-20250626_135613lej0.jpeg", "SIG-20250626_135613lej0.jpeg")</f>
        <v>SIG-20250626_135613lej0.jpeg</v>
      </c>
      <c r="AV145" s="2" t="str">
        <f t="shared" si="3"/>
        <v>8.8673336,-12.0502285</v>
      </c>
    </row>
    <row r="146" ht="15.75" customHeight="1">
      <c r="A146" s="1" t="s">
        <v>856</v>
      </c>
      <c r="B146" s="1" t="s">
        <v>46</v>
      </c>
      <c r="C146" s="1" t="s">
        <v>852</v>
      </c>
      <c r="D146" s="1" t="s">
        <v>852</v>
      </c>
      <c r="E146" s="1" t="s">
        <v>857</v>
      </c>
      <c r="F146" s="1" t="s">
        <v>64</v>
      </c>
      <c r="G146" s="1">
        <v>200.0</v>
      </c>
      <c r="H146" s="1" t="s">
        <v>50</v>
      </c>
      <c r="I146" s="1">
        <v>20.0</v>
      </c>
      <c r="J146" s="1">
        <v>10.0</v>
      </c>
      <c r="K146" s="1">
        <v>10.0</v>
      </c>
      <c r="L146" s="1">
        <v>10.0</v>
      </c>
      <c r="M146" s="1">
        <v>8.0</v>
      </c>
      <c r="N146" s="1" t="s">
        <v>51</v>
      </c>
      <c r="O146" s="1">
        <v>25.0</v>
      </c>
      <c r="P146" s="1">
        <v>15.0</v>
      </c>
      <c r="Q146" s="1">
        <v>15.0</v>
      </c>
      <c r="R146" s="1">
        <v>10.0</v>
      </c>
      <c r="S146" s="1">
        <v>10.0</v>
      </c>
      <c r="T146" s="1" t="s">
        <v>52</v>
      </c>
      <c r="U146" s="1">
        <v>35.0</v>
      </c>
      <c r="V146" s="1">
        <v>15.0</v>
      </c>
      <c r="W146" s="1">
        <v>10.0</v>
      </c>
      <c r="X146" s="1">
        <v>20.0</v>
      </c>
      <c r="Y146" s="1">
        <v>17.0</v>
      </c>
      <c r="Z146" s="1" t="s">
        <v>53</v>
      </c>
      <c r="AA146" s="1">
        <v>40.0</v>
      </c>
      <c r="AB146" s="1">
        <v>15.0</v>
      </c>
      <c r="AC146" s="1">
        <v>14.0</v>
      </c>
      <c r="AD146" s="1">
        <v>25.0</v>
      </c>
      <c r="AE146" s="1">
        <v>21.0</v>
      </c>
      <c r="AF146" s="1" t="s">
        <v>54</v>
      </c>
      <c r="AG146" s="1">
        <v>60.0</v>
      </c>
      <c r="AH146" s="1">
        <v>28.0</v>
      </c>
      <c r="AI146" s="1">
        <v>28.0</v>
      </c>
      <c r="AJ146" s="1">
        <v>32.0</v>
      </c>
      <c r="AK146" s="1">
        <v>30.0</v>
      </c>
      <c r="AL146" s="1">
        <v>163.0</v>
      </c>
      <c r="AM146" s="1" t="s">
        <v>55</v>
      </c>
      <c r="AN146" s="1">
        <v>37.0</v>
      </c>
      <c r="AO146" s="1">
        <v>37.0</v>
      </c>
      <c r="AP146" s="1" t="s">
        <v>858</v>
      </c>
      <c r="AQ146" s="2" t="str">
        <f>HYPERLINK("https://icf.clappia.com/app/GMB253374/submission/SDG39940785/ICF247370-GMB253374-136m17k757ljm0000000/SIG-20250626_1354c2kj6.jpeg", "SIG-20250626_1354c2kj6.jpeg")</f>
        <v>SIG-20250626_1354c2kj6.jpeg</v>
      </c>
      <c r="AR146" s="1" t="s">
        <v>859</v>
      </c>
      <c r="AS146" s="2" t="str">
        <f>HYPERLINK("https://icf.clappia.com/app/GMB253374/submission/SDG39940785/ICF247370-GMB253374-2f7pjjhp4f6e00000000/SIG-20250626_13542ciip.jpeg", "SIG-20250626_13542ciip.jpeg")</f>
        <v>SIG-20250626_13542ciip.jpeg</v>
      </c>
      <c r="AT146" s="1" t="s">
        <v>860</v>
      </c>
      <c r="AU146" s="2" t="str">
        <f>HYPERLINK("https://icf.clappia.com/app/GMB253374/submission/SDG39940785/ICF247370-GMB253374-65c6ei2j5a7e00000000/SIG-20250626_1358173aof.jpeg", "SIG-20250626_1358173aof.jpeg")</f>
        <v>SIG-20250626_1358173aof.jpeg</v>
      </c>
      <c r="AV146" s="2" t="str">
        <f>HYPERLINK("https://www.google.com/maps/place/8.8875806%2C-12.042439", "8.8875806,-12.042439")</f>
        <v>8.8875806,-12.042439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1:$AV$146"/>
  <drawing r:id="rId1"/>
</worksheet>
</file>