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7280\Desktop\ENSIMAG\2A\S2\Finance_Quantitative\MF\"/>
    </mc:Choice>
  </mc:AlternateContent>
  <bookViews>
    <workbookView xWindow="0" yWindow="0" windowWidth="2370" windowHeight="0" activeTab="3"/>
  </bookViews>
  <sheets>
    <sheet name="Exo1" sheetId="4" r:id="rId1"/>
    <sheet name="Exo2" sheetId="2" r:id="rId2"/>
    <sheet name="Exo3" sheetId="3" r:id="rId3"/>
    <sheet name="Exo4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Q4" i="1"/>
  <c r="B18" i="1"/>
  <c r="H5" i="1"/>
  <c r="B54" i="1"/>
  <c r="F1" i="1"/>
  <c r="H36" i="3" l="1"/>
  <c r="H37" i="3"/>
  <c r="H38" i="3"/>
  <c r="H39" i="3"/>
  <c r="H40" i="3"/>
  <c r="H41" i="3"/>
  <c r="H42" i="3"/>
  <c r="H43" i="3"/>
  <c r="H44" i="3"/>
  <c r="H45" i="3"/>
  <c r="H46" i="3"/>
  <c r="H47" i="3"/>
  <c r="H31" i="3"/>
  <c r="G31" i="3"/>
  <c r="F31" i="3"/>
  <c r="E31" i="3"/>
  <c r="D31" i="3"/>
  <c r="C31" i="3"/>
  <c r="B31" i="3"/>
  <c r="B34" i="3"/>
  <c r="B33" i="3"/>
  <c r="B32" i="3"/>
  <c r="C10" i="4"/>
  <c r="B10" i="4"/>
  <c r="B11" i="4" l="1"/>
  <c r="B13" i="4" s="1"/>
  <c r="B14" i="4" s="1"/>
  <c r="C11" i="4"/>
  <c r="C13" i="4" s="1"/>
  <c r="C14" i="4" s="1"/>
  <c r="B46" i="3"/>
  <c r="C30" i="3"/>
  <c r="C45" i="3" s="1"/>
  <c r="C47" i="3"/>
  <c r="C32" i="3"/>
  <c r="C33" i="3"/>
  <c r="C34" i="3"/>
  <c r="B42" i="3"/>
  <c r="C41" i="3"/>
  <c r="B37" i="3"/>
  <c r="G34" i="3"/>
  <c r="F34" i="3"/>
  <c r="E34" i="3"/>
  <c r="D34" i="3"/>
  <c r="H34" i="3" s="1"/>
  <c r="F33" i="3"/>
  <c r="G33" i="3" s="1"/>
  <c r="E33" i="3"/>
  <c r="D33" i="3"/>
  <c r="H33" i="3" s="1"/>
  <c r="F32" i="3"/>
  <c r="E32" i="3"/>
  <c r="G32" i="3" s="1"/>
  <c r="D32" i="3"/>
  <c r="E30" i="3"/>
  <c r="B9" i="3"/>
  <c r="B47" i="3" l="1"/>
  <c r="D47" i="3" s="1"/>
  <c r="B38" i="3"/>
  <c r="B45" i="3"/>
  <c r="D45" i="3" s="1"/>
  <c r="B41" i="3"/>
  <c r="C38" i="3"/>
  <c r="C39" i="3"/>
  <c r="C42" i="3"/>
  <c r="D42" i="3" s="1"/>
  <c r="C46" i="3"/>
  <c r="D46" i="3" s="1"/>
  <c r="C44" i="3"/>
  <c r="C37" i="3"/>
  <c r="D37" i="3" s="1"/>
  <c r="C43" i="3"/>
  <c r="D41" i="3"/>
  <c r="B11" i="3"/>
  <c r="H1" i="3"/>
  <c r="D18" i="3" s="1"/>
  <c r="D19" i="3" s="1"/>
  <c r="B10" i="3"/>
  <c r="H32" i="3"/>
  <c r="B13" i="3"/>
  <c r="E46" i="3"/>
  <c r="E42" i="3"/>
  <c r="E38" i="3"/>
  <c r="E47" i="3"/>
  <c r="E43" i="3"/>
  <c r="E39" i="3"/>
  <c r="E44" i="3"/>
  <c r="E40" i="3"/>
  <c r="E36" i="3"/>
  <c r="F30" i="3"/>
  <c r="E45" i="3"/>
  <c r="E41" i="3"/>
  <c r="E37" i="3"/>
  <c r="B36" i="3"/>
  <c r="B40" i="3"/>
  <c r="B44" i="3"/>
  <c r="C36" i="3"/>
  <c r="B39" i="3"/>
  <c r="C40" i="3"/>
  <c r="B43" i="3"/>
  <c r="D38" i="3" l="1"/>
  <c r="D44" i="3"/>
  <c r="D43" i="3"/>
  <c r="D39" i="3"/>
  <c r="F47" i="3"/>
  <c r="F43" i="3"/>
  <c r="F39" i="3"/>
  <c r="G39" i="3" s="1"/>
  <c r="F44" i="3"/>
  <c r="G44" i="3" s="1"/>
  <c r="F40" i="3"/>
  <c r="F36" i="3"/>
  <c r="F45" i="3"/>
  <c r="F41" i="3"/>
  <c r="G41" i="3" s="1"/>
  <c r="F37" i="3"/>
  <c r="F46" i="3"/>
  <c r="F42" i="3"/>
  <c r="G42" i="3" s="1"/>
  <c r="F38" i="3"/>
  <c r="G38" i="3" s="1"/>
  <c r="G37" i="3"/>
  <c r="G36" i="3"/>
  <c r="G43" i="3"/>
  <c r="G46" i="3"/>
  <c r="D40" i="3"/>
  <c r="G40" i="3"/>
  <c r="G47" i="3"/>
  <c r="B12" i="3"/>
  <c r="H2" i="3"/>
  <c r="B14" i="3"/>
  <c r="B19" i="3" s="1"/>
  <c r="D36" i="3"/>
  <c r="G45" i="3"/>
  <c r="C19" i="3"/>
  <c r="C18" i="3"/>
  <c r="B18" i="3"/>
  <c r="E18" i="3"/>
  <c r="E19" i="3" l="1"/>
  <c r="E29" i="2" l="1"/>
  <c r="E30" i="2"/>
  <c r="E31" i="2"/>
  <c r="E32" i="2"/>
  <c r="F32" i="2" s="1"/>
  <c r="G32" i="2" s="1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28" i="2"/>
  <c r="A43" i="2"/>
  <c r="A44" i="2" s="1"/>
  <c r="A45" i="2" s="1"/>
  <c r="A46" i="2" s="1"/>
  <c r="A30" i="2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29" i="2"/>
  <c r="C20" i="2"/>
  <c r="B20" i="2"/>
  <c r="C15" i="2"/>
  <c r="B15" i="2"/>
  <c r="C11" i="2"/>
  <c r="B11" i="2"/>
  <c r="B10" i="2"/>
  <c r="C32" i="2" s="1"/>
  <c r="D32" i="2" s="1"/>
  <c r="F42" i="2" l="1"/>
  <c r="G42" i="2" s="1"/>
  <c r="F31" i="2"/>
  <c r="G31" i="2" s="1"/>
  <c r="B17" i="2"/>
  <c r="C28" i="2"/>
  <c r="D28" i="2" s="1"/>
  <c r="F28" i="2" s="1"/>
  <c r="G28" i="2" s="1"/>
  <c r="C43" i="2"/>
  <c r="D43" i="2" s="1"/>
  <c r="F43" i="2" s="1"/>
  <c r="G43" i="2" s="1"/>
  <c r="C39" i="2"/>
  <c r="D39" i="2" s="1"/>
  <c r="F39" i="2" s="1"/>
  <c r="G39" i="2" s="1"/>
  <c r="C35" i="2"/>
  <c r="D35" i="2" s="1"/>
  <c r="F35" i="2" s="1"/>
  <c r="G35" i="2" s="1"/>
  <c r="C31" i="2"/>
  <c r="D31" i="2" s="1"/>
  <c r="B12" i="2"/>
  <c r="C17" i="2"/>
  <c r="C46" i="2"/>
  <c r="D46" i="2" s="1"/>
  <c r="F46" i="2" s="1"/>
  <c r="G46" i="2" s="1"/>
  <c r="C42" i="2"/>
  <c r="D42" i="2" s="1"/>
  <c r="C38" i="2"/>
  <c r="D38" i="2" s="1"/>
  <c r="F38" i="2" s="1"/>
  <c r="G38" i="2" s="1"/>
  <c r="C34" i="2"/>
  <c r="D34" i="2" s="1"/>
  <c r="F34" i="2" s="1"/>
  <c r="G34" i="2" s="1"/>
  <c r="C30" i="2"/>
  <c r="D30" i="2" s="1"/>
  <c r="F30" i="2" s="1"/>
  <c r="G30" i="2" s="1"/>
  <c r="B18" i="2"/>
  <c r="B19" i="2" s="1"/>
  <c r="B22" i="2" s="1"/>
  <c r="B23" i="2" s="1"/>
  <c r="B24" i="2" s="1"/>
  <c r="C45" i="2"/>
  <c r="D45" i="2" s="1"/>
  <c r="F45" i="2" s="1"/>
  <c r="G45" i="2" s="1"/>
  <c r="C41" i="2"/>
  <c r="D41" i="2" s="1"/>
  <c r="F41" i="2" s="1"/>
  <c r="G41" i="2" s="1"/>
  <c r="C37" i="2"/>
  <c r="D37" i="2" s="1"/>
  <c r="F37" i="2" s="1"/>
  <c r="G37" i="2" s="1"/>
  <c r="C33" i="2"/>
  <c r="D33" i="2" s="1"/>
  <c r="F33" i="2" s="1"/>
  <c r="G33" i="2" s="1"/>
  <c r="C29" i="2"/>
  <c r="D29" i="2" s="1"/>
  <c r="F29" i="2" s="1"/>
  <c r="G29" i="2" s="1"/>
  <c r="C18" i="2"/>
  <c r="C19" i="2" s="1"/>
  <c r="C22" i="2" s="1"/>
  <c r="C23" i="2" s="1"/>
  <c r="C24" i="2" s="1"/>
  <c r="C44" i="2"/>
  <c r="D44" i="2" s="1"/>
  <c r="F44" i="2" s="1"/>
  <c r="G44" i="2" s="1"/>
  <c r="C40" i="2"/>
  <c r="D40" i="2" s="1"/>
  <c r="F40" i="2" s="1"/>
  <c r="G40" i="2" s="1"/>
  <c r="C36" i="2"/>
  <c r="D36" i="2" s="1"/>
  <c r="F36" i="2" s="1"/>
  <c r="G36" i="2" s="1"/>
  <c r="J12" i="1" l="1"/>
  <c r="J11" i="1"/>
  <c r="D12" i="1"/>
  <c r="D11" i="1"/>
  <c r="C12" i="1"/>
  <c r="C11" i="1"/>
  <c r="A12" i="1"/>
  <c r="R15" i="1" s="1"/>
  <c r="A11" i="1"/>
  <c r="B12" i="1"/>
  <c r="B11" i="1"/>
  <c r="C39" i="1"/>
  <c r="B39" i="1"/>
  <c r="C34" i="1"/>
  <c r="B34" i="1"/>
  <c r="C26" i="1"/>
  <c r="B26" i="1"/>
  <c r="B25" i="1"/>
  <c r="B28" i="1" s="1"/>
  <c r="B43" i="1" s="1"/>
  <c r="T20" i="1"/>
  <c r="T21" i="1" s="1"/>
  <c r="T22" i="1" s="1"/>
  <c r="O20" i="1"/>
  <c r="V18" i="1"/>
  <c r="U18" i="1"/>
  <c r="M18" i="1"/>
  <c r="R18" i="1" s="1"/>
  <c r="V17" i="1"/>
  <c r="U17" i="1"/>
  <c r="M15" i="1"/>
  <c r="B15" i="1"/>
  <c r="C25" i="1" s="1"/>
  <c r="C28" i="1" s="1"/>
  <c r="F12" i="1"/>
  <c r="E12" i="1"/>
  <c r="F11" i="1"/>
  <c r="B40" i="1" s="1"/>
  <c r="E11" i="1"/>
  <c r="D8" i="1"/>
  <c r="K7" i="1"/>
  <c r="J7" i="1"/>
  <c r="I7" i="1"/>
  <c r="G7" i="1"/>
  <c r="H7" i="1" s="1"/>
  <c r="J6" i="1"/>
  <c r="I6" i="1"/>
  <c r="F6" i="1" s="1"/>
  <c r="K6" i="1" s="1"/>
  <c r="G6" i="1"/>
  <c r="H6" i="1" s="1"/>
  <c r="Q5" i="1"/>
  <c r="Q6" i="1" s="1"/>
  <c r="J5" i="1"/>
  <c r="O4" i="1" s="1"/>
  <c r="I5" i="1"/>
  <c r="F5" i="1" s="1"/>
  <c r="K5" i="1" s="1"/>
  <c r="G5" i="1"/>
  <c r="C40" i="1" l="1"/>
  <c r="I12" i="1"/>
  <c r="R19" i="1"/>
  <c r="R20" i="1" s="1"/>
  <c r="R21" i="1" s="1"/>
  <c r="R22" i="1" s="1"/>
  <c r="R23" i="1" s="1"/>
  <c r="R24" i="1" s="1"/>
  <c r="R25" i="1" s="1"/>
  <c r="R26" i="1" s="1"/>
  <c r="R27" i="1" s="1"/>
  <c r="R28" i="1" s="1"/>
  <c r="O5" i="1"/>
  <c r="O6" i="1" s="1"/>
  <c r="K8" i="1"/>
  <c r="T23" i="1"/>
  <c r="I11" i="1"/>
  <c r="N33" i="1" s="1"/>
  <c r="M19" i="1"/>
  <c r="O21" i="1"/>
  <c r="C47" i="1"/>
  <c r="B27" i="1"/>
  <c r="C27" i="1"/>
  <c r="B47" i="1"/>
  <c r="R17" i="1" l="1"/>
  <c r="S19" i="1" s="1"/>
  <c r="S20" i="1" s="1"/>
  <c r="U19" i="1"/>
  <c r="V19" i="1"/>
  <c r="P5" i="1"/>
  <c r="R4" i="1"/>
  <c r="C29" i="1"/>
  <c r="C30" i="1"/>
  <c r="C43" i="1"/>
  <c r="L7" i="1"/>
  <c r="O22" i="1"/>
  <c r="P18" i="1"/>
  <c r="P17" i="1"/>
  <c r="Q17" i="1"/>
  <c r="Q18" i="1"/>
  <c r="T24" i="1"/>
  <c r="L5" i="1"/>
  <c r="B29" i="1"/>
  <c r="B30" i="1"/>
  <c r="M20" i="1"/>
  <c r="M21" i="1" s="1"/>
  <c r="M22" i="1" s="1"/>
  <c r="M23" i="1" s="1"/>
  <c r="M24" i="1" s="1"/>
  <c r="M25" i="1" s="1"/>
  <c r="M26" i="1" s="1"/>
  <c r="M27" i="1" s="1"/>
  <c r="M28" i="1" s="1"/>
  <c r="M17" i="1"/>
  <c r="N19" i="1" s="1"/>
  <c r="L6" i="1"/>
  <c r="H8" i="1" l="1" a="1"/>
  <c r="H8" i="1" s="1"/>
  <c r="H18" i="1" s="1"/>
  <c r="S21" i="1"/>
  <c r="U20" i="1"/>
  <c r="V20" i="1"/>
  <c r="P6" i="1"/>
  <c r="R6" i="1" s="1"/>
  <c r="R5" i="1"/>
  <c r="N20" i="1"/>
  <c r="Q19" i="1"/>
  <c r="T25" i="1"/>
  <c r="C31" i="1"/>
  <c r="C33" i="1" s="1"/>
  <c r="B32" i="1"/>
  <c r="B37" i="1" s="1"/>
  <c r="B46" i="1" s="1"/>
  <c r="O23" i="1"/>
  <c r="P19" i="1"/>
  <c r="C32" i="1"/>
  <c r="C37" i="1" s="1"/>
  <c r="C46" i="1" s="1"/>
  <c r="B31" i="1"/>
  <c r="B33" i="1" s="1"/>
  <c r="B36" i="1" s="1"/>
  <c r="B45" i="1" s="1"/>
  <c r="B53" i="1" l="1"/>
  <c r="R7" i="1"/>
  <c r="T7" i="1" s="1"/>
  <c r="C36" i="1"/>
  <c r="C45" i="1" s="1"/>
  <c r="C50" i="1" s="1"/>
  <c r="V21" i="1"/>
  <c r="S22" i="1"/>
  <c r="U21" i="1"/>
  <c r="B48" i="1"/>
  <c r="B49" i="1" s="1"/>
  <c r="B51" i="1"/>
  <c r="C48" i="1"/>
  <c r="O24" i="1"/>
  <c r="B50" i="1"/>
  <c r="T26" i="1"/>
  <c r="N21" i="1"/>
  <c r="Q20" i="1"/>
  <c r="P20" i="1"/>
  <c r="C49" i="1" l="1"/>
  <c r="C51" i="1"/>
  <c r="V22" i="1"/>
  <c r="S23" i="1"/>
  <c r="U22" i="1"/>
  <c r="T27" i="1"/>
  <c r="N22" i="1"/>
  <c r="Q21" i="1"/>
  <c r="P21" i="1"/>
  <c r="O25" i="1"/>
  <c r="V23" i="1" l="1"/>
  <c r="S24" i="1"/>
  <c r="U23" i="1"/>
  <c r="O26" i="1"/>
  <c r="T28" i="1"/>
  <c r="N23" i="1"/>
  <c r="Q22" i="1"/>
  <c r="P22" i="1"/>
  <c r="S25" i="1" l="1"/>
  <c r="V24" i="1"/>
  <c r="U24" i="1"/>
  <c r="O27" i="1"/>
  <c r="N24" i="1"/>
  <c r="Q23" i="1"/>
  <c r="P23" i="1"/>
  <c r="S26" i="1" l="1"/>
  <c r="V25" i="1"/>
  <c r="U25" i="1"/>
  <c r="O28" i="1"/>
  <c r="N25" i="1"/>
  <c r="Q24" i="1"/>
  <c r="P24" i="1"/>
  <c r="S27" i="1" l="1"/>
  <c r="V26" i="1"/>
  <c r="U26" i="1"/>
  <c r="N26" i="1"/>
  <c r="Q25" i="1"/>
  <c r="P25" i="1"/>
  <c r="S28" i="1" l="1"/>
  <c r="V27" i="1"/>
  <c r="U27" i="1"/>
  <c r="N27" i="1"/>
  <c r="Q26" i="1"/>
  <c r="P26" i="1"/>
  <c r="V28" i="1" l="1"/>
  <c r="V30" i="1" s="1"/>
  <c r="U28" i="1"/>
  <c r="U30" i="1" s="1"/>
  <c r="U31" i="1" s="1"/>
  <c r="N28" i="1"/>
  <c r="Q27" i="1"/>
  <c r="P27" i="1"/>
  <c r="S34" i="1" l="1"/>
  <c r="Q28" i="1"/>
  <c r="Q30" i="1" s="1"/>
  <c r="P28" i="1"/>
  <c r="P30" i="1" s="1"/>
  <c r="P31" i="1" s="1"/>
  <c r="N34" i="1" l="1"/>
  <c r="B56" i="1" s="1"/>
</calcChain>
</file>

<file path=xl/sharedStrings.xml><?xml version="1.0" encoding="utf-8"?>
<sst xmlns="http://schemas.openxmlformats.org/spreadsheetml/2006/main" count="157" uniqueCount="117">
  <si>
    <t>Spot settlement date</t>
  </si>
  <si>
    <t>Par value</t>
  </si>
  <si>
    <t>t</t>
  </si>
  <si>
    <t>Ft</t>
  </si>
  <si>
    <t>t.Ft.(1+r)^-(t+1)</t>
  </si>
  <si>
    <t>Coupon</t>
  </si>
  <si>
    <t>Maturity</t>
  </si>
  <si>
    <t>Nombre</t>
  </si>
  <si>
    <t>Cours</t>
  </si>
  <si>
    <t>Coupon couru</t>
  </si>
  <si>
    <t>Yield</t>
  </si>
  <si>
    <t>M.Duration</t>
  </si>
  <si>
    <t>Last coupon</t>
  </si>
  <si>
    <t>Next coupon</t>
  </si>
  <si>
    <t>Value</t>
  </si>
  <si>
    <t>Poids</t>
  </si>
  <si>
    <t>Maturité</t>
  </si>
  <si>
    <t>Emission</t>
  </si>
  <si>
    <t>Dernier</t>
  </si>
  <si>
    <t>Prochain</t>
  </si>
  <si>
    <t>Coup. Couru</t>
  </si>
  <si>
    <t>yield</t>
  </si>
  <si>
    <t>Sensibilité</t>
  </si>
  <si>
    <t>Futures quote</t>
  </si>
  <si>
    <t>t.Ft act</t>
  </si>
  <si>
    <t>t.Ft.(1+r)^(-t-1)</t>
  </si>
  <si>
    <t>Futures Delivery Date</t>
  </si>
  <si>
    <t>Impact baisse 10 bps</t>
  </si>
  <si>
    <t>Money market rate</t>
  </si>
  <si>
    <t>Coupon rate</t>
  </si>
  <si>
    <t>Issue date</t>
  </si>
  <si>
    <t>Next coupon date</t>
  </si>
  <si>
    <t>Last coupon date</t>
  </si>
  <si>
    <t>NCD1Y</t>
  </si>
  <si>
    <t>NCD2Y</t>
  </si>
  <si>
    <t>d1</t>
  </si>
  <si>
    <t>d2</t>
  </si>
  <si>
    <t>act1</t>
  </si>
  <si>
    <t>act2</t>
  </si>
  <si>
    <t>f</t>
  </si>
  <si>
    <t>n</t>
  </si>
  <si>
    <t>CF</t>
  </si>
  <si>
    <t>AIL</t>
  </si>
  <si>
    <t>Clean price</t>
  </si>
  <si>
    <t>Ait</t>
  </si>
  <si>
    <t>Odd coupon</t>
  </si>
  <si>
    <t>Next coupon value</t>
  </si>
  <si>
    <t>Observed basis</t>
  </si>
  <si>
    <t>Coupons received</t>
  </si>
  <si>
    <t>Interest paid</t>
  </si>
  <si>
    <t>Carrying cost</t>
  </si>
  <si>
    <t>Arbitrage result</t>
  </si>
  <si>
    <t>Implied repo rate</t>
  </si>
  <si>
    <t>th. Futures price</t>
  </si>
  <si>
    <t>Portfolio BPV</t>
  </si>
  <si>
    <t>Futures BPV</t>
  </si>
  <si>
    <t>Number of contracts to sell</t>
  </si>
  <si>
    <t>Bond 1</t>
  </si>
  <si>
    <t>Bond 2</t>
  </si>
  <si>
    <t>Bond 3</t>
  </si>
  <si>
    <t>DE0001102531</t>
  </si>
  <si>
    <t>DE0001102564</t>
  </si>
  <si>
    <t>Position</t>
  </si>
  <si>
    <t>Issue</t>
  </si>
  <si>
    <t>Margin</t>
  </si>
  <si>
    <t>Call</t>
  </si>
  <si>
    <t>Strike</t>
  </si>
  <si>
    <t>Put</t>
  </si>
  <si>
    <r>
      <rPr>
        <b/>
        <sz val="11"/>
        <color theme="1"/>
        <rFont val="Calibri"/>
        <family val="2"/>
        <scheme val="minor"/>
      </rPr>
      <t>Risk:</t>
    </r>
    <r>
      <rPr>
        <sz val="11"/>
        <color theme="1"/>
        <rFont val="Calibri"/>
        <family val="2"/>
        <scheme val="minor"/>
      </rPr>
      <t xml:space="preserve"> the firm is exposed to a possible increase in the 3-month Euribor rate</t>
    </r>
  </si>
  <si>
    <r>
      <rPr>
        <b/>
        <sz val="11"/>
        <color theme="1"/>
        <rFont val="Calibri"/>
        <family val="2"/>
        <scheme val="minor"/>
      </rPr>
      <t>Hedging position</t>
    </r>
    <r>
      <rPr>
        <sz val="11"/>
        <color theme="1"/>
        <rFont val="Calibri"/>
        <family val="2"/>
        <scheme val="minor"/>
      </rPr>
      <t>: purchase a put option of 3-month Euribor Futures contracts. If 3-month Euribor rate increases, the price of the Futures contract declines. A short position enables to make a profit that compensate more or less perfectly the loss on the cash market.</t>
    </r>
  </si>
  <si>
    <t>Strike price</t>
  </si>
  <si>
    <t>Premium</t>
  </si>
  <si>
    <t>Implied rate</t>
  </si>
  <si>
    <t>Obs. 3-month Euribor</t>
  </si>
  <si>
    <t>Put option</t>
  </si>
  <si>
    <t>Futures price</t>
  </si>
  <si>
    <t>Put pay-off</t>
  </si>
  <si>
    <t>Capitalized put result</t>
  </si>
  <si>
    <t>Interests paid</t>
  </si>
  <si>
    <t>Total paid</t>
  </si>
  <si>
    <t>Financing cost</t>
  </si>
  <si>
    <t>with premium</t>
  </si>
  <si>
    <t>3-month Euribor</t>
  </si>
  <si>
    <t>Interests</t>
  </si>
  <si>
    <t>Capit. Put pay-off</t>
  </si>
  <si>
    <t>Total</t>
  </si>
  <si>
    <t>Eff. Yield</t>
  </si>
  <si>
    <t>Stock price</t>
  </si>
  <si>
    <t>N'(d1)</t>
  </si>
  <si>
    <t>N'(d2)</t>
  </si>
  <si>
    <t>Volatility</t>
  </si>
  <si>
    <t>Riskfree rate</t>
  </si>
  <si>
    <t>Dividend yield</t>
  </si>
  <si>
    <t>N(d1)</t>
  </si>
  <si>
    <t>N(d2)</t>
  </si>
  <si>
    <t>N(-d1)</t>
  </si>
  <si>
    <t>N(-d2)</t>
  </si>
  <si>
    <t>premium</t>
  </si>
  <si>
    <t>Delta</t>
  </si>
  <si>
    <t>Gamma</t>
  </si>
  <si>
    <t>Theta</t>
  </si>
  <si>
    <t>Short call</t>
  </si>
  <si>
    <t>Short put</t>
  </si>
  <si>
    <t>Strangle</t>
  </si>
  <si>
    <t>Lang call</t>
  </si>
  <si>
    <t>Long put</t>
  </si>
  <si>
    <t>Straddle</t>
  </si>
  <si>
    <t>delta</t>
  </si>
  <si>
    <t>gamma</t>
  </si>
  <si>
    <t>theta</t>
  </si>
  <si>
    <t>Hedging position: sell the 1x7 FRA contract to receive the floating rate and pay the fixed.</t>
  </si>
  <si>
    <t>FRA rate</t>
  </si>
  <si>
    <t>Obs. 6-month rate</t>
  </si>
  <si>
    <t>FRA result</t>
  </si>
  <si>
    <t>Deposit</t>
  </si>
  <si>
    <t>Capitalized value</t>
  </si>
  <si>
    <t>Effective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</si>
</sst>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* #,##0.00\ &quot;€&quot;_-;\-* #,##0.00\ &quot;€&quot;_-;_-* &quot;-&quot;??\ &quot;€&quot;_-;_-@_-"/>
    <numFmt numFmtId="164" formatCode="_-* #,##0.00_-;\-* #,##0.00_-;_-* &quot;-&quot;??_-;_-@_-"/>
    <numFmt numFmtId="165" formatCode="0.0000000"/>
    <numFmt numFmtId="166" formatCode="_-* #,##0\ _€_-;\-* #,##0\ _€_-;_-* &quot;-&quot;??\ _€_-;_-@_-"/>
    <numFmt numFmtId="167" formatCode="0.0000"/>
    <numFmt numFmtId="168" formatCode="0.0000%"/>
    <numFmt numFmtId="169" formatCode="0.000"/>
    <numFmt numFmtId="170" formatCode="0.000%"/>
    <numFmt numFmtId="171" formatCode="0.000000"/>
    <numFmt numFmtId="172" formatCode="_-* #,##0.00\ [$€-40C]_-;\-* #,##0.00\ [$€-40C]_-;_-* &quot;-&quot;??\ [$€-40C]_-;_-@_-"/>
    <numFmt numFmtId="173" formatCode="_-* #,##0.000\ [$€-40C]_-;\-* #,##0.000\ [$€-40C]_-;_-* &quot;-&quot;??\ [$€-40C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4" fontId="0" fillId="0" borderId="0" xfId="0" applyNumberFormat="1"/>
    <xf numFmtId="164" fontId="0" fillId="0" borderId="0" xfId="1" applyFont="1"/>
    <xf numFmtId="0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10" fontId="0" fillId="0" borderId="0" xfId="0" applyNumberFormat="1"/>
    <xf numFmtId="168" fontId="0" fillId="0" borderId="0" xfId="3" applyNumberFormat="1" applyFont="1"/>
    <xf numFmtId="169" fontId="0" fillId="0" borderId="0" xfId="0" applyNumberFormat="1"/>
    <xf numFmtId="44" fontId="0" fillId="0" borderId="0" xfId="2" applyFont="1"/>
    <xf numFmtId="166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4" xfId="0" applyNumberFormat="1" applyBorder="1"/>
    <xf numFmtId="170" fontId="0" fillId="0" borderId="0" xfId="0" applyNumberFormat="1"/>
    <xf numFmtId="165" fontId="0" fillId="0" borderId="0" xfId="0" applyNumberFormat="1" applyBorder="1"/>
    <xf numFmtId="169" fontId="0" fillId="0" borderId="0" xfId="0" applyNumberFormat="1" applyAlignment="1">
      <alignment horizontal="center"/>
    </xf>
    <xf numFmtId="14" fontId="0" fillId="0" borderId="0" xfId="1" applyNumberFormat="1" applyFont="1"/>
    <xf numFmtId="2" fontId="0" fillId="0" borderId="0" xfId="0" applyNumberFormat="1"/>
    <xf numFmtId="168" fontId="0" fillId="0" borderId="0" xfId="0" applyNumberFormat="1" applyBorder="1"/>
    <xf numFmtId="0" fontId="0" fillId="0" borderId="6" xfId="0" applyBorder="1"/>
    <xf numFmtId="169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  <xf numFmtId="171" fontId="2" fillId="0" borderId="0" xfId="0" applyNumberFormat="1" applyFont="1" applyAlignment="1">
      <alignment horizontal="center"/>
    </xf>
    <xf numFmtId="168" fontId="0" fillId="0" borderId="0" xfId="3" applyNumberFormat="1" applyFont="1" applyAlignment="1">
      <alignment horizontal="center"/>
    </xf>
    <xf numFmtId="171" fontId="0" fillId="0" borderId="0" xfId="0" applyNumberFormat="1"/>
    <xf numFmtId="170" fontId="0" fillId="0" borderId="0" xfId="3" applyNumberFormat="1" applyFont="1"/>
    <xf numFmtId="172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9" fontId="0" fillId="0" borderId="0" xfId="0" applyNumberFormat="1"/>
    <xf numFmtId="0" fontId="3" fillId="0" borderId="0" xfId="0" applyFont="1"/>
    <xf numFmtId="172" fontId="3" fillId="0" borderId="0" xfId="0" applyNumberFormat="1" applyFont="1"/>
    <xf numFmtId="167" fontId="3" fillId="0" borderId="0" xfId="0" applyNumberFormat="1" applyFont="1"/>
    <xf numFmtId="173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Milliers" xfId="1" builtinId="3"/>
    <cellStyle name="Monétaire" xfId="2" builtinId="4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'Exo2'!$G$27</c:f>
              <c:strCache>
                <c:ptCount val="1"/>
                <c:pt idx="0">
                  <c:v>Eff. Yield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'Exo2'!$A$28:$A$46</c:f>
              <c:numCache>
                <c:formatCode>0.0000%</c:formatCode>
                <c:ptCount val="19"/>
                <c:pt idx="0">
                  <c:v>1E-3</c:v>
                </c:pt>
                <c:pt idx="1">
                  <c:v>1.5E-3</c:v>
                </c:pt>
                <c:pt idx="2">
                  <c:v>2E-3</c:v>
                </c:pt>
                <c:pt idx="3">
                  <c:v>2.5000000000000001E-3</c:v>
                </c:pt>
                <c:pt idx="4">
                  <c:v>3.0000000000000001E-3</c:v>
                </c:pt>
                <c:pt idx="5">
                  <c:v>3.5000000000000001E-3</c:v>
                </c:pt>
                <c:pt idx="6">
                  <c:v>4.0000000000000001E-3</c:v>
                </c:pt>
                <c:pt idx="7">
                  <c:v>4.5000000000000005E-3</c:v>
                </c:pt>
                <c:pt idx="8">
                  <c:v>5.000000000000001E-3</c:v>
                </c:pt>
                <c:pt idx="9">
                  <c:v>5.5000000000000014E-3</c:v>
                </c:pt>
                <c:pt idx="10">
                  <c:v>6.0000000000000019E-3</c:v>
                </c:pt>
                <c:pt idx="11">
                  <c:v>6.5000000000000023E-3</c:v>
                </c:pt>
                <c:pt idx="12">
                  <c:v>7.0000000000000027E-3</c:v>
                </c:pt>
                <c:pt idx="13">
                  <c:v>7.5000000000000032E-3</c:v>
                </c:pt>
                <c:pt idx="14">
                  <c:v>8.0000000000000036E-3</c:v>
                </c:pt>
                <c:pt idx="15">
                  <c:v>8.5000000000000041E-3</c:v>
                </c:pt>
                <c:pt idx="16">
                  <c:v>9.0000000000000045E-3</c:v>
                </c:pt>
                <c:pt idx="17">
                  <c:v>9.500000000000005E-3</c:v>
                </c:pt>
                <c:pt idx="18">
                  <c:v>1.0000000000000005E-2</c:v>
                </c:pt>
              </c:numCache>
            </c:numRef>
          </c:cat>
          <c:val>
            <c:numRef>
              <c:f>'Exo2'!$G$28:$G$46</c:f>
              <c:numCache>
                <c:formatCode>0.000%</c:formatCode>
                <c:ptCount val="19"/>
                <c:pt idx="0">
                  <c:v>3.5000000000000001E-3</c:v>
                </c:pt>
                <c:pt idx="1">
                  <c:v>4.0000000000000001E-3</c:v>
                </c:pt>
                <c:pt idx="2">
                  <c:v>4.5000000000000005E-3</c:v>
                </c:pt>
                <c:pt idx="3">
                  <c:v>5.0000000000000001E-3</c:v>
                </c:pt>
                <c:pt idx="4">
                  <c:v>5.4999999999999997E-3</c:v>
                </c:pt>
                <c:pt idx="5">
                  <c:v>6.0000000000000001E-3</c:v>
                </c:pt>
                <c:pt idx="6">
                  <c:v>6.4999999999999997E-3</c:v>
                </c:pt>
                <c:pt idx="7">
                  <c:v>7.000000000000001E-3</c:v>
                </c:pt>
                <c:pt idx="8">
                  <c:v>7.5000000000000015E-3</c:v>
                </c:pt>
                <c:pt idx="9">
                  <c:v>7.4990000000000299E-3</c:v>
                </c:pt>
                <c:pt idx="10">
                  <c:v>7.4978750000000592E-3</c:v>
                </c:pt>
                <c:pt idx="11">
                  <c:v>7.4966250000000874E-3</c:v>
                </c:pt>
                <c:pt idx="12">
                  <c:v>7.4952499999999759E-3</c:v>
                </c:pt>
                <c:pt idx="13">
                  <c:v>7.4937500000000039E-3</c:v>
                </c:pt>
                <c:pt idx="14">
                  <c:v>7.4921250000000326E-3</c:v>
                </c:pt>
                <c:pt idx="15">
                  <c:v>7.4903750000000604E-3</c:v>
                </c:pt>
                <c:pt idx="16">
                  <c:v>7.4884999999999492E-3</c:v>
                </c:pt>
                <c:pt idx="17">
                  <c:v>7.4865000000001189E-3</c:v>
                </c:pt>
                <c:pt idx="18">
                  <c:v>7.4843750000000066E-3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D9E-4824-8393-52C0AF467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677104"/>
        <c:axId val="1127682544"/>
      </c:lineChart>
      <c:catAx>
        <c:axId val="1127677104"/>
        <c:scaling>
          <c:orientation val="minMax"/>
        </c:scaling>
        <c:delete val="0"/>
        <c:axPos val="b"/>
        <c:numFmt formatCode="0.0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7682544"/>
        <c:crosses val="autoZero"/>
        <c:auto val="1"/>
        <c:lblAlgn val="ctr"/>
        <c:lblOffset val="100"/>
        <c:noMultiLvlLbl val="0"/>
      </c:catAx>
      <c:valAx>
        <c:axId val="112768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767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Short strangle</c:v>
          </c:tx>
          <c:marker>
            <c:symbol val="none"/>
          </c:marker>
          <c:cat>
            <c:numRef>
              <c:f>'Exo3'!$A$36:$A$47</c:f>
              <c:numCache>
                <c:formatCode>General</c:formatCode>
                <c:ptCount val="12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38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48</c:v>
                </c:pt>
              </c:numCache>
            </c:numRef>
          </c:cat>
          <c:val>
            <c:numRef>
              <c:f>'Exo3'!$D$36:$D$47</c:f>
              <c:numCache>
                <c:formatCode>0.0000</c:formatCode>
                <c:ptCount val="12"/>
                <c:pt idx="0">
                  <c:v>-9.0797004314335759</c:v>
                </c:pt>
                <c:pt idx="1">
                  <c:v>-7.0797004314335759</c:v>
                </c:pt>
                <c:pt idx="2">
                  <c:v>-5.0797004314335759</c:v>
                </c:pt>
                <c:pt idx="3">
                  <c:v>-3.0797004314335759</c:v>
                </c:pt>
                <c:pt idx="4">
                  <c:v>-1.0797004314335759</c:v>
                </c:pt>
                <c:pt idx="5">
                  <c:v>0.92029956856642414</c:v>
                </c:pt>
                <c:pt idx="6">
                  <c:v>0.92029956856642414</c:v>
                </c:pt>
                <c:pt idx="7">
                  <c:v>0.92029956856642414</c:v>
                </c:pt>
                <c:pt idx="8">
                  <c:v>0.92029956856642414</c:v>
                </c:pt>
                <c:pt idx="9">
                  <c:v>-1.0797004314335759</c:v>
                </c:pt>
                <c:pt idx="10">
                  <c:v>-3.0797004314335759</c:v>
                </c:pt>
                <c:pt idx="11">
                  <c:v>-5.0797004314335759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CB7-463A-B81C-79F8F0EB664E}"/>
            </c:ext>
          </c:extLst>
        </c:ser>
        <c:ser>
          <c:idx val="1"/>
          <c:order val="1"/>
          <c:tx>
            <c:v>Long straddle</c:v>
          </c:tx>
          <c:marker>
            <c:symbol val="none"/>
          </c:marker>
          <c:val>
            <c:numRef>
              <c:f>'Exo3'!$G$36:$G$47</c:f>
              <c:numCache>
                <c:formatCode>0.0000</c:formatCode>
                <c:ptCount val="12"/>
                <c:pt idx="0">
                  <c:v>8.9177694956789111</c:v>
                </c:pt>
                <c:pt idx="1">
                  <c:v>6.9177694956789111</c:v>
                </c:pt>
                <c:pt idx="2">
                  <c:v>4.9177694956789111</c:v>
                </c:pt>
                <c:pt idx="3">
                  <c:v>2.9177694956789111</c:v>
                </c:pt>
                <c:pt idx="4">
                  <c:v>0.91776949567891108</c:v>
                </c:pt>
                <c:pt idx="5">
                  <c:v>-1.0822305043210889</c:v>
                </c:pt>
                <c:pt idx="6">
                  <c:v>-3.0822305043210889</c:v>
                </c:pt>
                <c:pt idx="7">
                  <c:v>-1.0822305043210889</c:v>
                </c:pt>
                <c:pt idx="8">
                  <c:v>0.91776949567891108</c:v>
                </c:pt>
                <c:pt idx="9">
                  <c:v>2.9177694956789111</c:v>
                </c:pt>
                <c:pt idx="10">
                  <c:v>4.9177694956789111</c:v>
                </c:pt>
                <c:pt idx="11">
                  <c:v>6.9177694956789111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CB7-463A-B81C-79F8F0EB664E}"/>
            </c:ext>
          </c:extLst>
        </c:ser>
        <c:ser>
          <c:idx val="2"/>
          <c:order val="2"/>
          <c:tx>
            <c:v>Combination</c:v>
          </c:tx>
          <c:marker>
            <c:symbol val="none"/>
          </c:marker>
          <c:val>
            <c:numRef>
              <c:f>'Exo3'!$H$36:$H$47</c:f>
              <c:numCache>
                <c:formatCode>0.0000</c:formatCode>
                <c:ptCount val="12"/>
                <c:pt idx="0">
                  <c:v>-0.16193093575466477</c:v>
                </c:pt>
                <c:pt idx="1">
                  <c:v>-0.16193093575466477</c:v>
                </c:pt>
                <c:pt idx="2">
                  <c:v>-0.16193093575466477</c:v>
                </c:pt>
                <c:pt idx="3">
                  <c:v>-0.16193093575466477</c:v>
                </c:pt>
                <c:pt idx="4">
                  <c:v>-0.16193093575466477</c:v>
                </c:pt>
                <c:pt idx="5">
                  <c:v>-0.16193093575466477</c:v>
                </c:pt>
                <c:pt idx="6">
                  <c:v>-2.1619309357546648</c:v>
                </c:pt>
                <c:pt idx="7">
                  <c:v>-0.16193093575466477</c:v>
                </c:pt>
                <c:pt idx="8">
                  <c:v>1.8380690642453352</c:v>
                </c:pt>
                <c:pt idx="9">
                  <c:v>1.8380690642453352</c:v>
                </c:pt>
                <c:pt idx="10">
                  <c:v>1.8380690642453352</c:v>
                </c:pt>
                <c:pt idx="11">
                  <c:v>1.8380690642453352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CB7-463A-B81C-79F8F0EB6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826160"/>
        <c:axId val="1224826704"/>
      </c:lineChart>
      <c:catAx>
        <c:axId val="1224826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24826704"/>
        <c:crosses val="autoZero"/>
        <c:auto val="1"/>
        <c:lblAlgn val="ctr"/>
        <c:lblOffset val="100"/>
        <c:noMultiLvlLbl val="0"/>
      </c:catAx>
      <c:valAx>
        <c:axId val="122482670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224826160"/>
        <c:crossesAt val="1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98425</xdr:colOff>
      <xdr:row>27</xdr:row>
      <xdr:rowOff>180975</xdr:rowOff>
    </xdr:from>
    <xdr:to>
      <xdr:col>5</xdr:col>
      <xdr:colOff>123825</xdr:colOff>
      <xdr:row>42</xdr:row>
      <xdr:rowOff>161925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158749</xdr:colOff>
      <xdr:row>28</xdr:row>
      <xdr:rowOff>42861</xdr:rowOff>
    </xdr:from>
    <xdr:to>
      <xdr:col>17</xdr:col>
      <xdr:colOff>434974</xdr:colOff>
      <xdr:row>47</xdr:row>
      <xdr:rowOff>28574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7" sqref="A27"/>
    </sheetView>
  </sheetViews>
  <sheetFormatPr baseColWidth="10" defaultRowHeight="15" x14ac:dyDescent="0.25"/>
  <cols>
    <col min="1" max="1" width="20.5703125" customWidth="1"/>
    <col min="2" max="3" width="14.140625" customWidth="1"/>
  </cols>
  <sheetData>
    <row r="1" spans="1:3" x14ac:dyDescent="0.25">
      <c r="A1" t="s">
        <v>1</v>
      </c>
      <c r="B1" s="31">
        <v>1000000</v>
      </c>
    </row>
    <row r="2" spans="1:3" x14ac:dyDescent="0.25">
      <c r="A2" t="s">
        <v>64</v>
      </c>
      <c r="B2" s="16">
        <v>1E-3</v>
      </c>
    </row>
    <row r="4" spans="1:3" x14ac:dyDescent="0.25">
      <c r="A4" t="s">
        <v>110</v>
      </c>
    </row>
    <row r="6" spans="1:3" x14ac:dyDescent="0.25">
      <c r="A6" t="s">
        <v>111</v>
      </c>
      <c r="B6" s="16">
        <v>2.5000000000000001E-3</v>
      </c>
    </row>
    <row r="8" spans="1:3" x14ac:dyDescent="0.25">
      <c r="A8" t="s">
        <v>112</v>
      </c>
      <c r="B8" s="16">
        <v>1.5E-3</v>
      </c>
      <c r="C8" s="16">
        <v>4.4999999999999997E-3</v>
      </c>
    </row>
    <row r="10" spans="1:3" x14ac:dyDescent="0.25">
      <c r="A10" t="s">
        <v>113</v>
      </c>
      <c r="B10" s="39">
        <f>(-B8+$B$6)*(B1/2)*(1+B8/2)^-1</f>
        <v>499.62528103922057</v>
      </c>
      <c r="C10" s="39">
        <f>(-C8+$B$6)*(B1/2)*(1+C8/2)^-1</f>
        <v>-997.75505113494614</v>
      </c>
    </row>
    <row r="11" spans="1:3" x14ac:dyDescent="0.25">
      <c r="A11" t="s">
        <v>114</v>
      </c>
      <c r="B11" s="31">
        <f>$B$1+B10</f>
        <v>1000499.6252810393</v>
      </c>
      <c r="C11" s="31">
        <f>$B$1+C10</f>
        <v>999002.24494886503</v>
      </c>
    </row>
    <row r="13" spans="1:3" x14ac:dyDescent="0.25">
      <c r="A13" t="s">
        <v>115</v>
      </c>
      <c r="B13" s="31">
        <f>B11*(1+(B8+B2)/2)</f>
        <v>1001750.2498126406</v>
      </c>
      <c r="C13" s="31">
        <f>C11*(1+(C8+B2)/2)</f>
        <v>1001749.5011224744</v>
      </c>
    </row>
    <row r="14" spans="1:3" x14ac:dyDescent="0.25">
      <c r="A14" t="s">
        <v>116</v>
      </c>
      <c r="B14" s="30">
        <f>(B13/$B$1-1)*2</f>
        <v>3.5004996252809839E-3</v>
      </c>
      <c r="C14" s="30">
        <f>(C13/$B$1-1)*2</f>
        <v>3.4990022449488123E-3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4" workbookViewId="0">
      <selection activeCell="E15" sqref="E15"/>
    </sheetView>
  </sheetViews>
  <sheetFormatPr baseColWidth="10" defaultRowHeight="15" x14ac:dyDescent="0.25"/>
  <cols>
    <col min="1" max="1" width="18.85546875" customWidth="1"/>
    <col min="2" max="3" width="19.42578125" customWidth="1"/>
    <col min="4" max="4" width="22.42578125" customWidth="1"/>
    <col min="5" max="5" width="23.42578125" customWidth="1"/>
    <col min="6" max="6" width="17.28515625" customWidth="1"/>
  </cols>
  <sheetData>
    <row r="1" spans="1:9" x14ac:dyDescent="0.25">
      <c r="A1" t="s">
        <v>1</v>
      </c>
      <c r="B1" s="31">
        <v>100000000</v>
      </c>
      <c r="G1" s="32" t="s">
        <v>65</v>
      </c>
      <c r="H1" s="32" t="s">
        <v>66</v>
      </c>
      <c r="I1" s="32" t="s">
        <v>67</v>
      </c>
    </row>
    <row r="2" spans="1:9" x14ac:dyDescent="0.25">
      <c r="A2" t="s">
        <v>62</v>
      </c>
      <c r="B2" t="s">
        <v>63</v>
      </c>
      <c r="G2" s="33">
        <v>2.7500000000000002E-4</v>
      </c>
      <c r="H2" s="18">
        <v>99.5</v>
      </c>
      <c r="I2" s="33">
        <v>1.4250000000000001E-3</v>
      </c>
    </row>
    <row r="3" spans="1:9" x14ac:dyDescent="0.25">
      <c r="A3" t="s">
        <v>64</v>
      </c>
      <c r="B3" s="7">
        <v>2.5000000000000001E-3</v>
      </c>
    </row>
    <row r="5" spans="1:9" x14ac:dyDescent="0.25">
      <c r="A5" t="s">
        <v>68</v>
      </c>
    </row>
    <row r="6" spans="1:9" ht="14.45" customHeight="1" x14ac:dyDescent="0.25">
      <c r="A6" s="40" t="s">
        <v>69</v>
      </c>
      <c r="B6" s="40"/>
      <c r="C6" s="40"/>
      <c r="D6" s="40"/>
      <c r="E6" s="40"/>
      <c r="F6" s="40"/>
      <c r="G6" s="40"/>
      <c r="H6" s="40"/>
    </row>
    <row r="7" spans="1:9" x14ac:dyDescent="0.25">
      <c r="A7" s="40"/>
      <c r="B7" s="40"/>
      <c r="C7" s="40"/>
      <c r="D7" s="40"/>
      <c r="E7" s="40"/>
      <c r="F7" s="40"/>
      <c r="G7" s="40"/>
      <c r="H7" s="40"/>
    </row>
    <row r="8" spans="1:9" x14ac:dyDescent="0.25">
      <c r="A8" s="40"/>
      <c r="B8" s="40"/>
      <c r="C8" s="40"/>
      <c r="D8" s="40"/>
      <c r="E8" s="40"/>
      <c r="F8" s="40"/>
      <c r="G8" s="40"/>
      <c r="H8" s="40"/>
    </row>
    <row r="10" spans="1:9" x14ac:dyDescent="0.25">
      <c r="A10" t="s">
        <v>70</v>
      </c>
      <c r="B10" s="9">
        <f>H2</f>
        <v>99.5</v>
      </c>
    </row>
    <row r="11" spans="1:9" x14ac:dyDescent="0.25">
      <c r="A11" t="s">
        <v>71</v>
      </c>
      <c r="B11" s="34">
        <f>I2</f>
        <v>1.4250000000000001E-3</v>
      </c>
      <c r="C11" s="31">
        <f>B11*B1*90/360</f>
        <v>35625</v>
      </c>
    </row>
    <row r="12" spans="1:9" x14ac:dyDescent="0.25">
      <c r="A12" t="s">
        <v>72</v>
      </c>
      <c r="B12" s="30">
        <f>1-B10%</f>
        <v>5.0000000000000044E-3</v>
      </c>
    </row>
    <row r="14" spans="1:9" x14ac:dyDescent="0.25">
      <c r="A14" t="s">
        <v>73</v>
      </c>
      <c r="B14" s="16">
        <v>2.5000000000000001E-3</v>
      </c>
      <c r="C14" s="16">
        <v>0.01</v>
      </c>
    </row>
    <row r="15" spans="1:9" x14ac:dyDescent="0.25">
      <c r="A15" t="s">
        <v>75</v>
      </c>
      <c r="B15" s="9">
        <f>100*(1-B14)</f>
        <v>99.75</v>
      </c>
      <c r="C15" s="9">
        <f>100*(1-C14)</f>
        <v>99</v>
      </c>
    </row>
    <row r="17" spans="1:7" x14ac:dyDescent="0.25">
      <c r="A17" t="s">
        <v>74</v>
      </c>
      <c r="B17" s="32" t="str">
        <f>IF(B15&lt;B10,"Exercised","Not exercised")</f>
        <v>Not exercised</v>
      </c>
      <c r="C17" s="32" t="str">
        <f>IF(C15&lt;B10,"Exercised","Not exercised")</f>
        <v>Exercised</v>
      </c>
    </row>
    <row r="18" spans="1:7" x14ac:dyDescent="0.25">
      <c r="A18" t="s">
        <v>76</v>
      </c>
      <c r="B18" s="31">
        <f>MAX(0,($B$10-B15)%*$B$1*90/360)</f>
        <v>0</v>
      </c>
      <c r="C18" s="31">
        <f>MAX(0,($B$10-C15)%*$B$1*90/360)</f>
        <v>125000</v>
      </c>
    </row>
    <row r="19" spans="1:7" x14ac:dyDescent="0.25">
      <c r="A19" t="s">
        <v>77</v>
      </c>
      <c r="B19" s="31">
        <f>B18*(1+(B14+$B$3)*90/360)</f>
        <v>0</v>
      </c>
      <c r="C19" s="31">
        <f>C18*(1+(C14+$B$3)*90/360)</f>
        <v>125390.625</v>
      </c>
    </row>
    <row r="20" spans="1:7" x14ac:dyDescent="0.25">
      <c r="A20" t="s">
        <v>78</v>
      </c>
      <c r="B20" s="31">
        <f>B1*(B14+$B$3)*90/360</f>
        <v>125000</v>
      </c>
      <c r="C20" s="31">
        <f>B1*(C14+$B$3)*90/360</f>
        <v>312500</v>
      </c>
    </row>
    <row r="22" spans="1:7" x14ac:dyDescent="0.25">
      <c r="A22" s="36" t="s">
        <v>79</v>
      </c>
      <c r="B22" s="37">
        <f>B20-B19</f>
        <v>125000</v>
      </c>
      <c r="C22" s="37">
        <f>C20-C19</f>
        <v>187109.375</v>
      </c>
    </row>
    <row r="23" spans="1:7" x14ac:dyDescent="0.25">
      <c r="A23" t="s">
        <v>80</v>
      </c>
      <c r="B23" s="30">
        <f>(B22/B1)*4</f>
        <v>5.0000000000000001E-3</v>
      </c>
      <c r="C23" s="30">
        <f>(C22/B1)*4</f>
        <v>7.4843749999999997E-3</v>
      </c>
    </row>
    <row r="24" spans="1:7" x14ac:dyDescent="0.25">
      <c r="A24" t="s">
        <v>81</v>
      </c>
      <c r="B24" s="34">
        <f>B23+B11</f>
        <v>6.4250000000000002E-3</v>
      </c>
      <c r="C24" s="34">
        <f>C23+B11</f>
        <v>8.9093750000000006E-3</v>
      </c>
    </row>
    <row r="27" spans="1:7" x14ac:dyDescent="0.25">
      <c r="A27" t="s">
        <v>82</v>
      </c>
      <c r="B27" t="s">
        <v>75</v>
      </c>
      <c r="C27" t="s">
        <v>76</v>
      </c>
      <c r="D27" t="s">
        <v>84</v>
      </c>
      <c r="E27" t="s">
        <v>83</v>
      </c>
      <c r="F27" t="s">
        <v>85</v>
      </c>
      <c r="G27" t="s">
        <v>86</v>
      </c>
    </row>
    <row r="28" spans="1:7" x14ac:dyDescent="0.25">
      <c r="A28" s="34">
        <v>1E-3</v>
      </c>
      <c r="B28" s="9">
        <f>100*(1-A28)</f>
        <v>99.9</v>
      </c>
      <c r="C28" s="31">
        <f>MAX(0,($B$10-B28)%*$B$1/4)</f>
        <v>0</v>
      </c>
      <c r="D28" s="31">
        <f>C28*(1+(A28+$B$3)/4)</f>
        <v>0</v>
      </c>
      <c r="E28" s="31">
        <f>$B$1*(A28+$B$3)/4</f>
        <v>87500</v>
      </c>
      <c r="F28" s="31">
        <f>E28-D28</f>
        <v>87500</v>
      </c>
      <c r="G28" s="30">
        <f>(F28/$B$1)*4</f>
        <v>3.5000000000000001E-3</v>
      </c>
    </row>
    <row r="29" spans="1:7" x14ac:dyDescent="0.25">
      <c r="A29" s="8">
        <f>+A28+0.05%</f>
        <v>1.5E-3</v>
      </c>
      <c r="B29" s="9">
        <f t="shared" ref="B29:B46" si="0">100*(1-A29)</f>
        <v>99.850000000000009</v>
      </c>
      <c r="C29" s="31">
        <f t="shared" ref="C29:C46" si="1">MAX(0,($B$10-B29)%*$B$1/4)</f>
        <v>0</v>
      </c>
      <c r="D29" s="31">
        <f t="shared" ref="D29:D46" si="2">C29*(1+(A29+$B$3)/4)</f>
        <v>0</v>
      </c>
      <c r="E29" s="31">
        <f t="shared" ref="E29:E46" si="3">$B$1*(A29+$B$3)/4</f>
        <v>100000</v>
      </c>
      <c r="F29" s="31">
        <f t="shared" ref="F29:F46" si="4">E29-D29</f>
        <v>100000</v>
      </c>
      <c r="G29" s="30">
        <f t="shared" ref="G29:G46" si="5">(F29/$B$1)*4</f>
        <v>4.0000000000000001E-3</v>
      </c>
    </row>
    <row r="30" spans="1:7" x14ac:dyDescent="0.25">
      <c r="A30" s="8">
        <f t="shared" ref="A30:A46" si="6">+A29+0.05%</f>
        <v>2E-3</v>
      </c>
      <c r="B30" s="9">
        <f t="shared" si="0"/>
        <v>99.8</v>
      </c>
      <c r="C30" s="31">
        <f t="shared" si="1"/>
        <v>0</v>
      </c>
      <c r="D30" s="31">
        <f t="shared" si="2"/>
        <v>0</v>
      </c>
      <c r="E30" s="31">
        <f t="shared" si="3"/>
        <v>112500.00000000001</v>
      </c>
      <c r="F30" s="31">
        <f t="shared" si="4"/>
        <v>112500.00000000001</v>
      </c>
      <c r="G30" s="30">
        <f t="shared" si="5"/>
        <v>4.5000000000000005E-3</v>
      </c>
    </row>
    <row r="31" spans="1:7" x14ac:dyDescent="0.25">
      <c r="A31" s="8">
        <f t="shared" si="6"/>
        <v>2.5000000000000001E-3</v>
      </c>
      <c r="B31" s="9">
        <f t="shared" si="0"/>
        <v>99.75</v>
      </c>
      <c r="C31" s="31">
        <f t="shared" si="1"/>
        <v>0</v>
      </c>
      <c r="D31" s="31">
        <f t="shared" si="2"/>
        <v>0</v>
      </c>
      <c r="E31" s="31">
        <f t="shared" si="3"/>
        <v>125000</v>
      </c>
      <c r="F31" s="31">
        <f t="shared" si="4"/>
        <v>125000</v>
      </c>
      <c r="G31" s="30">
        <f t="shared" si="5"/>
        <v>5.0000000000000001E-3</v>
      </c>
    </row>
    <row r="32" spans="1:7" x14ac:dyDescent="0.25">
      <c r="A32" s="8">
        <f t="shared" si="6"/>
        <v>3.0000000000000001E-3</v>
      </c>
      <c r="B32" s="9">
        <f t="shared" si="0"/>
        <v>99.7</v>
      </c>
      <c r="C32" s="31">
        <f t="shared" si="1"/>
        <v>0</v>
      </c>
      <c r="D32" s="31">
        <f t="shared" si="2"/>
        <v>0</v>
      </c>
      <c r="E32" s="31">
        <f t="shared" si="3"/>
        <v>137500</v>
      </c>
      <c r="F32" s="31">
        <f t="shared" si="4"/>
        <v>137500</v>
      </c>
      <c r="G32" s="30">
        <f t="shared" si="5"/>
        <v>5.4999999999999997E-3</v>
      </c>
    </row>
    <row r="33" spans="1:7" x14ac:dyDescent="0.25">
      <c r="A33" s="8">
        <f t="shared" si="6"/>
        <v>3.5000000000000001E-3</v>
      </c>
      <c r="B33" s="9">
        <f t="shared" si="0"/>
        <v>99.65</v>
      </c>
      <c r="C33" s="31">
        <f t="shared" si="1"/>
        <v>0</v>
      </c>
      <c r="D33" s="31">
        <f t="shared" si="2"/>
        <v>0</v>
      </c>
      <c r="E33" s="31">
        <f t="shared" si="3"/>
        <v>150000</v>
      </c>
      <c r="F33" s="31">
        <f t="shared" si="4"/>
        <v>150000</v>
      </c>
      <c r="G33" s="30">
        <f t="shared" si="5"/>
        <v>6.0000000000000001E-3</v>
      </c>
    </row>
    <row r="34" spans="1:7" x14ac:dyDescent="0.25">
      <c r="A34" s="8">
        <f t="shared" si="6"/>
        <v>4.0000000000000001E-3</v>
      </c>
      <c r="B34" s="9">
        <f t="shared" si="0"/>
        <v>99.6</v>
      </c>
      <c r="C34" s="31">
        <f t="shared" si="1"/>
        <v>0</v>
      </c>
      <c r="D34" s="31">
        <f t="shared" si="2"/>
        <v>0</v>
      </c>
      <c r="E34" s="31">
        <f t="shared" si="3"/>
        <v>162500</v>
      </c>
      <c r="F34" s="31">
        <f t="shared" si="4"/>
        <v>162500</v>
      </c>
      <c r="G34" s="30">
        <f t="shared" si="5"/>
        <v>6.4999999999999997E-3</v>
      </c>
    </row>
    <row r="35" spans="1:7" x14ac:dyDescent="0.25">
      <c r="A35" s="8">
        <f t="shared" si="6"/>
        <v>4.5000000000000005E-3</v>
      </c>
      <c r="B35" s="9">
        <f t="shared" si="0"/>
        <v>99.550000000000011</v>
      </c>
      <c r="C35" s="31">
        <f t="shared" si="1"/>
        <v>0</v>
      </c>
      <c r="D35" s="31">
        <f t="shared" si="2"/>
        <v>0</v>
      </c>
      <c r="E35" s="31">
        <f t="shared" si="3"/>
        <v>175000.00000000003</v>
      </c>
      <c r="F35" s="31">
        <f t="shared" si="4"/>
        <v>175000.00000000003</v>
      </c>
      <c r="G35" s="30">
        <f t="shared" si="5"/>
        <v>7.000000000000001E-3</v>
      </c>
    </row>
    <row r="36" spans="1:7" x14ac:dyDescent="0.25">
      <c r="A36" s="8">
        <f t="shared" si="6"/>
        <v>5.000000000000001E-3</v>
      </c>
      <c r="B36" s="9">
        <f t="shared" si="0"/>
        <v>99.5</v>
      </c>
      <c r="C36" s="31">
        <f t="shared" si="1"/>
        <v>0</v>
      </c>
      <c r="D36" s="31">
        <f t="shared" si="2"/>
        <v>0</v>
      </c>
      <c r="E36" s="31">
        <f t="shared" si="3"/>
        <v>187500.00000000003</v>
      </c>
      <c r="F36" s="31">
        <f t="shared" si="4"/>
        <v>187500.00000000003</v>
      </c>
      <c r="G36" s="30">
        <f t="shared" si="5"/>
        <v>7.5000000000000015E-3</v>
      </c>
    </row>
    <row r="37" spans="1:7" x14ac:dyDescent="0.25">
      <c r="A37" s="8">
        <f t="shared" si="6"/>
        <v>5.5000000000000014E-3</v>
      </c>
      <c r="B37" s="9">
        <f t="shared" si="0"/>
        <v>99.45</v>
      </c>
      <c r="C37" s="31">
        <f t="shared" si="1"/>
        <v>12499.999999999291</v>
      </c>
      <c r="D37" s="31">
        <f t="shared" si="2"/>
        <v>12524.999999999289</v>
      </c>
      <c r="E37" s="31">
        <f t="shared" si="3"/>
        <v>200000.00000000006</v>
      </c>
      <c r="F37" s="31">
        <f t="shared" si="4"/>
        <v>187475.00000000076</v>
      </c>
      <c r="G37" s="30">
        <f t="shared" si="5"/>
        <v>7.4990000000000299E-3</v>
      </c>
    </row>
    <row r="38" spans="1:7" x14ac:dyDescent="0.25">
      <c r="A38" s="8">
        <f t="shared" si="6"/>
        <v>6.0000000000000019E-3</v>
      </c>
      <c r="B38" s="9">
        <f t="shared" si="0"/>
        <v>99.4</v>
      </c>
      <c r="C38" s="31">
        <f t="shared" si="1"/>
        <v>24999.999999998581</v>
      </c>
      <c r="D38" s="31">
        <f t="shared" si="2"/>
        <v>25053.124999998578</v>
      </c>
      <c r="E38" s="31">
        <f t="shared" si="3"/>
        <v>212500.00000000006</v>
      </c>
      <c r="F38" s="31">
        <f t="shared" si="4"/>
        <v>187446.87500000148</v>
      </c>
      <c r="G38" s="30">
        <f t="shared" si="5"/>
        <v>7.4978750000000592E-3</v>
      </c>
    </row>
    <row r="39" spans="1:7" x14ac:dyDescent="0.25">
      <c r="A39" s="8">
        <f t="shared" si="6"/>
        <v>6.5000000000000023E-3</v>
      </c>
      <c r="B39" s="9">
        <f t="shared" si="0"/>
        <v>99.350000000000009</v>
      </c>
      <c r="C39" s="31">
        <f t="shared" si="1"/>
        <v>37499.999999997868</v>
      </c>
      <c r="D39" s="31">
        <f t="shared" si="2"/>
        <v>37584.374999997868</v>
      </c>
      <c r="E39" s="31">
        <f t="shared" si="3"/>
        <v>225000.00000000006</v>
      </c>
      <c r="F39" s="31">
        <f t="shared" si="4"/>
        <v>187415.62500000218</v>
      </c>
      <c r="G39" s="30">
        <f t="shared" si="5"/>
        <v>7.4966250000000874E-3</v>
      </c>
    </row>
    <row r="40" spans="1:7" x14ac:dyDescent="0.25">
      <c r="A40" s="8">
        <f t="shared" si="6"/>
        <v>7.0000000000000027E-3</v>
      </c>
      <c r="B40" s="9">
        <f t="shared" si="0"/>
        <v>99.3</v>
      </c>
      <c r="C40" s="31">
        <f t="shared" si="1"/>
        <v>50000.000000000706</v>
      </c>
      <c r="D40" s="31">
        <f t="shared" si="2"/>
        <v>50118.750000000706</v>
      </c>
      <c r="E40" s="31">
        <f t="shared" si="3"/>
        <v>237500.00000000009</v>
      </c>
      <c r="F40" s="31">
        <f t="shared" si="4"/>
        <v>187381.24999999939</v>
      </c>
      <c r="G40" s="30">
        <f t="shared" si="5"/>
        <v>7.4952499999999759E-3</v>
      </c>
    </row>
    <row r="41" spans="1:7" x14ac:dyDescent="0.25">
      <c r="A41" s="8">
        <f t="shared" si="6"/>
        <v>7.5000000000000032E-3</v>
      </c>
      <c r="B41" s="9">
        <f t="shared" si="0"/>
        <v>99.25</v>
      </c>
      <c r="C41" s="31">
        <f t="shared" si="1"/>
        <v>62500</v>
      </c>
      <c r="D41" s="31">
        <f t="shared" si="2"/>
        <v>62656.25</v>
      </c>
      <c r="E41" s="31">
        <f t="shared" si="3"/>
        <v>250000.00000000009</v>
      </c>
      <c r="F41" s="31">
        <f t="shared" si="4"/>
        <v>187343.75000000009</v>
      </c>
      <c r="G41" s="30">
        <f t="shared" si="5"/>
        <v>7.4937500000000039E-3</v>
      </c>
    </row>
    <row r="42" spans="1:7" x14ac:dyDescent="0.25">
      <c r="A42" s="8">
        <f t="shared" si="6"/>
        <v>8.0000000000000036E-3</v>
      </c>
      <c r="B42" s="9">
        <f t="shared" si="0"/>
        <v>99.2</v>
      </c>
      <c r="C42" s="31">
        <f t="shared" si="1"/>
        <v>74999.999999999287</v>
      </c>
      <c r="D42" s="31">
        <f t="shared" si="2"/>
        <v>75196.874999999287</v>
      </c>
      <c r="E42" s="31">
        <f t="shared" si="3"/>
        <v>262500.00000000012</v>
      </c>
      <c r="F42" s="31">
        <f t="shared" si="4"/>
        <v>187303.12500000081</v>
      </c>
      <c r="G42" s="30">
        <f t="shared" si="5"/>
        <v>7.4921250000000326E-3</v>
      </c>
    </row>
    <row r="43" spans="1:7" x14ac:dyDescent="0.25">
      <c r="A43" s="8">
        <f>+A42+0.05%</f>
        <v>8.5000000000000041E-3</v>
      </c>
      <c r="B43" s="9">
        <f t="shared" si="0"/>
        <v>99.15</v>
      </c>
      <c r="C43" s="31">
        <f t="shared" si="1"/>
        <v>87499.999999998588</v>
      </c>
      <c r="D43" s="31">
        <f t="shared" si="2"/>
        <v>87740.624999998588</v>
      </c>
      <c r="E43" s="31">
        <f t="shared" si="3"/>
        <v>275000.00000000012</v>
      </c>
      <c r="F43" s="31">
        <f t="shared" si="4"/>
        <v>187259.37500000151</v>
      </c>
      <c r="G43" s="30">
        <f t="shared" si="5"/>
        <v>7.4903750000000604E-3</v>
      </c>
    </row>
    <row r="44" spans="1:7" x14ac:dyDescent="0.25">
      <c r="A44" s="8">
        <f t="shared" si="6"/>
        <v>9.0000000000000045E-3</v>
      </c>
      <c r="B44" s="9">
        <f t="shared" si="0"/>
        <v>99.1</v>
      </c>
      <c r="C44" s="31">
        <f t="shared" si="1"/>
        <v>100000.00000000141</v>
      </c>
      <c r="D44" s="31">
        <f t="shared" si="2"/>
        <v>100287.50000000141</v>
      </c>
      <c r="E44" s="31">
        <f t="shared" si="3"/>
        <v>287500.00000000012</v>
      </c>
      <c r="F44" s="31">
        <f t="shared" si="4"/>
        <v>187212.49999999872</v>
      </c>
      <c r="G44" s="30">
        <f t="shared" si="5"/>
        <v>7.4884999999999492E-3</v>
      </c>
    </row>
    <row r="45" spans="1:7" x14ac:dyDescent="0.25">
      <c r="A45" s="8">
        <f t="shared" si="6"/>
        <v>9.500000000000005E-3</v>
      </c>
      <c r="B45" s="9">
        <f t="shared" si="0"/>
        <v>99.050000000000011</v>
      </c>
      <c r="C45" s="31">
        <f t="shared" si="1"/>
        <v>112499.99999999715</v>
      </c>
      <c r="D45" s="31">
        <f t="shared" si="2"/>
        <v>112837.49999999713</v>
      </c>
      <c r="E45" s="31">
        <f t="shared" si="3"/>
        <v>300000.00000000012</v>
      </c>
      <c r="F45" s="31">
        <f t="shared" si="4"/>
        <v>187162.50000000297</v>
      </c>
      <c r="G45" s="30">
        <f t="shared" si="5"/>
        <v>7.4865000000001189E-3</v>
      </c>
    </row>
    <row r="46" spans="1:7" x14ac:dyDescent="0.25">
      <c r="A46" s="8">
        <f t="shared" si="6"/>
        <v>1.0000000000000005E-2</v>
      </c>
      <c r="B46" s="9">
        <f t="shared" si="0"/>
        <v>99</v>
      </c>
      <c r="C46" s="31">
        <f t="shared" si="1"/>
        <v>125000</v>
      </c>
      <c r="D46" s="31">
        <f t="shared" si="2"/>
        <v>125390.625</v>
      </c>
      <c r="E46" s="31">
        <f t="shared" si="3"/>
        <v>312500.00000000017</v>
      </c>
      <c r="F46" s="31">
        <f t="shared" si="4"/>
        <v>187109.37500000017</v>
      </c>
      <c r="G46" s="30">
        <f t="shared" si="5"/>
        <v>7.4843750000000066E-3</v>
      </c>
    </row>
  </sheetData>
  <mergeCells count="1">
    <mergeCell ref="A6:H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A28" workbookViewId="0">
      <selection activeCell="A36" sqref="A36"/>
    </sheetView>
  </sheetViews>
  <sheetFormatPr baseColWidth="10" defaultRowHeight="15" x14ac:dyDescent="0.25"/>
  <cols>
    <col min="1" max="1" width="21.140625" customWidth="1"/>
  </cols>
  <sheetData>
    <row r="1" spans="1:8" x14ac:dyDescent="0.25">
      <c r="A1" t="s">
        <v>87</v>
      </c>
      <c r="B1">
        <v>38.795000000000002</v>
      </c>
      <c r="F1" s="1"/>
      <c r="G1" t="s">
        <v>88</v>
      </c>
      <c r="H1">
        <f>EXP(-0.5*B9^2)/SQRT(2*PI())</f>
        <v>0.341459574617546</v>
      </c>
    </row>
    <row r="2" spans="1:8" x14ac:dyDescent="0.25">
      <c r="A2" t="s">
        <v>66</v>
      </c>
      <c r="B2">
        <v>42</v>
      </c>
      <c r="G2" t="s">
        <v>89</v>
      </c>
      <c r="H2">
        <f>EXP(-0.5*B10^2)/SQRT(2*PI())</f>
        <v>0.32177451945966112</v>
      </c>
    </row>
    <row r="3" spans="1:8" x14ac:dyDescent="0.25">
      <c r="A3" t="s">
        <v>6</v>
      </c>
      <c r="B3">
        <v>0.25</v>
      </c>
    </row>
    <row r="4" spans="1:8" x14ac:dyDescent="0.25">
      <c r="A4" t="s">
        <v>90</v>
      </c>
      <c r="B4" s="35">
        <v>0.19572201479037304</v>
      </c>
      <c r="E4" s="1"/>
    </row>
    <row r="5" spans="1:8" x14ac:dyDescent="0.25">
      <c r="A5" t="s">
        <v>91</v>
      </c>
      <c r="B5" s="16">
        <v>0.08</v>
      </c>
      <c r="E5" s="1"/>
    </row>
    <row r="6" spans="1:8" x14ac:dyDescent="0.25">
      <c r="A6" t="s">
        <v>92</v>
      </c>
      <c r="B6" s="16">
        <v>0.04</v>
      </c>
    </row>
    <row r="9" spans="1:8" x14ac:dyDescent="0.25">
      <c r="A9" t="s">
        <v>35</v>
      </c>
      <c r="B9" s="6">
        <f>(LN(B1*EXP(-B6*B3)/(B2*EXP(-B5*B3)))+(B5-B6+0.5*B4^2)*B3)/(B4*SQRT(B3))</f>
        <v>-0.55783052930170751</v>
      </c>
    </row>
    <row r="10" spans="1:8" x14ac:dyDescent="0.25">
      <c r="A10" t="s">
        <v>36</v>
      </c>
      <c r="B10" s="6">
        <f>B9-B4*SQRT(B3)</f>
        <v>-0.65569153669689406</v>
      </c>
    </row>
    <row r="11" spans="1:8" x14ac:dyDescent="0.25">
      <c r="A11" t="s">
        <v>93</v>
      </c>
      <c r="B11" s="6">
        <f>_xlfn.NORM.S.DIST(B9,TRUE)</f>
        <v>0.28848005674218835</v>
      </c>
    </row>
    <row r="12" spans="1:8" x14ac:dyDescent="0.25">
      <c r="A12" t="s">
        <v>94</v>
      </c>
      <c r="B12" s="6">
        <f>_xlfn.NORM.S.DIST(B10,TRUE)</f>
        <v>0.25601130770249664</v>
      </c>
    </row>
    <row r="13" spans="1:8" x14ac:dyDescent="0.25">
      <c r="A13" t="s">
        <v>95</v>
      </c>
      <c r="B13" s="6">
        <f>_xlfn.NORM.S.DIST(-B9,TRUE)</f>
        <v>0.71151994325781165</v>
      </c>
    </row>
    <row r="14" spans="1:8" x14ac:dyDescent="0.25">
      <c r="A14" t="s">
        <v>96</v>
      </c>
      <c r="B14" s="6">
        <f>_xlfn.NORM.S.DIST(-B10,TRUE)</f>
        <v>0.74398869229750342</v>
      </c>
    </row>
    <row r="17" spans="1:9" x14ac:dyDescent="0.25">
      <c r="B17" t="s">
        <v>97</v>
      </c>
      <c r="C17" t="s">
        <v>98</v>
      </c>
      <c r="D17" t="s">
        <v>99</v>
      </c>
      <c r="E17" t="s">
        <v>100</v>
      </c>
    </row>
    <row r="18" spans="1:9" x14ac:dyDescent="0.25">
      <c r="A18" t="s">
        <v>65</v>
      </c>
      <c r="B18" s="20">
        <f>B1*EXP(-B6*B3)*B11-B2*B12*EXP(-B5*B3)</f>
        <v>0.54066402709639583</v>
      </c>
      <c r="C18" s="6">
        <f>B11*EXP(-B6*B3)</f>
        <v>0.28560963221755414</v>
      </c>
      <c r="D18" s="6">
        <f>H1*(EXP(-B6*B3)/(B1*B4*SQRT(B3)))</f>
        <v>8.9045281624707678E-2</v>
      </c>
      <c r="E18" s="6">
        <f>(B6*B1*B11*EXP(-B6*B3))-(B5*B2*B12*EXP(-B5*B3))-(B1*H1*B4*EXP(-B6*B3)/(2*SQRT(B3)))</f>
        <v>-2.9668726565330057</v>
      </c>
    </row>
    <row r="19" spans="1:9" x14ac:dyDescent="0.25">
      <c r="A19" t="s">
        <v>67</v>
      </c>
      <c r="B19" s="20">
        <f>B2*EXP(-B5*B3)*B14-B1*EXP(-B6*B3)*B13</f>
        <v>3.3000250056811424</v>
      </c>
      <c r="C19" s="6">
        <f>EXP(-B6*B3)*B11-1</f>
        <v>-0.71439036778244591</v>
      </c>
      <c r="D19" s="6">
        <f>D18</f>
        <v>8.9045281624707678E-2</v>
      </c>
      <c r="E19" s="6">
        <f>-(B6*B1*B13*EXP(-B6*B3))+(B5*B2*B14*EXP(-B5*B3))-(B1*H1*B4*EXP(-B6*B3)/(2*SQRT(B3)))</f>
        <v>-1.2097644462342672</v>
      </c>
    </row>
    <row r="21" spans="1:9" x14ac:dyDescent="0.25">
      <c r="A21" s="41" t="s">
        <v>70</v>
      </c>
      <c r="B21" s="42" t="s">
        <v>65</v>
      </c>
      <c r="C21" s="42"/>
      <c r="D21" s="42"/>
      <c r="E21" s="42"/>
      <c r="F21" s="42" t="s">
        <v>67</v>
      </c>
      <c r="G21" s="42"/>
      <c r="H21" s="42"/>
      <c r="I21" s="42"/>
    </row>
    <row r="22" spans="1:9" x14ac:dyDescent="0.25">
      <c r="A22" s="41"/>
      <c r="B22" t="s">
        <v>97</v>
      </c>
      <c r="C22" t="s">
        <v>98</v>
      </c>
      <c r="D22" t="s">
        <v>99</v>
      </c>
      <c r="E22" t="s">
        <v>100</v>
      </c>
      <c r="F22" t="s">
        <v>97</v>
      </c>
      <c r="G22" t="s">
        <v>98</v>
      </c>
      <c r="H22" t="s">
        <v>99</v>
      </c>
      <c r="I22" t="s">
        <v>100</v>
      </c>
    </row>
    <row r="23" spans="1:9" x14ac:dyDescent="0.25">
      <c r="A23" s="9">
        <v>34</v>
      </c>
      <c r="B23" s="6">
        <v>5.1946311496780027</v>
      </c>
      <c r="C23" s="6">
        <v>0.93595454739604056</v>
      </c>
      <c r="D23" s="6">
        <v>2.8858826996745583E-2</v>
      </c>
      <c r="E23" s="6">
        <v>-1.8687599087228794</v>
      </c>
      <c r="F23" s="6">
        <v>0.11240274180870236</v>
      </c>
      <c r="G23" s="6">
        <v>-6.4045452603959441E-2</v>
      </c>
      <c r="H23" s="6">
        <v>2.8858826996745583E-2</v>
      </c>
      <c r="I23" s="6">
        <v>-0.73897884934046398</v>
      </c>
    </row>
    <row r="24" spans="1:9" x14ac:dyDescent="0.25">
      <c r="A24" s="9">
        <v>36</v>
      </c>
      <c r="B24" s="6">
        <v>3.5014666027258201</v>
      </c>
      <c r="C24" s="6">
        <v>0.83709822415457824</v>
      </c>
      <c r="D24" s="6">
        <v>6.2004808240860097E-2</v>
      </c>
      <c r="E24" s="6">
        <v>-2.806310164902396</v>
      </c>
      <c r="F24" s="6">
        <v>0.37963554147002831</v>
      </c>
      <c r="G24" s="6">
        <v>-0.16290177584542176</v>
      </c>
      <c r="H24" s="6">
        <v>6.2004808240860097E-2</v>
      </c>
      <c r="I24" s="6">
        <v>-1.5196973177909003</v>
      </c>
    </row>
    <row r="25" spans="1:9" x14ac:dyDescent="0.25">
      <c r="A25" s="9">
        <v>38</v>
      </c>
      <c r="B25" s="6">
        <v>2.1218321094816837</v>
      </c>
      <c r="C25" s="6">
        <v>0.67223513943941415</v>
      </c>
      <c r="D25" s="6">
        <v>9.3379877687799276E-2</v>
      </c>
      <c r="E25" s="6">
        <v>-3.5652984825373863</v>
      </c>
      <c r="F25" s="6">
        <v>0.96039839483940526</v>
      </c>
      <c r="G25" s="6">
        <v>-0.32776486056058585</v>
      </c>
      <c r="H25" s="6">
        <v>9.3379877687799276E-2</v>
      </c>
      <c r="I25" s="6">
        <v>-2.1218538476968098</v>
      </c>
    </row>
    <row r="26" spans="1:9" x14ac:dyDescent="0.25">
      <c r="A26" s="9">
        <v>40</v>
      </c>
      <c r="B26" s="6">
        <v>1.1405772792069477</v>
      </c>
      <c r="C26" s="6">
        <v>0.47163071117673422</v>
      </c>
      <c r="D26" s="6">
        <v>0.10385298839670556</v>
      </c>
      <c r="E26" s="6">
        <v>-3.6344102696783049</v>
      </c>
      <c r="F26" s="6">
        <v>1.9395409111781774</v>
      </c>
      <c r="G26" s="6">
        <v>-0.52836928882326584</v>
      </c>
      <c r="H26" s="6">
        <v>0.10385298839670556</v>
      </c>
      <c r="I26" s="6">
        <v>-2.034133847108647</v>
      </c>
    </row>
    <row r="27" spans="1:9" x14ac:dyDescent="0.25">
      <c r="A27" s="9">
        <v>42</v>
      </c>
      <c r="B27" s="6">
        <v>0.54066402709639583</v>
      </c>
      <c r="C27" s="6">
        <v>0.28560963221755414</v>
      </c>
      <c r="D27" s="6">
        <v>8.9045281624707678E-2</v>
      </c>
      <c r="E27" s="6">
        <v>-2.9668726565330057</v>
      </c>
      <c r="F27" s="6">
        <v>3.3000250056811424</v>
      </c>
      <c r="G27" s="6">
        <v>-0.71439036778244591</v>
      </c>
      <c r="H27" s="6">
        <v>8.9045281624707678E-2</v>
      </c>
      <c r="I27" s="6">
        <v>-1.2097644462342672</v>
      </c>
    </row>
    <row r="29" spans="1:9" x14ac:dyDescent="0.25">
      <c r="B29" t="s">
        <v>101</v>
      </c>
      <c r="C29" t="s">
        <v>102</v>
      </c>
      <c r="D29" t="s">
        <v>103</v>
      </c>
      <c r="E29" t="s">
        <v>104</v>
      </c>
      <c r="F29" t="s">
        <v>105</v>
      </c>
      <c r="G29" t="s">
        <v>106</v>
      </c>
      <c r="H29" t="s">
        <v>62</v>
      </c>
    </row>
    <row r="30" spans="1:9" x14ac:dyDescent="0.25">
      <c r="A30" t="s">
        <v>70</v>
      </c>
      <c r="B30" s="9">
        <v>42</v>
      </c>
      <c r="C30" s="9">
        <f>A24</f>
        <v>36</v>
      </c>
      <c r="E30" s="9">
        <f>A25</f>
        <v>38</v>
      </c>
      <c r="F30" s="9">
        <f>E30</f>
        <v>38</v>
      </c>
    </row>
    <row r="31" spans="1:9" x14ac:dyDescent="0.25">
      <c r="A31" t="s">
        <v>71</v>
      </c>
      <c r="B31" s="6">
        <f>+B27</f>
        <v>0.54066402709639583</v>
      </c>
      <c r="C31" s="6">
        <f>F24</f>
        <v>0.37963554147002831</v>
      </c>
      <c r="D31" s="6">
        <f>-B31-C31</f>
        <v>-0.92029956856642414</v>
      </c>
      <c r="E31" s="6">
        <f>B25</f>
        <v>2.1218321094816837</v>
      </c>
      <c r="F31" s="6">
        <f>F25</f>
        <v>0.96039839483940526</v>
      </c>
      <c r="G31" s="6">
        <f>E31+F31</f>
        <v>3.0822305043210889</v>
      </c>
      <c r="H31" s="38">
        <f>D31+G31</f>
        <v>2.1619309357546648</v>
      </c>
    </row>
    <row r="32" spans="1:9" x14ac:dyDescent="0.25">
      <c r="A32" t="s">
        <v>107</v>
      </c>
      <c r="B32" s="6">
        <f>C27</f>
        <v>0.28560963221755414</v>
      </c>
      <c r="C32" s="6">
        <f>G24</f>
        <v>-0.16290177584542176</v>
      </c>
      <c r="D32" s="6">
        <f>-B32-C32</f>
        <v>-0.12270785637213238</v>
      </c>
      <c r="E32" s="6">
        <f>C25</f>
        <v>0.67223513943941415</v>
      </c>
      <c r="F32" s="6">
        <f>G25</f>
        <v>-0.32776486056058585</v>
      </c>
      <c r="G32" s="6">
        <f>E32+F32</f>
        <v>0.34447027887882831</v>
      </c>
      <c r="H32" s="38">
        <f>D32+G32</f>
        <v>0.22176242250669592</v>
      </c>
    </row>
    <row r="33" spans="1:8" x14ac:dyDescent="0.25">
      <c r="A33" t="s">
        <v>108</v>
      </c>
      <c r="B33" s="6">
        <f>D27</f>
        <v>8.9045281624707678E-2</v>
      </c>
      <c r="C33" s="6">
        <f>H24</f>
        <v>6.2004808240860097E-2</v>
      </c>
      <c r="D33" s="6">
        <f t="shared" ref="D33:D34" si="0">-B33-C33</f>
        <v>-0.15105008986556778</v>
      </c>
      <c r="E33" s="6">
        <f>D25</f>
        <v>9.3379877687799276E-2</v>
      </c>
      <c r="F33" s="6">
        <f>H25</f>
        <v>9.3379877687799276E-2</v>
      </c>
      <c r="G33" s="6">
        <f t="shared" ref="G33:G34" si="1">E33+F33</f>
        <v>0.18675975537559855</v>
      </c>
      <c r="H33" s="38">
        <f t="shared" ref="H33:H34" si="2">D33+G33</f>
        <v>3.5709665510030769E-2</v>
      </c>
    </row>
    <row r="34" spans="1:8" x14ac:dyDescent="0.25">
      <c r="A34" t="s">
        <v>109</v>
      </c>
      <c r="B34" s="6">
        <f>E27</f>
        <v>-2.9668726565330057</v>
      </c>
      <c r="C34" s="6">
        <f>I24</f>
        <v>-1.5196973177909003</v>
      </c>
      <c r="D34" s="6">
        <f t="shared" si="0"/>
        <v>4.4865699743239063</v>
      </c>
      <c r="E34" s="6">
        <f>E25</f>
        <v>-3.5652984825373863</v>
      </c>
      <c r="F34" s="6">
        <f>I25</f>
        <v>-2.1218538476968098</v>
      </c>
      <c r="G34" s="6">
        <f t="shared" si="1"/>
        <v>-5.6871523302341966</v>
      </c>
      <c r="H34" s="38">
        <f t="shared" si="2"/>
        <v>-1.2005823559102904</v>
      </c>
    </row>
    <row r="36" spans="1:8" x14ac:dyDescent="0.25">
      <c r="A36">
        <v>26</v>
      </c>
      <c r="B36" s="6">
        <f>-MAX(0,A36-$B$30)+$B$31</f>
        <v>0.54066402709639583</v>
      </c>
      <c r="C36" s="6">
        <f>-MAX(0,$C$30-A36)+$C$31</f>
        <v>-9.6203644585299717</v>
      </c>
      <c r="D36" s="6">
        <f>SUM(B36:C36)</f>
        <v>-9.0797004314335759</v>
      </c>
      <c r="E36" s="6">
        <f>MAX(0,A36-$E$30)-$E$31</f>
        <v>-2.1218321094816837</v>
      </c>
      <c r="F36" s="6">
        <f>MAX(0,$F$30-A36)-$F$31</f>
        <v>11.039601605160595</v>
      </c>
      <c r="G36" s="6">
        <f>SUM(E36:F36)</f>
        <v>8.9177694956789111</v>
      </c>
      <c r="H36" s="6">
        <f>D36+G36</f>
        <v>-0.16193093575466477</v>
      </c>
    </row>
    <row r="37" spans="1:8" x14ac:dyDescent="0.25">
      <c r="A37">
        <v>28</v>
      </c>
      <c r="B37" s="6">
        <f t="shared" ref="B37:B47" si="3">-MAX(0,A37-$B$30)+$B$31</f>
        <v>0.54066402709639583</v>
      </c>
      <c r="C37" s="6">
        <f t="shared" ref="C37:C47" si="4">-MAX(0,$C$30-A37)+$C$31</f>
        <v>-7.6203644585299717</v>
      </c>
      <c r="D37" s="6">
        <f t="shared" ref="D37:D47" si="5">SUM(B37:C37)</f>
        <v>-7.0797004314335759</v>
      </c>
      <c r="E37" s="6">
        <f t="shared" ref="E37:E47" si="6">MAX(0,A37-$E$30)-$E$31</f>
        <v>-2.1218321094816837</v>
      </c>
      <c r="F37" s="6">
        <f t="shared" ref="F37:F47" si="7">MAX(0,$F$30-A37)-$F$31</f>
        <v>9.0396016051605947</v>
      </c>
      <c r="G37" s="6">
        <f t="shared" ref="G37:G47" si="8">SUM(E37:F37)</f>
        <v>6.9177694956789111</v>
      </c>
      <c r="H37" s="6">
        <f t="shared" ref="H37:H47" si="9">D37+G37</f>
        <v>-0.16193093575466477</v>
      </c>
    </row>
    <row r="38" spans="1:8" x14ac:dyDescent="0.25">
      <c r="A38">
        <v>30</v>
      </c>
      <c r="B38" s="6">
        <f t="shared" si="3"/>
        <v>0.54066402709639583</v>
      </c>
      <c r="C38" s="6">
        <f t="shared" si="4"/>
        <v>-5.6203644585299717</v>
      </c>
      <c r="D38" s="6">
        <f t="shared" si="5"/>
        <v>-5.0797004314335759</v>
      </c>
      <c r="E38" s="6">
        <f t="shared" si="6"/>
        <v>-2.1218321094816837</v>
      </c>
      <c r="F38" s="6">
        <f t="shared" si="7"/>
        <v>7.0396016051605947</v>
      </c>
      <c r="G38" s="6">
        <f t="shared" si="8"/>
        <v>4.9177694956789111</v>
      </c>
      <c r="H38" s="6">
        <f t="shared" si="9"/>
        <v>-0.16193093575466477</v>
      </c>
    </row>
    <row r="39" spans="1:8" x14ac:dyDescent="0.25">
      <c r="A39">
        <v>32</v>
      </c>
      <c r="B39" s="6">
        <f t="shared" si="3"/>
        <v>0.54066402709639583</v>
      </c>
      <c r="C39" s="6">
        <f t="shared" si="4"/>
        <v>-3.6203644585299717</v>
      </c>
      <c r="D39" s="6">
        <f t="shared" si="5"/>
        <v>-3.0797004314335759</v>
      </c>
      <c r="E39" s="6">
        <f t="shared" si="6"/>
        <v>-2.1218321094816837</v>
      </c>
      <c r="F39" s="6">
        <f t="shared" si="7"/>
        <v>5.0396016051605947</v>
      </c>
      <c r="G39" s="6">
        <f t="shared" si="8"/>
        <v>2.9177694956789111</v>
      </c>
      <c r="H39" s="6">
        <f t="shared" si="9"/>
        <v>-0.16193093575466477</v>
      </c>
    </row>
    <row r="40" spans="1:8" x14ac:dyDescent="0.25">
      <c r="A40">
        <v>34</v>
      </c>
      <c r="B40" s="6">
        <f t="shared" si="3"/>
        <v>0.54066402709639583</v>
      </c>
      <c r="C40" s="6">
        <f t="shared" si="4"/>
        <v>-1.6203644585299717</v>
      </c>
      <c r="D40" s="6">
        <f t="shared" si="5"/>
        <v>-1.0797004314335759</v>
      </c>
      <c r="E40" s="6">
        <f t="shared" si="6"/>
        <v>-2.1218321094816837</v>
      </c>
      <c r="F40" s="6">
        <f t="shared" si="7"/>
        <v>3.0396016051605947</v>
      </c>
      <c r="G40" s="6">
        <f t="shared" si="8"/>
        <v>0.91776949567891108</v>
      </c>
      <c r="H40" s="6">
        <f t="shared" si="9"/>
        <v>-0.16193093575466477</v>
      </c>
    </row>
    <row r="41" spans="1:8" x14ac:dyDescent="0.25">
      <c r="A41">
        <v>36</v>
      </c>
      <c r="B41" s="6">
        <f t="shared" si="3"/>
        <v>0.54066402709639583</v>
      </c>
      <c r="C41" s="6">
        <f t="shared" si="4"/>
        <v>0.37963554147002831</v>
      </c>
      <c r="D41" s="6">
        <f t="shared" si="5"/>
        <v>0.92029956856642414</v>
      </c>
      <c r="E41" s="6">
        <f t="shared" si="6"/>
        <v>-2.1218321094816837</v>
      </c>
      <c r="F41" s="6">
        <f t="shared" si="7"/>
        <v>1.0396016051605947</v>
      </c>
      <c r="G41" s="6">
        <f t="shared" si="8"/>
        <v>-1.0822305043210889</v>
      </c>
      <c r="H41" s="6">
        <f t="shared" si="9"/>
        <v>-0.16193093575466477</v>
      </c>
    </row>
    <row r="42" spans="1:8" x14ac:dyDescent="0.25">
      <c r="A42">
        <v>38</v>
      </c>
      <c r="B42" s="6">
        <f t="shared" si="3"/>
        <v>0.54066402709639583</v>
      </c>
      <c r="C42" s="6">
        <f t="shared" si="4"/>
        <v>0.37963554147002831</v>
      </c>
      <c r="D42" s="6">
        <f t="shared" si="5"/>
        <v>0.92029956856642414</v>
      </c>
      <c r="E42" s="6">
        <f t="shared" si="6"/>
        <v>-2.1218321094816837</v>
      </c>
      <c r="F42" s="6">
        <f t="shared" si="7"/>
        <v>-0.96039839483940526</v>
      </c>
      <c r="G42" s="6">
        <f t="shared" si="8"/>
        <v>-3.0822305043210889</v>
      </c>
      <c r="H42" s="6">
        <f t="shared" si="9"/>
        <v>-2.1619309357546648</v>
      </c>
    </row>
    <row r="43" spans="1:8" x14ac:dyDescent="0.25">
      <c r="A43">
        <v>40</v>
      </c>
      <c r="B43" s="6">
        <f t="shared" si="3"/>
        <v>0.54066402709639583</v>
      </c>
      <c r="C43" s="6">
        <f t="shared" si="4"/>
        <v>0.37963554147002831</v>
      </c>
      <c r="D43" s="6">
        <f t="shared" si="5"/>
        <v>0.92029956856642414</v>
      </c>
      <c r="E43" s="6">
        <f t="shared" si="6"/>
        <v>-0.12183210948168366</v>
      </c>
      <c r="F43" s="6">
        <f t="shared" si="7"/>
        <v>-0.96039839483940526</v>
      </c>
      <c r="G43" s="6">
        <f t="shared" si="8"/>
        <v>-1.0822305043210889</v>
      </c>
      <c r="H43" s="6">
        <f t="shared" si="9"/>
        <v>-0.16193093575466477</v>
      </c>
    </row>
    <row r="44" spans="1:8" x14ac:dyDescent="0.25">
      <c r="A44">
        <v>42</v>
      </c>
      <c r="B44" s="6">
        <f t="shared" si="3"/>
        <v>0.54066402709639583</v>
      </c>
      <c r="C44" s="6">
        <f t="shared" si="4"/>
        <v>0.37963554147002831</v>
      </c>
      <c r="D44" s="6">
        <f t="shared" si="5"/>
        <v>0.92029956856642414</v>
      </c>
      <c r="E44" s="6">
        <f t="shared" si="6"/>
        <v>1.8781678905183163</v>
      </c>
      <c r="F44" s="6">
        <f t="shared" si="7"/>
        <v>-0.96039839483940526</v>
      </c>
      <c r="G44" s="6">
        <f t="shared" si="8"/>
        <v>0.91776949567891108</v>
      </c>
      <c r="H44" s="6">
        <f t="shared" si="9"/>
        <v>1.8380690642453352</v>
      </c>
    </row>
    <row r="45" spans="1:8" x14ac:dyDescent="0.25">
      <c r="A45">
        <v>44</v>
      </c>
      <c r="B45" s="6">
        <f t="shared" si="3"/>
        <v>-1.4593359729036042</v>
      </c>
      <c r="C45" s="6">
        <f t="shared" si="4"/>
        <v>0.37963554147002831</v>
      </c>
      <c r="D45" s="6">
        <f t="shared" si="5"/>
        <v>-1.0797004314335759</v>
      </c>
      <c r="E45" s="6">
        <f t="shared" si="6"/>
        <v>3.8781678905183163</v>
      </c>
      <c r="F45" s="6">
        <f t="shared" si="7"/>
        <v>-0.96039839483940526</v>
      </c>
      <c r="G45" s="6">
        <f t="shared" si="8"/>
        <v>2.9177694956789111</v>
      </c>
      <c r="H45" s="6">
        <f t="shared" si="9"/>
        <v>1.8380690642453352</v>
      </c>
    </row>
    <row r="46" spans="1:8" x14ac:dyDescent="0.25">
      <c r="A46">
        <v>46</v>
      </c>
      <c r="B46" s="6">
        <f t="shared" si="3"/>
        <v>-3.4593359729036042</v>
      </c>
      <c r="C46" s="6">
        <f t="shared" si="4"/>
        <v>0.37963554147002831</v>
      </c>
      <c r="D46" s="6">
        <f t="shared" si="5"/>
        <v>-3.0797004314335759</v>
      </c>
      <c r="E46" s="6">
        <f t="shared" si="6"/>
        <v>5.8781678905183163</v>
      </c>
      <c r="F46" s="6">
        <f t="shared" si="7"/>
        <v>-0.96039839483940526</v>
      </c>
      <c r="G46" s="6">
        <f t="shared" si="8"/>
        <v>4.9177694956789111</v>
      </c>
      <c r="H46" s="6">
        <f t="shared" si="9"/>
        <v>1.8380690642453352</v>
      </c>
    </row>
    <row r="47" spans="1:8" x14ac:dyDescent="0.25">
      <c r="A47">
        <v>48</v>
      </c>
      <c r="B47" s="6">
        <f t="shared" si="3"/>
        <v>-5.4593359729036042</v>
      </c>
      <c r="C47" s="6">
        <f t="shared" si="4"/>
        <v>0.37963554147002831</v>
      </c>
      <c r="D47" s="6">
        <f t="shared" si="5"/>
        <v>-5.0797004314335759</v>
      </c>
      <c r="E47" s="6">
        <f t="shared" si="6"/>
        <v>7.8781678905183163</v>
      </c>
      <c r="F47" s="6">
        <f t="shared" si="7"/>
        <v>-0.96039839483940526</v>
      </c>
      <c r="G47" s="6">
        <f t="shared" si="8"/>
        <v>6.9177694956789111</v>
      </c>
      <c r="H47" s="6">
        <f t="shared" si="9"/>
        <v>1.8380690642453352</v>
      </c>
    </row>
    <row r="48" spans="1:8" x14ac:dyDescent="0.25">
      <c r="B48" s="9"/>
      <c r="C48" s="9"/>
      <c r="D48" s="9"/>
      <c r="E48" s="9"/>
      <c r="F48" s="6"/>
      <c r="G48" s="9"/>
      <c r="H48" s="9"/>
    </row>
    <row r="49" spans="2:8" x14ac:dyDescent="0.25">
      <c r="B49" s="9"/>
      <c r="C49" s="9"/>
      <c r="D49" s="9"/>
      <c r="E49" s="9"/>
      <c r="F49" s="6"/>
      <c r="G49" s="9"/>
      <c r="H49" s="9"/>
    </row>
    <row r="50" spans="2:8" x14ac:dyDescent="0.25">
      <c r="B50" s="9"/>
      <c r="C50" s="9"/>
      <c r="D50" s="9"/>
      <c r="E50" s="9"/>
      <c r="F50" s="6"/>
      <c r="G50" s="9"/>
      <c r="H50" s="9"/>
    </row>
    <row r="51" spans="2:8" x14ac:dyDescent="0.25">
      <c r="B51" s="9"/>
      <c r="C51" s="9"/>
      <c r="D51" s="9"/>
      <c r="E51" s="9"/>
      <c r="F51" s="6"/>
      <c r="G51" s="9"/>
      <c r="H51" s="9"/>
    </row>
    <row r="52" spans="2:8" x14ac:dyDescent="0.25">
      <c r="B52" s="9"/>
      <c r="C52" s="9"/>
      <c r="D52" s="9"/>
      <c r="E52" s="9"/>
      <c r="F52" s="6"/>
      <c r="G52" s="9"/>
      <c r="H52" s="9"/>
    </row>
    <row r="53" spans="2:8" x14ac:dyDescent="0.25">
      <c r="B53" s="9"/>
      <c r="C53" s="9"/>
      <c r="D53" s="9"/>
      <c r="E53" s="9"/>
      <c r="F53" s="6"/>
      <c r="G53" s="9"/>
      <c r="H53" s="9"/>
    </row>
    <row r="54" spans="2:8" x14ac:dyDescent="0.25">
      <c r="B54" s="9"/>
      <c r="C54" s="9"/>
      <c r="D54" s="9"/>
      <c r="E54" s="9"/>
      <c r="F54" s="6"/>
      <c r="G54" s="9"/>
      <c r="H54" s="9"/>
    </row>
    <row r="55" spans="2:8" x14ac:dyDescent="0.25">
      <c r="B55" s="9"/>
      <c r="C55" s="9"/>
      <c r="D55" s="9"/>
      <c r="E55" s="9"/>
      <c r="F55" s="6"/>
      <c r="G55" s="9"/>
      <c r="H55" s="9"/>
    </row>
    <row r="56" spans="2:8" x14ac:dyDescent="0.25">
      <c r="B56" s="9"/>
      <c r="C56" s="9"/>
      <c r="D56" s="9"/>
      <c r="E56" s="9"/>
      <c r="F56" s="6"/>
      <c r="G56" s="9"/>
      <c r="H56" s="9"/>
    </row>
    <row r="57" spans="2:8" x14ac:dyDescent="0.25">
      <c r="B57" s="9"/>
      <c r="C57" s="9"/>
      <c r="D57" s="9"/>
      <c r="E57" s="9"/>
      <c r="F57" s="6"/>
      <c r="G57" s="9"/>
      <c r="H57" s="9"/>
    </row>
    <row r="58" spans="2:8" x14ac:dyDescent="0.25">
      <c r="B58" s="9"/>
      <c r="C58" s="9"/>
      <c r="D58" s="9"/>
      <c r="E58" s="9"/>
      <c r="F58" s="6"/>
      <c r="G58" s="9"/>
      <c r="H58" s="9"/>
    </row>
    <row r="59" spans="2:8" x14ac:dyDescent="0.25">
      <c r="B59" s="9"/>
      <c r="C59" s="9"/>
      <c r="D59" s="9"/>
      <c r="E59" s="9"/>
      <c r="F59" s="6"/>
      <c r="G59" s="9"/>
      <c r="H59" s="9"/>
    </row>
    <row r="60" spans="2:8" x14ac:dyDescent="0.25">
      <c r="B60" s="9"/>
      <c r="C60" s="9"/>
      <c r="D60" s="9"/>
      <c r="E60" s="9"/>
      <c r="F60" s="6"/>
      <c r="G60" s="9"/>
      <c r="H60" s="9"/>
    </row>
    <row r="61" spans="2:8" x14ac:dyDescent="0.25">
      <c r="B61" s="9"/>
      <c r="C61" s="9"/>
      <c r="D61" s="9"/>
      <c r="E61" s="9"/>
      <c r="F61" s="6"/>
      <c r="G61" s="9"/>
      <c r="H61" s="9"/>
    </row>
    <row r="62" spans="2:8" x14ac:dyDescent="0.25">
      <c r="B62" s="9"/>
      <c r="C62" s="9"/>
      <c r="D62" s="9"/>
      <c r="E62" s="9"/>
      <c r="F62" s="6"/>
      <c r="G62" s="9"/>
      <c r="H62" s="9"/>
    </row>
    <row r="63" spans="2:8" x14ac:dyDescent="0.25">
      <c r="B63" s="9"/>
      <c r="C63" s="9"/>
      <c r="D63" s="9"/>
      <c r="E63" s="9"/>
      <c r="F63" s="6"/>
      <c r="G63" s="9"/>
      <c r="H63" s="9"/>
    </row>
    <row r="64" spans="2:8" x14ac:dyDescent="0.25">
      <c r="B64" s="9"/>
      <c r="C64" s="9"/>
      <c r="D64" s="9"/>
      <c r="E64" s="9"/>
      <c r="F64" s="6"/>
      <c r="G64" s="9"/>
      <c r="H64" s="9"/>
    </row>
    <row r="65" spans="2:8" x14ac:dyDescent="0.25">
      <c r="B65" s="9"/>
      <c r="C65" s="9"/>
      <c r="D65" s="9"/>
      <c r="E65" s="9"/>
      <c r="F65" s="6"/>
      <c r="G65" s="9"/>
      <c r="H65" s="9"/>
    </row>
    <row r="66" spans="2:8" x14ac:dyDescent="0.25">
      <c r="B66" s="9"/>
      <c r="C66" s="9"/>
      <c r="D66" s="9"/>
      <c r="E66" s="9"/>
      <c r="F66" s="6"/>
      <c r="G66" s="9"/>
      <c r="H66" s="9"/>
    </row>
    <row r="67" spans="2:8" x14ac:dyDescent="0.25">
      <c r="B67" s="9"/>
      <c r="C67" s="9"/>
      <c r="D67" s="9"/>
      <c r="E67" s="9"/>
      <c r="F67" s="6"/>
      <c r="G67" s="9"/>
      <c r="H67" s="9"/>
    </row>
    <row r="68" spans="2:8" x14ac:dyDescent="0.25">
      <c r="B68" s="9"/>
      <c r="C68" s="9"/>
      <c r="D68" s="9"/>
      <c r="E68" s="9"/>
      <c r="F68" s="6"/>
      <c r="G68" s="9"/>
      <c r="H68" s="9"/>
    </row>
  </sheetData>
  <mergeCells count="3">
    <mergeCell ref="A21:A22"/>
    <mergeCell ref="B21:E21"/>
    <mergeCell ref="F21:I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I1" workbookViewId="0">
      <selection activeCell="P4" sqref="P4"/>
    </sheetView>
  </sheetViews>
  <sheetFormatPr baseColWidth="10" defaultRowHeight="15" x14ac:dyDescent="0.25"/>
  <cols>
    <col min="1" max="1" width="32.42578125" customWidth="1"/>
    <col min="2" max="10" width="11.5703125" customWidth="1"/>
    <col min="11" max="11" width="12.85546875" bestFit="1" customWidth="1"/>
    <col min="12" max="12" width="11.5703125" customWidth="1"/>
    <col min="13" max="17" width="15.140625" customWidth="1"/>
    <col min="18" max="22" width="13.7109375" customWidth="1"/>
  </cols>
  <sheetData>
    <row r="1" spans="1:22" x14ac:dyDescent="0.25">
      <c r="A1" t="s">
        <v>0</v>
      </c>
      <c r="B1" s="1">
        <v>44530</v>
      </c>
      <c r="D1" s="2"/>
      <c r="E1" s="3"/>
      <c r="F1" s="2">
        <f>B1-DATE(2021,5,25)</f>
        <v>189</v>
      </c>
      <c r="G1" s="4"/>
    </row>
    <row r="2" spans="1:22" x14ac:dyDescent="0.25">
      <c r="A2" t="s">
        <v>1</v>
      </c>
      <c r="B2" s="5">
        <v>1000000</v>
      </c>
    </row>
    <row r="3" spans="1:22" x14ac:dyDescent="0.25">
      <c r="P3" t="s">
        <v>2</v>
      </c>
      <c r="Q3" t="s">
        <v>3</v>
      </c>
      <c r="R3" t="s">
        <v>4</v>
      </c>
    </row>
    <row r="4" spans="1:22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O4" s="1">
        <f>J5</f>
        <v>44713</v>
      </c>
      <c r="P4">
        <f>(O4-B1)/365</f>
        <v>0.50136986301369868</v>
      </c>
      <c r="Q4" s="6">
        <f>+B5*100</f>
        <v>0.44999999999999996</v>
      </c>
      <c r="R4">
        <f>P4*Q4*(1+$G$5)^-(1+P4)</f>
        <v>0.22408886731727737</v>
      </c>
    </row>
    <row r="5" spans="1:22" x14ac:dyDescent="0.25">
      <c r="A5" t="s">
        <v>57</v>
      </c>
      <c r="B5" s="7">
        <v>4.4999999999999997E-3</v>
      </c>
      <c r="C5" s="1">
        <v>45444</v>
      </c>
      <c r="D5" s="5">
        <v>300000</v>
      </c>
      <c r="E5">
        <v>99.991</v>
      </c>
      <c r="F5" s="6">
        <f>ACCRINT(I5,I5,$B$1,B5,100,1,1)</f>
        <v>0.22438356164383561</v>
      </c>
      <c r="G5" s="8">
        <f>YIELD($B$1,C5,B5,E5,100,1,1)</f>
        <v>4.5352406393420813E-3</v>
      </c>
      <c r="H5" s="9">
        <f>MDURATION($B$1,C5,B5,G5,1,1)</f>
        <v>2.4767171228736271</v>
      </c>
      <c r="I5" s="1">
        <f>COUPPCD($B$1,C5,1,1)</f>
        <v>44348</v>
      </c>
      <c r="J5" s="1">
        <f>COUPNCD($B$1,C5,1,1)</f>
        <v>44713</v>
      </c>
      <c r="K5" s="10">
        <f>D5*(E5+F5)%</f>
        <v>300646.15068493149</v>
      </c>
      <c r="L5">
        <f>K5/$K$8</f>
        <v>0.31162514863029256</v>
      </c>
      <c r="O5" s="1">
        <f>EDATE(O4,12)</f>
        <v>45078</v>
      </c>
      <c r="P5">
        <f>P4+1</f>
        <v>1.5013698630136987</v>
      </c>
      <c r="Q5" s="6">
        <f>Q4</f>
        <v>0.44999999999999996</v>
      </c>
      <c r="R5">
        <f t="shared" ref="R5:R6" si="0">P5*Q5*(1+$G$5)^-(1+P5)</f>
        <v>0.6680124752966764</v>
      </c>
    </row>
    <row r="6" spans="1:22" x14ac:dyDescent="0.25">
      <c r="A6" t="s">
        <v>58</v>
      </c>
      <c r="B6" s="7">
        <v>0.01</v>
      </c>
      <c r="C6" s="1">
        <v>47628</v>
      </c>
      <c r="D6" s="5">
        <v>300000</v>
      </c>
      <c r="E6">
        <v>103.935</v>
      </c>
      <c r="F6" s="6">
        <f>ACCRINT(I6,I6,$B$1,B6,100,1,1)</f>
        <v>0.51780821917808217</v>
      </c>
      <c r="G6" s="8">
        <f>YIELD($B$1,C6,B6,E6,100,1,1)</f>
        <v>5.2439882783062294E-3</v>
      </c>
      <c r="H6" s="9">
        <f>MDURATION($B$1,C6,B6,G6,1,1)</f>
        <v>8.1000819425029018</v>
      </c>
      <c r="I6" s="1">
        <f>COUPPCD($B$1,C6,1,1)</f>
        <v>44341</v>
      </c>
      <c r="J6" s="1">
        <f>COUPNCD($B$1,C6,1,1)</f>
        <v>44706</v>
      </c>
      <c r="K6" s="10">
        <f t="shared" ref="K6:K7" si="1">D6*(E6+F6)%</f>
        <v>313358.42465753423</v>
      </c>
      <c r="L6">
        <f t="shared" ref="L6" si="2">K6/$K$8</f>
        <v>0.32480164950055596</v>
      </c>
      <c r="O6" s="1">
        <f>EDATE(O5,12)</f>
        <v>45444</v>
      </c>
      <c r="P6">
        <f>P5+1</f>
        <v>2.5013698630136987</v>
      </c>
      <c r="Q6" s="6">
        <f>+Q5+100</f>
        <v>100.45</v>
      </c>
      <c r="R6">
        <f t="shared" si="0"/>
        <v>247.3130551008538</v>
      </c>
    </row>
    <row r="7" spans="1:22" x14ac:dyDescent="0.25">
      <c r="A7" t="s">
        <v>59</v>
      </c>
      <c r="B7" s="7">
        <v>0</v>
      </c>
      <c r="C7" s="1">
        <v>52416</v>
      </c>
      <c r="D7" s="5">
        <v>400000</v>
      </c>
      <c r="E7">
        <v>87.691000000000003</v>
      </c>
      <c r="F7" s="6">
        <v>0</v>
      </c>
      <c r="G7" s="8">
        <f>YIELD(B1,C7,B7,E7,100,1,1)</f>
        <v>6.1019169939464006E-3</v>
      </c>
      <c r="H7" s="9">
        <f>MDURATION(B1,C7,B7,G7,1,1)</f>
        <v>21.460828627014461</v>
      </c>
      <c r="I7" s="1">
        <f>COUPPCD($B$1,C7,1,1)</f>
        <v>44381</v>
      </c>
      <c r="J7" s="1">
        <f>COUPNCD($B$1,C7,1,1)</f>
        <v>44746</v>
      </c>
      <c r="K7" s="10">
        <f t="shared" si="1"/>
        <v>350764.00000000006</v>
      </c>
      <c r="L7">
        <f>K7/$K$8</f>
        <v>0.3635732018691516</v>
      </c>
      <c r="R7">
        <f>SUM(R4:R6)</f>
        <v>248.20515644346776</v>
      </c>
      <c r="T7">
        <f>R7/(E5+F5)</f>
        <v>2.4767171228835685</v>
      </c>
    </row>
    <row r="8" spans="1:22" x14ac:dyDescent="0.25">
      <c r="D8" s="11">
        <f>SUM(D5:D7)</f>
        <v>1000000</v>
      </c>
      <c r="H8" s="9">
        <f t="array" ref="H8">MMULT(TRANSPOSE(H5:H7),L5:L7)</f>
        <v>11.20530949623409</v>
      </c>
      <c r="J8" s="1"/>
      <c r="K8" s="10">
        <f>SUM(K5:K7)</f>
        <v>964768.57534246566</v>
      </c>
    </row>
    <row r="9" spans="1:22" x14ac:dyDescent="0.25">
      <c r="J9" s="1"/>
    </row>
    <row r="10" spans="1:22" x14ac:dyDescent="0.25">
      <c r="B10" t="s">
        <v>5</v>
      </c>
      <c r="C10" t="s">
        <v>16</v>
      </c>
      <c r="D10" t="s">
        <v>17</v>
      </c>
      <c r="E10" t="s">
        <v>18</v>
      </c>
      <c r="F10" t="s">
        <v>19</v>
      </c>
      <c r="G10" t="s">
        <v>8</v>
      </c>
      <c r="H10" t="s">
        <v>20</v>
      </c>
      <c r="I10" t="s">
        <v>21</v>
      </c>
      <c r="J10" s="1" t="s">
        <v>22</v>
      </c>
    </row>
    <row r="11" spans="1:22" x14ac:dyDescent="0.25">
      <c r="A11" t="str">
        <f>+B21</f>
        <v>DE0001102531</v>
      </c>
      <c r="B11" s="7">
        <f>+B22</f>
        <v>0</v>
      </c>
      <c r="C11" s="1">
        <f>+B23</f>
        <v>47894</v>
      </c>
      <c r="D11" s="1">
        <f>+B24</f>
        <v>44202</v>
      </c>
      <c r="E11" s="1">
        <f>+D11</f>
        <v>44202</v>
      </c>
      <c r="F11" s="1">
        <f>COUPNCD($B$1,C11,1,1)</f>
        <v>44607</v>
      </c>
      <c r="G11">
        <v>98.275999999999996</v>
      </c>
      <c r="H11" s="6">
        <v>0</v>
      </c>
      <c r="I11" s="8">
        <f>ODDFYIELD($B$1,C11,D11,F11,B11,G11,100,1,1)</f>
        <v>1.8897886969763559E-3</v>
      </c>
      <c r="J11" s="9">
        <f>MDURATION($B$1,C11,B11,I11,1,1)</f>
        <v>9.1935849711464233</v>
      </c>
    </row>
    <row r="12" spans="1:22" x14ac:dyDescent="0.25">
      <c r="A12" t="str">
        <f>+C21</f>
        <v>DE0001102564</v>
      </c>
      <c r="B12" s="7">
        <f>+C22</f>
        <v>0</v>
      </c>
      <c r="C12" s="1">
        <f>+C23</f>
        <v>48075</v>
      </c>
      <c r="D12" s="1">
        <f>+C24</f>
        <v>44363</v>
      </c>
      <c r="E12" s="1">
        <f>D12</f>
        <v>44363</v>
      </c>
      <c r="F12" s="1">
        <f>COUPNCD($B$1,C12,1,1)</f>
        <v>44788</v>
      </c>
      <c r="G12">
        <v>98.093000000000004</v>
      </c>
      <c r="H12" s="6">
        <v>0</v>
      </c>
      <c r="I12" s="8">
        <f>ODDFYIELD($B$1,C12,D12,F12,B12,G12,100,1,1)</f>
        <v>1.9855347126276589E-3</v>
      </c>
      <c r="J12" s="9">
        <f>MDURATION($B$1,C12,B12,I12,1,1)</f>
        <v>9.6876142207506462</v>
      </c>
    </row>
    <row r="13" spans="1:22" x14ac:dyDescent="0.25">
      <c r="J13" s="1"/>
    </row>
    <row r="14" spans="1:22" x14ac:dyDescent="0.25">
      <c r="J14" s="1"/>
    </row>
    <row r="15" spans="1:22" x14ac:dyDescent="0.25">
      <c r="A15" t="s">
        <v>0</v>
      </c>
      <c r="B15" s="1">
        <f>+B1</f>
        <v>44530</v>
      </c>
      <c r="J15" s="1"/>
      <c r="M15" s="43" t="str">
        <f>+A11</f>
        <v>DE0001102531</v>
      </c>
      <c r="N15" s="44"/>
      <c r="O15" s="44"/>
      <c r="P15" s="44"/>
      <c r="Q15" s="45"/>
      <c r="R15" s="43" t="str">
        <f>+A12</f>
        <v>DE0001102564</v>
      </c>
      <c r="S15" s="44"/>
      <c r="T15" s="44"/>
      <c r="U15" s="44"/>
      <c r="V15" s="45"/>
    </row>
    <row r="16" spans="1:22" x14ac:dyDescent="0.25">
      <c r="A16" t="s">
        <v>23</v>
      </c>
      <c r="B16">
        <v>164.53</v>
      </c>
      <c r="J16" s="1"/>
      <c r="M16" s="12"/>
      <c r="N16" s="13" t="s">
        <v>2</v>
      </c>
      <c r="O16" s="13" t="s">
        <v>3</v>
      </c>
      <c r="P16" s="13" t="s">
        <v>24</v>
      </c>
      <c r="Q16" s="14" t="s">
        <v>25</v>
      </c>
      <c r="R16" s="12"/>
      <c r="S16" s="13" t="s">
        <v>2</v>
      </c>
      <c r="T16" s="13" t="s">
        <v>3</v>
      </c>
      <c r="U16" s="13" t="s">
        <v>24</v>
      </c>
      <c r="V16" s="14" t="s">
        <v>25</v>
      </c>
    </row>
    <row r="17" spans="1:23" x14ac:dyDescent="0.25">
      <c r="A17" t="s">
        <v>26</v>
      </c>
      <c r="B17" s="1">
        <v>44630</v>
      </c>
      <c r="G17" t="s">
        <v>27</v>
      </c>
      <c r="J17" s="1"/>
      <c r="M17" s="15">
        <f>EDATE(M19,-12)</f>
        <v>44242</v>
      </c>
      <c r="N17" s="13">
        <v>0</v>
      </c>
      <c r="O17" s="13">
        <v>0</v>
      </c>
      <c r="P17" s="13">
        <f>O17*(1+$N$33)^-N17</f>
        <v>0</v>
      </c>
      <c r="Q17" s="14">
        <f>N17*O17*(1+$N$33)^-(N17+1)</f>
        <v>0</v>
      </c>
      <c r="R17" s="15">
        <f>EDATE(R19,-12)</f>
        <v>44423</v>
      </c>
      <c r="S17" s="13">
        <v>0</v>
      </c>
      <c r="T17" s="13">
        <v>0</v>
      </c>
      <c r="U17" s="13">
        <f t="shared" ref="U17:U28" si="3">T17*(1+$S$33)^-S17</f>
        <v>0</v>
      </c>
      <c r="V17" s="14">
        <f>S17*T17*(1+$S$33)^-(S17+1)</f>
        <v>0</v>
      </c>
      <c r="W17" s="2"/>
    </row>
    <row r="18" spans="1:23" x14ac:dyDescent="0.25">
      <c r="A18" t="s">
        <v>6</v>
      </c>
      <c r="B18">
        <f>B17-B15</f>
        <v>100</v>
      </c>
      <c r="H18" s="10">
        <f>K8*-H8*-0.2%</f>
        <v>21621.060957906328</v>
      </c>
      <c r="J18" s="1"/>
      <c r="L18" s="2"/>
      <c r="M18" s="15">
        <f>B1</f>
        <v>44530</v>
      </c>
      <c r="N18" s="13">
        <v>0</v>
      </c>
      <c r="O18" s="13">
        <v>0</v>
      </c>
      <c r="P18" s="13">
        <f t="shared" ref="P18:P28" si="4">O18*(1+$N$33)^-N18</f>
        <v>0</v>
      </c>
      <c r="Q18" s="14">
        <f t="shared" ref="Q18:Q28" si="5">N18*O18*(1+$N$33)^-(N18+1)</f>
        <v>0</v>
      </c>
      <c r="R18" s="15">
        <f>M18</f>
        <v>44530</v>
      </c>
      <c r="S18" s="13">
        <v>0</v>
      </c>
      <c r="T18" s="13">
        <v>0</v>
      </c>
      <c r="U18" s="13">
        <f t="shared" si="3"/>
        <v>0</v>
      </c>
      <c r="V18" s="14">
        <f t="shared" ref="V18:V28" si="6">S18*T18*(1+$S$33)^-(S18+1)</f>
        <v>0</v>
      </c>
      <c r="W18" s="2"/>
    </row>
    <row r="19" spans="1:23" x14ac:dyDescent="0.25">
      <c r="A19" t="s">
        <v>28</v>
      </c>
      <c r="B19" s="16">
        <v>1E-3</v>
      </c>
      <c r="J19" s="1"/>
      <c r="M19" s="15">
        <f>F11</f>
        <v>44607</v>
      </c>
      <c r="N19" s="13">
        <f>(M19-M18)/(M19-M17)</f>
        <v>0.21095890410958903</v>
      </c>
      <c r="O19" s="17">
        <v>0</v>
      </c>
      <c r="P19" s="13">
        <f t="shared" si="4"/>
        <v>0</v>
      </c>
      <c r="Q19" s="14">
        <f t="shared" si="5"/>
        <v>0</v>
      </c>
      <c r="R19" s="15">
        <f>F12</f>
        <v>44788</v>
      </c>
      <c r="S19" s="13">
        <f>(R19-R18)/(R19-R17)</f>
        <v>0.70684931506849313</v>
      </c>
      <c r="T19" s="17">
        <v>0</v>
      </c>
      <c r="U19" s="13">
        <f>T19*(1+$S$33)^-S19</f>
        <v>0</v>
      </c>
      <c r="V19" s="14">
        <f t="shared" si="6"/>
        <v>0</v>
      </c>
      <c r="W19" s="2"/>
    </row>
    <row r="20" spans="1:23" x14ac:dyDescent="0.25">
      <c r="B20" s="16"/>
      <c r="J20" s="1"/>
      <c r="M20" s="15">
        <f>EDATE(M19,12)</f>
        <v>44972</v>
      </c>
      <c r="N20" s="13">
        <f t="shared" ref="N20:N28" si="7">1+N19</f>
        <v>1.210958904109589</v>
      </c>
      <c r="O20" s="17">
        <f>B11*100</f>
        <v>0</v>
      </c>
      <c r="P20" s="13">
        <f t="shared" si="4"/>
        <v>0</v>
      </c>
      <c r="Q20" s="14">
        <f t="shared" si="5"/>
        <v>0</v>
      </c>
      <c r="R20" s="15">
        <f>EDATE(R19,12)</f>
        <v>45153</v>
      </c>
      <c r="S20" s="13">
        <f t="shared" ref="S20:S28" si="8">1+S19</f>
        <v>1.7068493150684931</v>
      </c>
      <c r="T20" s="17">
        <f>100*B12</f>
        <v>0</v>
      </c>
      <c r="U20" s="13">
        <f t="shared" si="3"/>
        <v>0</v>
      </c>
      <c r="V20" s="14">
        <f t="shared" si="6"/>
        <v>0</v>
      </c>
    </row>
    <row r="21" spans="1:23" x14ac:dyDescent="0.25">
      <c r="B21" t="s">
        <v>60</v>
      </c>
      <c r="C21" t="s">
        <v>61</v>
      </c>
      <c r="J21" s="1"/>
      <c r="M21" s="15">
        <f t="shared" ref="M21:M28" si="9">EDATE(M20,12)</f>
        <v>45337</v>
      </c>
      <c r="N21" s="13">
        <f t="shared" si="7"/>
        <v>2.2109589041095887</v>
      </c>
      <c r="O21" s="17">
        <f>O20</f>
        <v>0</v>
      </c>
      <c r="P21" s="13">
        <f t="shared" si="4"/>
        <v>0</v>
      </c>
      <c r="Q21" s="14">
        <f t="shared" si="5"/>
        <v>0</v>
      </c>
      <c r="R21" s="15">
        <f t="shared" ref="R21:R28" si="10">EDATE(R20,12)</f>
        <v>45519</v>
      </c>
      <c r="S21" s="13">
        <f t="shared" si="8"/>
        <v>2.7068493150684931</v>
      </c>
      <c r="T21" s="17">
        <f>T20</f>
        <v>0</v>
      </c>
      <c r="U21" s="13">
        <f t="shared" si="3"/>
        <v>0</v>
      </c>
      <c r="V21" s="14">
        <f t="shared" si="6"/>
        <v>0</v>
      </c>
    </row>
    <row r="22" spans="1:23" x14ac:dyDescent="0.25">
      <c r="A22" t="s">
        <v>29</v>
      </c>
      <c r="B22" s="18">
        <v>0</v>
      </c>
      <c r="C22" s="18">
        <v>0</v>
      </c>
      <c r="J22" s="1"/>
      <c r="M22" s="15">
        <f t="shared" si="9"/>
        <v>45703</v>
      </c>
      <c r="N22" s="13">
        <f t="shared" si="7"/>
        <v>3.2109589041095887</v>
      </c>
      <c r="O22" s="17">
        <f t="shared" ref="O22:O27" si="11">O21</f>
        <v>0</v>
      </c>
      <c r="P22" s="13">
        <f t="shared" si="4"/>
        <v>0</v>
      </c>
      <c r="Q22" s="14">
        <f t="shared" si="5"/>
        <v>0</v>
      </c>
      <c r="R22" s="15">
        <f t="shared" si="10"/>
        <v>45884</v>
      </c>
      <c r="S22" s="13">
        <f t="shared" si="8"/>
        <v>3.7068493150684931</v>
      </c>
      <c r="T22" s="17">
        <f t="shared" ref="T22:T27" si="12">T21</f>
        <v>0</v>
      </c>
      <c r="U22" s="13">
        <f t="shared" si="3"/>
        <v>0</v>
      </c>
      <c r="V22" s="14">
        <f t="shared" si="6"/>
        <v>0</v>
      </c>
    </row>
    <row r="23" spans="1:23" x14ac:dyDescent="0.25">
      <c r="A23" t="s">
        <v>6</v>
      </c>
      <c r="B23" s="1">
        <v>47894</v>
      </c>
      <c r="C23" s="1">
        <v>48075</v>
      </c>
      <c r="J23" s="1"/>
      <c r="M23" s="15">
        <f t="shared" si="9"/>
        <v>46068</v>
      </c>
      <c r="N23" s="13">
        <f t="shared" si="7"/>
        <v>4.2109589041095887</v>
      </c>
      <c r="O23" s="17">
        <f t="shared" si="11"/>
        <v>0</v>
      </c>
      <c r="P23" s="13">
        <f t="shared" si="4"/>
        <v>0</v>
      </c>
      <c r="Q23" s="14">
        <f t="shared" si="5"/>
        <v>0</v>
      </c>
      <c r="R23" s="15">
        <f t="shared" si="10"/>
        <v>46249</v>
      </c>
      <c r="S23" s="13">
        <f t="shared" si="8"/>
        <v>4.7068493150684931</v>
      </c>
      <c r="T23" s="17">
        <f t="shared" si="12"/>
        <v>0</v>
      </c>
      <c r="U23" s="13">
        <f t="shared" si="3"/>
        <v>0</v>
      </c>
      <c r="V23" s="14">
        <f t="shared" si="6"/>
        <v>0</v>
      </c>
    </row>
    <row r="24" spans="1:23" x14ac:dyDescent="0.25">
      <c r="A24" t="s">
        <v>30</v>
      </c>
      <c r="B24" s="1">
        <v>44202</v>
      </c>
      <c r="C24" s="1">
        <v>44363</v>
      </c>
      <c r="J24" s="1"/>
      <c r="M24" s="15">
        <f t="shared" si="9"/>
        <v>46433</v>
      </c>
      <c r="N24" s="13">
        <f t="shared" si="7"/>
        <v>5.2109589041095887</v>
      </c>
      <c r="O24" s="17">
        <f t="shared" si="11"/>
        <v>0</v>
      </c>
      <c r="P24" s="13">
        <f t="shared" si="4"/>
        <v>0</v>
      </c>
      <c r="Q24" s="14">
        <f t="shared" si="5"/>
        <v>0</v>
      </c>
      <c r="R24" s="15">
        <f t="shared" si="10"/>
        <v>46614</v>
      </c>
      <c r="S24" s="13">
        <f t="shared" si="8"/>
        <v>5.7068493150684931</v>
      </c>
      <c r="T24" s="17">
        <f t="shared" si="12"/>
        <v>0</v>
      </c>
      <c r="U24" s="13">
        <f t="shared" si="3"/>
        <v>0</v>
      </c>
      <c r="V24" s="14">
        <f t="shared" si="6"/>
        <v>0</v>
      </c>
    </row>
    <row r="25" spans="1:23" x14ac:dyDescent="0.25">
      <c r="A25" t="s">
        <v>31</v>
      </c>
      <c r="B25" s="1">
        <f>COUPNCD($B$17,B23,1,1)</f>
        <v>44972</v>
      </c>
      <c r="C25" s="1">
        <f>COUPNCD($B$15,C23,1,1)</f>
        <v>44788</v>
      </c>
      <c r="J25" s="1"/>
      <c r="M25" s="15">
        <f t="shared" si="9"/>
        <v>46798</v>
      </c>
      <c r="N25" s="13">
        <f t="shared" si="7"/>
        <v>6.2109589041095887</v>
      </c>
      <c r="O25" s="17">
        <f t="shared" si="11"/>
        <v>0</v>
      </c>
      <c r="P25" s="13">
        <f t="shared" si="4"/>
        <v>0</v>
      </c>
      <c r="Q25" s="14">
        <f t="shared" si="5"/>
        <v>0</v>
      </c>
      <c r="R25" s="15">
        <f t="shared" si="10"/>
        <v>46980</v>
      </c>
      <c r="S25" s="13">
        <f t="shared" si="8"/>
        <v>6.7068493150684931</v>
      </c>
      <c r="T25" s="17">
        <f t="shared" si="12"/>
        <v>0</v>
      </c>
      <c r="U25" s="13">
        <f t="shared" si="3"/>
        <v>0</v>
      </c>
      <c r="V25" s="14">
        <f t="shared" si="6"/>
        <v>0</v>
      </c>
    </row>
    <row r="26" spans="1:23" x14ac:dyDescent="0.25">
      <c r="A26" t="s">
        <v>32</v>
      </c>
      <c r="B26" s="1">
        <f>COUPPCD($B$17,B23,1,1)</f>
        <v>44607</v>
      </c>
      <c r="C26" s="1">
        <f>+C24</f>
        <v>44363</v>
      </c>
      <c r="J26" s="1"/>
      <c r="M26" s="15">
        <f t="shared" si="9"/>
        <v>47164</v>
      </c>
      <c r="N26" s="13">
        <f t="shared" si="7"/>
        <v>7.2109589041095887</v>
      </c>
      <c r="O26" s="17">
        <f t="shared" si="11"/>
        <v>0</v>
      </c>
      <c r="P26" s="13">
        <f t="shared" si="4"/>
        <v>0</v>
      </c>
      <c r="Q26" s="14">
        <f t="shared" si="5"/>
        <v>0</v>
      </c>
      <c r="R26" s="15">
        <f t="shared" si="10"/>
        <v>47345</v>
      </c>
      <c r="S26" s="13">
        <f t="shared" si="8"/>
        <v>7.7068493150684931</v>
      </c>
      <c r="T26" s="17">
        <f t="shared" si="12"/>
        <v>0</v>
      </c>
      <c r="U26" s="13">
        <f t="shared" si="3"/>
        <v>0</v>
      </c>
      <c r="V26" s="14">
        <f t="shared" si="6"/>
        <v>0</v>
      </c>
    </row>
    <row r="27" spans="1:23" x14ac:dyDescent="0.25">
      <c r="A27" t="s">
        <v>33</v>
      </c>
      <c r="B27" s="19">
        <f>EDATE(B25,-12)</f>
        <v>44607</v>
      </c>
      <c r="C27" s="19">
        <f>EDATE(C25,-12)</f>
        <v>44423</v>
      </c>
      <c r="J27" s="1"/>
      <c r="M27" s="15">
        <f t="shared" si="9"/>
        <v>47529</v>
      </c>
      <c r="N27" s="13">
        <f t="shared" si="7"/>
        <v>8.2109589041095887</v>
      </c>
      <c r="O27" s="17">
        <f t="shared" si="11"/>
        <v>0</v>
      </c>
      <c r="P27" s="13">
        <f t="shared" si="4"/>
        <v>0</v>
      </c>
      <c r="Q27" s="14">
        <f t="shared" si="5"/>
        <v>0</v>
      </c>
      <c r="R27" s="15">
        <f t="shared" si="10"/>
        <v>47710</v>
      </c>
      <c r="S27" s="13">
        <f t="shared" si="8"/>
        <v>8.7068493150684922</v>
      </c>
      <c r="T27" s="17">
        <f t="shared" si="12"/>
        <v>0</v>
      </c>
      <c r="U27" s="13">
        <f t="shared" si="3"/>
        <v>0</v>
      </c>
      <c r="V27" s="14">
        <f t="shared" si="6"/>
        <v>0</v>
      </c>
    </row>
    <row r="28" spans="1:23" x14ac:dyDescent="0.25">
      <c r="A28" t="s">
        <v>34</v>
      </c>
      <c r="B28" s="19">
        <f>EDATE(B25,-24)</f>
        <v>44242</v>
      </c>
      <c r="C28" s="19">
        <f>EDATE(C25,-24)</f>
        <v>44058</v>
      </c>
      <c r="J28" s="1"/>
      <c r="M28" s="15">
        <f t="shared" si="9"/>
        <v>47894</v>
      </c>
      <c r="N28" s="13">
        <f t="shared" si="7"/>
        <v>9.2109589041095887</v>
      </c>
      <c r="O28" s="17">
        <f>O27+100</f>
        <v>100</v>
      </c>
      <c r="P28" s="13">
        <f t="shared" si="4"/>
        <v>98.276000004063462</v>
      </c>
      <c r="Q28" s="14">
        <f t="shared" si="5"/>
        <v>903.50875666174375</v>
      </c>
      <c r="R28" s="15">
        <f t="shared" si="10"/>
        <v>48075</v>
      </c>
      <c r="S28" s="13">
        <f t="shared" si="8"/>
        <v>9.7068493150684922</v>
      </c>
      <c r="T28" s="17">
        <f>T27+100</f>
        <v>100</v>
      </c>
      <c r="U28" s="13">
        <f t="shared" si="3"/>
        <v>99.753640001046094</v>
      </c>
      <c r="V28" s="14">
        <f t="shared" si="6"/>
        <v>968.0475270969896</v>
      </c>
    </row>
    <row r="29" spans="1:23" x14ac:dyDescent="0.25">
      <c r="A29" t="s">
        <v>35</v>
      </c>
      <c r="B29" s="20">
        <f>B27-$B$17</f>
        <v>-23</v>
      </c>
      <c r="C29" s="20">
        <f>C27-$B$17</f>
        <v>-207</v>
      </c>
      <c r="J29" s="1"/>
      <c r="M29" s="12"/>
      <c r="N29" s="13"/>
      <c r="O29" s="13"/>
      <c r="P29" s="13"/>
      <c r="Q29" s="14"/>
      <c r="R29" s="12"/>
      <c r="S29" s="13"/>
      <c r="T29" s="13"/>
      <c r="U29" s="13"/>
      <c r="V29" s="14"/>
    </row>
    <row r="30" spans="1:23" x14ac:dyDescent="0.25">
      <c r="A30" t="s">
        <v>36</v>
      </c>
      <c r="B30" s="20">
        <f>B27-B26</f>
        <v>0</v>
      </c>
      <c r="C30" s="20">
        <f>C27-C26</f>
        <v>60</v>
      </c>
      <c r="M30" s="12"/>
      <c r="N30" s="13"/>
      <c r="O30" s="13"/>
      <c r="P30" s="13">
        <f>SUM(P17:P28)</f>
        <v>98.276000004063462</v>
      </c>
      <c r="Q30" s="14">
        <f>SUM(Q17:Q28)</f>
        <v>903.50875666174375</v>
      </c>
      <c r="R30" s="12"/>
      <c r="S30" s="13"/>
      <c r="T30" s="13"/>
      <c r="U30" s="13">
        <f>SUM(U17:U28)</f>
        <v>99.753640001046094</v>
      </c>
      <c r="V30" s="14">
        <f>SUM(V17:V28)</f>
        <v>968.0475270969896</v>
      </c>
    </row>
    <row r="31" spans="1:23" x14ac:dyDescent="0.25">
      <c r="A31" t="s">
        <v>37</v>
      </c>
      <c r="B31" s="20">
        <f>IF(B29&lt;0,B25-B27,B27-B28)</f>
        <v>365</v>
      </c>
      <c r="C31" s="20">
        <f>IF(C29&lt;0,C25-C27,C27-C28)</f>
        <v>365</v>
      </c>
      <c r="M31" s="12"/>
      <c r="N31" s="13"/>
      <c r="O31" s="13"/>
      <c r="P31" s="17">
        <f>P30-G11-H11</f>
        <v>4.0634660081195761E-9</v>
      </c>
      <c r="Q31" s="14"/>
      <c r="R31" s="12"/>
      <c r="S31" s="13"/>
      <c r="T31" s="13"/>
      <c r="U31" s="17">
        <f>U30-G12-H12</f>
        <v>1.6606400010460902</v>
      </c>
      <c r="V31" s="14"/>
    </row>
    <row r="32" spans="1:23" x14ac:dyDescent="0.25">
      <c r="A32" t="s">
        <v>38</v>
      </c>
      <c r="B32" s="20">
        <f>IF(B30&lt;0,B25-B27,B27-B28)</f>
        <v>365</v>
      </c>
      <c r="C32" s="20">
        <f>IF(C30&lt;0,C25-C27,C27-C28)</f>
        <v>365</v>
      </c>
      <c r="M32" s="12"/>
      <c r="N32" s="13"/>
      <c r="O32" s="13"/>
      <c r="P32" s="13"/>
      <c r="Q32" s="14"/>
      <c r="R32" s="12"/>
      <c r="S32" s="13"/>
      <c r="T32" s="13"/>
      <c r="U32" s="13"/>
      <c r="V32" s="14"/>
    </row>
    <row r="33" spans="1:22" x14ac:dyDescent="0.25">
      <c r="A33" t="s">
        <v>39</v>
      </c>
      <c r="B33">
        <f>1+B29/B31</f>
        <v>0.93698630136986305</v>
      </c>
      <c r="C33">
        <f>1+C29/C31</f>
        <v>0.43287671232876712</v>
      </c>
      <c r="M33" s="12" t="s">
        <v>10</v>
      </c>
      <c r="N33" s="21">
        <f>I11</f>
        <v>1.8897886969763559E-3</v>
      </c>
      <c r="O33" s="13"/>
      <c r="P33" s="13"/>
      <c r="Q33" s="14"/>
      <c r="R33" s="12" t="s">
        <v>10</v>
      </c>
      <c r="S33" s="21">
        <v>2.5414560325520344E-4</v>
      </c>
      <c r="T33" s="13"/>
      <c r="U33" s="13"/>
      <c r="V33" s="14"/>
    </row>
    <row r="34" spans="1:22" x14ac:dyDescent="0.25">
      <c r="A34" t="s">
        <v>40</v>
      </c>
      <c r="B34" s="2">
        <f>COUPNUM($B$17,B23,1,1)-1</f>
        <v>8</v>
      </c>
      <c r="C34" s="2">
        <f>COUPNUM($B$17,C23,1,1)-1</f>
        <v>9</v>
      </c>
      <c r="M34" s="22" t="s">
        <v>22</v>
      </c>
      <c r="N34" s="23">
        <f>Q30/P30</f>
        <v>9.1935849711464233</v>
      </c>
      <c r="O34" s="24"/>
      <c r="P34" s="24"/>
      <c r="Q34" s="25"/>
      <c r="R34" s="22" t="s">
        <v>22</v>
      </c>
      <c r="S34" s="23">
        <f>V30/U30</f>
        <v>9.7043829887995852</v>
      </c>
      <c r="T34" s="24"/>
      <c r="U34" s="24"/>
      <c r="V34" s="25"/>
    </row>
    <row r="36" spans="1:22" x14ac:dyDescent="0.25">
      <c r="A36" t="s">
        <v>41</v>
      </c>
      <c r="B36" s="26">
        <f>ROUND((1.06^-B33)*((B22%)*(B30/B32)+(B22/6)*(1.06-1.06^-B34)+1.06^-B34)-(B22%)*(B30/B32-B29/B31),6)</f>
        <v>0.59407600000000005</v>
      </c>
      <c r="C36" s="27">
        <f>ROUND((1.06^-C33)*((C22%)*(C30/C32)+(C22/6)*(1.06-1.06^-C34)+1.06^-C34)-(C22%)*(C30/C32-C29/C31),6)</f>
        <v>0.577156</v>
      </c>
    </row>
    <row r="37" spans="1:22" x14ac:dyDescent="0.25">
      <c r="A37" t="s">
        <v>42</v>
      </c>
      <c r="B37" s="28">
        <f>B22%*(B30/B32-B29/B31)</f>
        <v>0</v>
      </c>
      <c r="C37" s="28">
        <f>C22%*(C30/C32-C29/C31)</f>
        <v>0</v>
      </c>
    </row>
    <row r="39" spans="1:22" x14ac:dyDescent="0.25">
      <c r="A39" t="s">
        <v>43</v>
      </c>
      <c r="B39">
        <f>+G11</f>
        <v>98.275999999999996</v>
      </c>
      <c r="C39">
        <f>+G12</f>
        <v>98.093000000000004</v>
      </c>
    </row>
    <row r="40" spans="1:22" x14ac:dyDescent="0.25">
      <c r="A40" t="s">
        <v>44</v>
      </c>
      <c r="B40" s="6">
        <f>+H11</f>
        <v>0</v>
      </c>
      <c r="C40" s="6">
        <f>+H12</f>
        <v>0</v>
      </c>
    </row>
    <row r="42" spans="1:22" x14ac:dyDescent="0.25">
      <c r="A42" t="s">
        <v>45</v>
      </c>
      <c r="B42">
        <v>0</v>
      </c>
      <c r="C42">
        <v>0</v>
      </c>
    </row>
    <row r="43" spans="1:22" x14ac:dyDescent="0.25">
      <c r="A43" t="s">
        <v>46</v>
      </c>
      <c r="B43">
        <f>B22*(1+B42/365)</f>
        <v>0</v>
      </c>
      <c r="C43">
        <f>C22*(1+C42/365)</f>
        <v>0</v>
      </c>
    </row>
    <row r="45" spans="1:22" x14ac:dyDescent="0.25">
      <c r="A45" t="s">
        <v>47</v>
      </c>
      <c r="B45">
        <f>B36*B16-B39</f>
        <v>-0.53267571999998609</v>
      </c>
      <c r="C45">
        <f>C36*B16-C39</f>
        <v>-3.133523320000009</v>
      </c>
    </row>
    <row r="46" spans="1:22" x14ac:dyDescent="0.25">
      <c r="A46" t="s">
        <v>48</v>
      </c>
      <c r="B46" s="29">
        <f>+B37*100-B40+B43</f>
        <v>0</v>
      </c>
      <c r="C46" s="29">
        <f>C37*100-C40</f>
        <v>0</v>
      </c>
    </row>
    <row r="47" spans="1:22" x14ac:dyDescent="0.25">
      <c r="A47" t="s">
        <v>49</v>
      </c>
      <c r="B47">
        <f>(B39+B40)*$B$19*$B$18/360</f>
        <v>2.729888888888889E-2</v>
      </c>
      <c r="C47">
        <f>(C39+C40)*$B$19*$B$18/360</f>
        <v>2.7248055555555557E-2</v>
      </c>
    </row>
    <row r="48" spans="1:22" x14ac:dyDescent="0.25">
      <c r="A48" t="s">
        <v>50</v>
      </c>
      <c r="B48">
        <f>B47-B46</f>
        <v>2.729888888888889E-2</v>
      </c>
      <c r="C48">
        <f>C47-C46</f>
        <v>2.7248055555555557E-2</v>
      </c>
    </row>
    <row r="49" spans="1:3" x14ac:dyDescent="0.25">
      <c r="A49" t="s">
        <v>51</v>
      </c>
      <c r="B49">
        <f>B45-B48</f>
        <v>-0.55997460888887496</v>
      </c>
      <c r="C49">
        <f>C45-C48</f>
        <v>-3.1607713755555644</v>
      </c>
    </row>
    <row r="50" spans="1:3" x14ac:dyDescent="0.25">
      <c r="A50" t="s">
        <v>52</v>
      </c>
      <c r="B50" s="30">
        <f>(B45+B46)/(B39+B40)*360/B18</f>
        <v>-1.951272530424468E-2</v>
      </c>
      <c r="C50" s="30">
        <f>(C45+C46)/(C39+C40)*360/B18</f>
        <v>-0.11499988737218794</v>
      </c>
    </row>
    <row r="51" spans="1:3" x14ac:dyDescent="0.25">
      <c r="A51" t="s">
        <v>53</v>
      </c>
      <c r="B51" s="9">
        <f>(B39+B47-B46)/B36</f>
        <v>165.47259759507014</v>
      </c>
      <c r="C51" s="9">
        <f>(C39+C47-C46)/C36</f>
        <v>170.00645935510602</v>
      </c>
    </row>
    <row r="53" spans="1:3" x14ac:dyDescent="0.25">
      <c r="A53" t="s">
        <v>54</v>
      </c>
      <c r="B53" s="31">
        <f>K8*H8*1%%</f>
        <v>1081.0530478953165</v>
      </c>
    </row>
    <row r="54" spans="1:3" x14ac:dyDescent="0.25">
      <c r="A54" t="s">
        <v>55</v>
      </c>
      <c r="B54" s="31">
        <f>100000*(B39+B40)%*J11*1%%/B36</f>
        <v>152.0863924185434</v>
      </c>
    </row>
    <row r="56" spans="1:3" x14ac:dyDescent="0.25">
      <c r="A56" t="s">
        <v>56</v>
      </c>
      <c r="B56" s="6">
        <f>B53/B54</f>
        <v>7.1081510364204501</v>
      </c>
    </row>
  </sheetData>
  <mergeCells count="2">
    <mergeCell ref="M15:Q15"/>
    <mergeCell ref="R15:V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Exo1</vt:lpstr>
      <vt:lpstr>Exo2</vt:lpstr>
      <vt:lpstr>Exo3</vt:lpstr>
      <vt:lpstr>Exo4</vt:lpstr>
    </vt:vector>
  </TitlesOfParts>
  <Company>UGA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PROTIN</dc:creator>
  <cp:lastModifiedBy>DELL 7280</cp:lastModifiedBy>
  <dcterms:created xsi:type="dcterms:W3CDTF">2021-11-30T18:14:11Z</dcterms:created>
  <dcterms:modified xsi:type="dcterms:W3CDTF">2023-12-23T14:59:27Z</dcterms:modified>
</cp:coreProperties>
</file>