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7280\Desktop\ENSIMAG\2A\S1\SHEME\Diagnostic-financier\TDs\corr_TDs\"/>
    </mc:Choice>
  </mc:AlternateContent>
  <bookViews>
    <workbookView xWindow="0" yWindow="0" windowWidth="20490" windowHeight="7635"/>
  </bookViews>
  <sheets>
    <sheet name="Cpte résutat  8 Industrie VT " sheetId="1" r:id="rId1"/>
    <sheet name="Cpte résultat 9 Velenick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D21" i="1"/>
  <c r="D22" i="1" l="1"/>
  <c r="D20" i="1"/>
  <c r="H14" i="2" l="1"/>
  <c r="E14" i="2"/>
  <c r="B14" i="2"/>
  <c r="H11" i="2"/>
  <c r="E11" i="2"/>
  <c r="B11" i="2"/>
  <c r="B10" i="2"/>
  <c r="B8" i="2"/>
  <c r="H7" i="2"/>
  <c r="E7" i="2"/>
  <c r="B7" i="2"/>
  <c r="H6" i="2"/>
  <c r="H12" i="2" s="1"/>
  <c r="E6" i="2"/>
  <c r="E12" i="2" s="1"/>
  <c r="B6" i="2"/>
  <c r="B12" i="2" s="1"/>
  <c r="H4" i="2"/>
  <c r="E4" i="2"/>
  <c r="E13" i="2" s="1"/>
  <c r="E15" i="2" s="1"/>
  <c r="E17" i="2" s="1"/>
  <c r="H3" i="2"/>
  <c r="E3" i="2"/>
  <c r="H2" i="2"/>
  <c r="E2" i="2"/>
  <c r="B2" i="2"/>
  <c r="B4" i="2" s="1"/>
  <c r="D19" i="1"/>
  <c r="B7" i="1"/>
  <c r="B19" i="1" s="1"/>
  <c r="D5" i="1"/>
  <c r="B5" i="1"/>
  <c r="H13" i="2" l="1"/>
  <c r="H15" i="2" s="1"/>
  <c r="H17" i="2" s="1"/>
  <c r="B13" i="2"/>
  <c r="B15" i="2" s="1"/>
  <c r="B16" i="2" l="1"/>
  <c r="B17" i="2" s="1"/>
</calcChain>
</file>

<file path=xl/sharedStrings.xml><?xml version="1.0" encoding="utf-8"?>
<sst xmlns="http://schemas.openxmlformats.org/spreadsheetml/2006/main" count="76" uniqueCount="36">
  <si>
    <t>Charges</t>
  </si>
  <si>
    <t>Produits</t>
  </si>
  <si>
    <t>Charges d'exploitation</t>
  </si>
  <si>
    <t>Produits d'exploitation</t>
  </si>
  <si>
    <t>achats de marchandises</t>
  </si>
  <si>
    <t>variation de stock de marchandises</t>
  </si>
  <si>
    <t>Variation de stock de produits finis</t>
  </si>
  <si>
    <t>Achats de matières premières</t>
  </si>
  <si>
    <t>Produits des activités annexes</t>
  </si>
  <si>
    <t>Variation de stock de matières premières</t>
  </si>
  <si>
    <t>autres charges d'exploitation</t>
  </si>
  <si>
    <t>Charges de personnel</t>
  </si>
  <si>
    <t>Dotations aux amortissements</t>
  </si>
  <si>
    <t>Impôts, taxes</t>
  </si>
  <si>
    <t>Charges financières</t>
  </si>
  <si>
    <t>Produits financiers</t>
  </si>
  <si>
    <t>Charges exceptionnelles</t>
  </si>
  <si>
    <t>bénéfice net</t>
  </si>
  <si>
    <t>Impôt sur les sociétés</t>
  </si>
  <si>
    <t>Total</t>
  </si>
  <si>
    <t>Production vendue</t>
  </si>
  <si>
    <t>Production stockée</t>
  </si>
  <si>
    <r>
      <t xml:space="preserve">Total </t>
    </r>
    <r>
      <rPr>
        <b/>
        <i/>
        <sz val="10"/>
        <color indexed="48"/>
        <rFont val="Arial"/>
        <family val="2"/>
      </rPr>
      <t>I</t>
    </r>
    <r>
      <rPr>
        <b/>
        <sz val="10"/>
        <color indexed="48"/>
        <rFont val="Arial"/>
        <family val="2"/>
      </rPr>
      <t xml:space="preserve"> produits d'exploitation</t>
    </r>
  </si>
  <si>
    <t>Matières consommées</t>
  </si>
  <si>
    <t>Sous traitance</t>
  </si>
  <si>
    <t>Autres achats et charges externes</t>
  </si>
  <si>
    <t>Impôts et taxes</t>
  </si>
  <si>
    <t>Dotations aux amortissement et aux provisions</t>
  </si>
  <si>
    <t>Total II - Charges d'exploitation</t>
  </si>
  <si>
    <t>Résultat d'exploitation (I-II)</t>
  </si>
  <si>
    <t>Résultat courant avant impôts</t>
  </si>
  <si>
    <t>Impôts sur les bénéfices</t>
  </si>
  <si>
    <t>Résultat de l'exercice</t>
  </si>
  <si>
    <t>bénéfice avant impôt</t>
  </si>
  <si>
    <t>impôt</t>
  </si>
  <si>
    <t>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</si>
</sst>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i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3" xfId="0" applyFont="1" applyBorder="1"/>
    <xf numFmtId="0" fontId="0" fillId="0" borderId="3" xfId="0" applyBorder="1"/>
    <xf numFmtId="164" fontId="1" fillId="0" borderId="3" xfId="1" applyNumberFormat="1" applyFont="1" applyBorder="1"/>
    <xf numFmtId="164" fontId="2" fillId="0" borderId="3" xfId="1" applyNumberFormat="1" applyFont="1" applyBorder="1"/>
    <xf numFmtId="0" fontId="3" fillId="2" borderId="3" xfId="0" applyFont="1" applyFill="1" applyBorder="1"/>
    <xf numFmtId="165" fontId="0" fillId="0" borderId="3" xfId="0" applyNumberFormat="1" applyBorder="1"/>
    <xf numFmtId="0" fontId="4" fillId="0" borderId="3" xfId="0" applyFont="1" applyBorder="1"/>
    <xf numFmtId="165" fontId="4" fillId="0" borderId="3" xfId="0" applyNumberFormat="1" applyFont="1" applyBorder="1"/>
    <xf numFmtId="0" fontId="0" fillId="2" borderId="3" xfId="0" applyFill="1" applyBorder="1"/>
    <xf numFmtId="165" fontId="0" fillId="2" borderId="3" xfId="0" applyNumberForma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topLeftCell="A2" workbookViewId="0">
      <selection activeCell="B18" sqref="B18"/>
    </sheetView>
  </sheetViews>
  <sheetFormatPr baseColWidth="10" defaultRowHeight="15" x14ac:dyDescent="0.25"/>
  <cols>
    <col min="1" max="1" width="39.7109375" customWidth="1"/>
    <col min="2" max="2" width="16.85546875" customWidth="1"/>
    <col min="3" max="3" width="34.42578125" customWidth="1"/>
    <col min="4" max="4" width="27.42578125" customWidth="1"/>
  </cols>
  <sheetData>
    <row r="2" spans="1:4" x14ac:dyDescent="0.25">
      <c r="A2" s="12" t="s">
        <v>0</v>
      </c>
      <c r="B2" s="13"/>
      <c r="C2" s="12" t="s">
        <v>1</v>
      </c>
      <c r="D2" s="13"/>
    </row>
    <row r="3" spans="1:4" x14ac:dyDescent="0.25">
      <c r="A3" s="1" t="s">
        <v>2</v>
      </c>
      <c r="B3" s="1"/>
      <c r="C3" s="1" t="s">
        <v>3</v>
      </c>
      <c r="D3" s="2"/>
    </row>
    <row r="4" spans="1:4" x14ac:dyDescent="0.25">
      <c r="A4" s="2" t="s">
        <v>4</v>
      </c>
      <c r="B4" s="3">
        <v>65250</v>
      </c>
      <c r="C4" s="2" t="s">
        <v>35</v>
      </c>
      <c r="D4" s="3">
        <v>1000000</v>
      </c>
    </row>
    <row r="5" spans="1:4" x14ac:dyDescent="0.25">
      <c r="A5" s="2" t="s">
        <v>5</v>
      </c>
      <c r="B5" s="3">
        <f>15230-8750</f>
        <v>6480</v>
      </c>
      <c r="C5" s="2" t="s">
        <v>6</v>
      </c>
      <c r="D5" s="3">
        <f>52500-47500</f>
        <v>5000</v>
      </c>
    </row>
    <row r="6" spans="1:4" x14ac:dyDescent="0.25">
      <c r="A6" s="2" t="s">
        <v>7</v>
      </c>
      <c r="B6" s="3">
        <v>457280</v>
      </c>
      <c r="C6" s="2" t="s">
        <v>8</v>
      </c>
      <c r="D6" s="3">
        <v>15170</v>
      </c>
    </row>
    <row r="7" spans="1:4" x14ac:dyDescent="0.25">
      <c r="A7" s="2" t="s">
        <v>9</v>
      </c>
      <c r="B7" s="3">
        <f>57800-72620</f>
        <v>-14820</v>
      </c>
      <c r="C7" s="2"/>
      <c r="D7" s="3"/>
    </row>
    <row r="8" spans="1:4" x14ac:dyDescent="0.25">
      <c r="A8" s="2" t="s">
        <v>10</v>
      </c>
      <c r="B8" s="3"/>
      <c r="C8" s="2"/>
      <c r="D8" s="3"/>
    </row>
    <row r="9" spans="1:4" x14ac:dyDescent="0.25">
      <c r="A9" s="2" t="s">
        <v>11</v>
      </c>
      <c r="B9" s="3">
        <v>385000</v>
      </c>
      <c r="C9" s="2"/>
      <c r="D9" s="3"/>
    </row>
    <row r="10" spans="1:4" x14ac:dyDescent="0.25">
      <c r="A10" s="2" t="s">
        <v>12</v>
      </c>
      <c r="B10" s="3">
        <v>56290</v>
      </c>
      <c r="C10" s="2"/>
      <c r="D10" s="3"/>
    </row>
    <row r="11" spans="1:4" x14ac:dyDescent="0.25">
      <c r="A11" s="2" t="s">
        <v>13</v>
      </c>
      <c r="B11" s="3">
        <v>46000</v>
      </c>
      <c r="C11" s="2"/>
      <c r="D11" s="3"/>
    </row>
    <row r="12" spans="1:4" x14ac:dyDescent="0.25">
      <c r="A12" s="2"/>
      <c r="B12" s="3"/>
      <c r="C12" s="2"/>
      <c r="D12" s="3"/>
    </row>
    <row r="13" spans="1:4" x14ac:dyDescent="0.25">
      <c r="A13" s="1" t="s">
        <v>14</v>
      </c>
      <c r="B13" s="3">
        <v>12800</v>
      </c>
      <c r="C13" s="1" t="s">
        <v>15</v>
      </c>
      <c r="D13" s="3">
        <v>18500</v>
      </c>
    </row>
    <row r="14" spans="1:4" x14ac:dyDescent="0.25">
      <c r="A14" s="2"/>
      <c r="B14" s="3"/>
      <c r="C14" s="2"/>
      <c r="D14" s="3"/>
    </row>
    <row r="15" spans="1:4" x14ac:dyDescent="0.25">
      <c r="A15" s="1" t="s">
        <v>16</v>
      </c>
      <c r="B15" s="3">
        <v>2500</v>
      </c>
      <c r="C15" s="2"/>
      <c r="D15" s="3"/>
    </row>
    <row r="16" spans="1:4" x14ac:dyDescent="0.25">
      <c r="A16" s="2" t="s">
        <v>17</v>
      </c>
      <c r="B16" s="3">
        <f>D22</f>
        <v>16089.15</v>
      </c>
      <c r="C16" s="2"/>
      <c r="D16" s="3"/>
    </row>
    <row r="17" spans="1:4" x14ac:dyDescent="0.25">
      <c r="A17" s="2" t="s">
        <v>18</v>
      </c>
      <c r="B17" s="3">
        <f>D21</f>
        <v>5800.85</v>
      </c>
      <c r="C17" s="2"/>
      <c r="D17" s="3"/>
    </row>
    <row r="18" spans="1:4" x14ac:dyDescent="0.25">
      <c r="A18" s="2"/>
      <c r="B18" s="3"/>
      <c r="C18" s="1"/>
      <c r="D18" s="4"/>
    </row>
    <row r="19" spans="1:4" x14ac:dyDescent="0.25">
      <c r="A19" s="1" t="s">
        <v>19</v>
      </c>
      <c r="B19" s="4">
        <f>SUM(B4:B18)</f>
        <v>1038670</v>
      </c>
      <c r="C19" s="1" t="s">
        <v>19</v>
      </c>
      <c r="D19" s="4">
        <f>SUM(D4:D18)</f>
        <v>1038670</v>
      </c>
    </row>
    <row r="20" spans="1:4" x14ac:dyDescent="0.25">
      <c r="C20" t="s">
        <v>33</v>
      </c>
      <c r="D20" s="11">
        <f>D19-SUM(B4:B15)</f>
        <v>21890</v>
      </c>
    </row>
    <row r="21" spans="1:4" x14ac:dyDescent="0.25">
      <c r="C21" t="s">
        <v>34</v>
      </c>
      <c r="D21" s="11">
        <f>D20*0.265</f>
        <v>5800.85</v>
      </c>
    </row>
    <row r="22" spans="1:4" x14ac:dyDescent="0.25">
      <c r="C22" t="s">
        <v>17</v>
      </c>
      <c r="D22" s="11">
        <f>D20-D21</f>
        <v>16089.15</v>
      </c>
    </row>
  </sheetData>
  <mergeCells count="2">
    <mergeCell ref="A2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6" sqref="B16"/>
    </sheetView>
  </sheetViews>
  <sheetFormatPr baseColWidth="10" defaultRowHeight="15" x14ac:dyDescent="0.25"/>
  <cols>
    <col min="1" max="1" width="41.28515625" customWidth="1"/>
    <col min="4" max="4" width="37.140625" customWidth="1"/>
    <col min="7" max="7" width="38" customWidth="1"/>
  </cols>
  <sheetData>
    <row r="1" spans="1:8" x14ac:dyDescent="0.25">
      <c r="A1" s="5" t="s">
        <v>3</v>
      </c>
      <c r="B1" s="5"/>
      <c r="D1" s="5" t="s">
        <v>3</v>
      </c>
      <c r="E1" s="5"/>
      <c r="G1" s="5" t="s">
        <v>3</v>
      </c>
      <c r="H1" s="5"/>
    </row>
    <row r="2" spans="1:8" x14ac:dyDescent="0.25">
      <c r="A2" s="2" t="s">
        <v>20</v>
      </c>
      <c r="B2" s="6">
        <f>1000*600</f>
        <v>600000</v>
      </c>
      <c r="D2" s="2" t="s">
        <v>20</v>
      </c>
      <c r="E2" s="6">
        <f>500*600</f>
        <v>300000</v>
      </c>
      <c r="G2" s="2" t="s">
        <v>20</v>
      </c>
      <c r="H2" s="6">
        <f>800*600</f>
        <v>480000</v>
      </c>
    </row>
    <row r="3" spans="1:8" x14ac:dyDescent="0.25">
      <c r="A3" s="2" t="s">
        <v>21</v>
      </c>
      <c r="B3" s="6"/>
      <c r="D3" s="2" t="s">
        <v>21</v>
      </c>
      <c r="E3" s="6">
        <f>500*250</f>
        <v>125000</v>
      </c>
      <c r="G3" s="2" t="s">
        <v>21</v>
      </c>
      <c r="H3" s="6">
        <f>250*-200</f>
        <v>-50000</v>
      </c>
    </row>
    <row r="4" spans="1:8" x14ac:dyDescent="0.25">
      <c r="A4" s="7" t="s">
        <v>22</v>
      </c>
      <c r="B4" s="8">
        <f>B2+B3</f>
        <v>600000</v>
      </c>
      <c r="D4" s="7" t="s">
        <v>22</v>
      </c>
      <c r="E4" s="8">
        <f>E2+E3</f>
        <v>425000</v>
      </c>
      <c r="G4" s="7" t="s">
        <v>22</v>
      </c>
      <c r="H4" s="8">
        <f>H2+H3</f>
        <v>430000</v>
      </c>
    </row>
    <row r="5" spans="1:8" x14ac:dyDescent="0.25">
      <c r="A5" s="9" t="s">
        <v>2</v>
      </c>
      <c r="B5" s="10"/>
      <c r="D5" s="9" t="s">
        <v>2</v>
      </c>
      <c r="E5" s="10"/>
      <c r="G5" s="9" t="s">
        <v>2</v>
      </c>
      <c r="H5" s="10"/>
    </row>
    <row r="6" spans="1:8" x14ac:dyDescent="0.25">
      <c r="A6" s="2" t="s">
        <v>23</v>
      </c>
      <c r="B6" s="6">
        <f>130*1000</f>
        <v>130000</v>
      </c>
      <c r="D6" s="2" t="s">
        <v>23</v>
      </c>
      <c r="E6" s="6">
        <f>130*1000</f>
        <v>130000</v>
      </c>
      <c r="G6" s="2" t="s">
        <v>23</v>
      </c>
      <c r="H6" s="6">
        <f>130*600</f>
        <v>78000</v>
      </c>
    </row>
    <row r="7" spans="1:8" x14ac:dyDescent="0.25">
      <c r="A7" s="2" t="s">
        <v>24</v>
      </c>
      <c r="B7" s="6">
        <f>70*1000</f>
        <v>70000</v>
      </c>
      <c r="D7" s="2" t="s">
        <v>24</v>
      </c>
      <c r="E7" s="6">
        <f>70*1000</f>
        <v>70000</v>
      </c>
      <c r="G7" s="2" t="s">
        <v>24</v>
      </c>
      <c r="H7" s="6">
        <f>70*600</f>
        <v>42000</v>
      </c>
    </row>
    <row r="8" spans="1:8" x14ac:dyDescent="0.25">
      <c r="A8" s="2" t="s">
        <v>25</v>
      </c>
      <c r="B8" s="6">
        <f>35000+67000</f>
        <v>102000</v>
      </c>
      <c r="D8" s="2" t="s">
        <v>25</v>
      </c>
      <c r="E8" s="6">
        <v>128000</v>
      </c>
      <c r="G8" s="2" t="s">
        <v>25</v>
      </c>
      <c r="H8" s="6">
        <v>118000</v>
      </c>
    </row>
    <row r="9" spans="1:8" x14ac:dyDescent="0.25">
      <c r="A9" s="2" t="s">
        <v>26</v>
      </c>
      <c r="B9" s="6"/>
      <c r="D9" s="2" t="s">
        <v>26</v>
      </c>
      <c r="E9" s="6"/>
      <c r="G9" s="2" t="s">
        <v>26</v>
      </c>
      <c r="H9" s="6"/>
    </row>
    <row r="10" spans="1:8" x14ac:dyDescent="0.25">
      <c r="A10" s="2" t="s">
        <v>11</v>
      </c>
      <c r="B10" s="6">
        <f>8*1500*12*1.4</f>
        <v>201600</v>
      </c>
      <c r="D10" s="2" t="s">
        <v>11</v>
      </c>
      <c r="E10" s="6">
        <v>175000</v>
      </c>
      <c r="G10" s="2" t="s">
        <v>11</v>
      </c>
      <c r="H10" s="6">
        <v>175000</v>
      </c>
    </row>
    <row r="11" spans="1:8" x14ac:dyDescent="0.25">
      <c r="A11" s="2" t="s">
        <v>27</v>
      </c>
      <c r="B11" s="6">
        <f>60000/6</f>
        <v>10000</v>
      </c>
      <c r="D11" s="2" t="s">
        <v>27</v>
      </c>
      <c r="E11" s="6">
        <f>60000/6</f>
        <v>10000</v>
      </c>
      <c r="G11" s="2" t="s">
        <v>27</v>
      </c>
      <c r="H11" s="6">
        <f>60000/6</f>
        <v>10000</v>
      </c>
    </row>
    <row r="12" spans="1:8" x14ac:dyDescent="0.25">
      <c r="A12" s="7" t="s">
        <v>28</v>
      </c>
      <c r="B12" s="8">
        <f>SUM(B6:B11)</f>
        <v>513600</v>
      </c>
      <c r="D12" s="7" t="s">
        <v>28</v>
      </c>
      <c r="E12" s="8">
        <f>SUM(E6:E11)</f>
        <v>513000</v>
      </c>
      <c r="G12" s="7" t="s">
        <v>28</v>
      </c>
      <c r="H12" s="8">
        <f>SUM(H6:H11)</f>
        <v>423000</v>
      </c>
    </row>
    <row r="13" spans="1:8" x14ac:dyDescent="0.25">
      <c r="A13" s="7" t="s">
        <v>29</v>
      </c>
      <c r="B13" s="8">
        <f>B4-B12</f>
        <v>86400</v>
      </c>
      <c r="D13" s="7" t="s">
        <v>29</v>
      </c>
      <c r="E13" s="8">
        <f>E4-E12</f>
        <v>-88000</v>
      </c>
      <c r="G13" s="7" t="s">
        <v>29</v>
      </c>
      <c r="H13" s="8">
        <f>H4-H12</f>
        <v>7000</v>
      </c>
    </row>
    <row r="14" spans="1:8" x14ac:dyDescent="0.25">
      <c r="A14" s="2" t="s">
        <v>14</v>
      </c>
      <c r="B14" s="6">
        <f>80000*0.06</f>
        <v>4800</v>
      </c>
      <c r="D14" s="2" t="s">
        <v>14</v>
      </c>
      <c r="E14" s="6">
        <f>(80000*0.06)+10200</f>
        <v>15000</v>
      </c>
      <c r="G14" s="2" t="s">
        <v>14</v>
      </c>
      <c r="H14" s="6">
        <f>(64000*0.06)+3160</f>
        <v>7000</v>
      </c>
    </row>
    <row r="15" spans="1:8" x14ac:dyDescent="0.25">
      <c r="A15" s="7" t="s">
        <v>30</v>
      </c>
      <c r="B15" s="8">
        <f>B13-B14</f>
        <v>81600</v>
      </c>
      <c r="D15" s="7" t="s">
        <v>30</v>
      </c>
      <c r="E15" s="8">
        <f>E13-E14</f>
        <v>-103000</v>
      </c>
      <c r="G15" s="7" t="s">
        <v>30</v>
      </c>
      <c r="H15" s="8">
        <f>H13-H14</f>
        <v>0</v>
      </c>
    </row>
    <row r="16" spans="1:8" x14ac:dyDescent="0.25">
      <c r="A16" s="2" t="s">
        <v>31</v>
      </c>
      <c r="B16" s="6">
        <f>B15*15%</f>
        <v>12240</v>
      </c>
      <c r="D16" s="2" t="s">
        <v>31</v>
      </c>
      <c r="E16" s="6">
        <v>0</v>
      </c>
      <c r="G16" s="2" t="s">
        <v>31</v>
      </c>
      <c r="H16" s="6">
        <v>0</v>
      </c>
    </row>
    <row r="17" spans="1:8" x14ac:dyDescent="0.25">
      <c r="A17" s="7" t="s">
        <v>32</v>
      </c>
      <c r="B17" s="8">
        <f>B15-B16</f>
        <v>69360</v>
      </c>
      <c r="D17" s="7" t="s">
        <v>32</v>
      </c>
      <c r="E17" s="8">
        <f>E15-E16</f>
        <v>-103000</v>
      </c>
      <c r="G17" s="7" t="s">
        <v>32</v>
      </c>
      <c r="H17" s="8">
        <f>H15-H16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Cpte résutat  8 Industrie VT </vt:lpstr>
      <vt:lpstr>Cpte résultat 9 Velenick</vt:lpstr>
      <vt:lpstr>Feuil3</vt:lpstr>
    </vt:vector>
  </TitlesOfParts>
  <Company>Grenoble INP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ESTIER Isabelle (estieri)</dc:creator>
  <cp:lastModifiedBy>DELL 7280</cp:lastModifiedBy>
  <dcterms:created xsi:type="dcterms:W3CDTF">2020-07-15T16:01:27Z</dcterms:created>
  <dcterms:modified xsi:type="dcterms:W3CDTF">2023-12-10T10:38:46Z</dcterms:modified>
</cp:coreProperties>
</file>