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7280\Desktop\ENSIMAG\2A\S1\SHEME\Diagnostic-financier\TDs\corr_TDs\"/>
    </mc:Choice>
  </mc:AlternateContent>
  <bookViews>
    <workbookView xWindow="0" yWindow="0" windowWidth="20490" windowHeight="7635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20" i="1"/>
  <c r="B20" i="1"/>
  <c r="M35" i="1" l="1"/>
  <c r="L35" i="1"/>
  <c r="N35" i="1" s="1"/>
  <c r="K35" i="1"/>
  <c r="N34" i="1"/>
  <c r="N33" i="1"/>
  <c r="N32" i="1"/>
  <c r="N31" i="1"/>
  <c r="N30" i="1"/>
  <c r="N29" i="1"/>
  <c r="M28" i="1"/>
  <c r="L28" i="1"/>
  <c r="K28" i="1"/>
  <c r="N28" i="1" s="1"/>
  <c r="G28" i="1"/>
  <c r="B28" i="1"/>
  <c r="N27" i="1"/>
  <c r="N25" i="1"/>
  <c r="G24" i="1"/>
  <c r="B24" i="1"/>
  <c r="G23" i="1"/>
  <c r="B23" i="1"/>
  <c r="G21" i="1"/>
  <c r="B21" i="1"/>
  <c r="L20" i="1"/>
  <c r="J20" i="1"/>
  <c r="J19" i="1"/>
  <c r="J21" i="1" s="1"/>
  <c r="B19" i="1"/>
  <c r="B25" i="1" s="1"/>
  <c r="G18" i="1"/>
  <c r="G17" i="1"/>
  <c r="G19" i="1" s="1"/>
  <c r="G25" i="1" s="1"/>
  <c r="G30" i="1" s="1"/>
  <c r="B17" i="1"/>
  <c r="D13" i="1"/>
  <c r="D10" i="1"/>
  <c r="H9" i="1"/>
  <c r="G9" i="1"/>
  <c r="L19" i="1" s="1"/>
  <c r="L21" i="1" s="1"/>
  <c r="B9" i="1"/>
  <c r="B7" i="1"/>
  <c r="B13" i="1" s="1"/>
  <c r="G32" i="1" l="1"/>
  <c r="N36" i="1"/>
</calcChain>
</file>

<file path=xl/sharedStrings.xml><?xml version="1.0" encoding="utf-8"?>
<sst xmlns="http://schemas.openxmlformats.org/spreadsheetml/2006/main" count="83" uniqueCount="66">
  <si>
    <t>Bilan Speedway d'ouverture</t>
  </si>
  <si>
    <t>Actif</t>
  </si>
  <si>
    <t>Passif</t>
  </si>
  <si>
    <t>Production</t>
  </si>
  <si>
    <t>Vente</t>
  </si>
  <si>
    <t>Immobilisations incorporelles</t>
  </si>
  <si>
    <t>Capital social</t>
  </si>
  <si>
    <t>Janvier</t>
  </si>
  <si>
    <t>Immobilisations corporelles</t>
  </si>
  <si>
    <t>Réserves et résultat</t>
  </si>
  <si>
    <t>Février</t>
  </si>
  <si>
    <t>Immobilisations financières</t>
  </si>
  <si>
    <t>Provision pour risques et charges</t>
  </si>
  <si>
    <t>Mars</t>
  </si>
  <si>
    <t>Stocks de matières premières</t>
  </si>
  <si>
    <t>Dettes bancaires</t>
  </si>
  <si>
    <t>Total</t>
  </si>
  <si>
    <t>créances clients</t>
  </si>
  <si>
    <t>Dettes d’exploitation</t>
  </si>
  <si>
    <t>Valeurs mobilières de placement</t>
  </si>
  <si>
    <t>Disponibilités</t>
  </si>
  <si>
    <t>Total actif</t>
  </si>
  <si>
    <t>Total passif</t>
  </si>
  <si>
    <t>Compte de résultat Speedway  prévisionnel janvier/février</t>
  </si>
  <si>
    <t>Compte de résultat Speedway janvier/février/mars</t>
  </si>
  <si>
    <t>Stocks MP</t>
  </si>
  <si>
    <t xml:space="preserve"> Stocks produits finis</t>
  </si>
  <si>
    <t>Production vendue</t>
  </si>
  <si>
    <t>Production stockée</t>
  </si>
  <si>
    <t>stock initial</t>
  </si>
  <si>
    <t>Produits d'exploitation</t>
  </si>
  <si>
    <t>achats</t>
  </si>
  <si>
    <t>production</t>
  </si>
  <si>
    <t>consommation</t>
  </si>
  <si>
    <t>vente</t>
  </si>
  <si>
    <t>Autres achats et charges externes</t>
  </si>
  <si>
    <t>stock final</t>
  </si>
  <si>
    <t>Charges de personnel</t>
  </si>
  <si>
    <t>Dotations aux amortissements et aux provisions</t>
  </si>
  <si>
    <t>Charges d'exploitation</t>
  </si>
  <si>
    <t>Trésorerie</t>
  </si>
  <si>
    <t>01/01/N</t>
  </si>
  <si>
    <t>31/01/N</t>
  </si>
  <si>
    <t>28/02/N</t>
  </si>
  <si>
    <t>31/03/N</t>
  </si>
  <si>
    <t>Résultat d'exploitation</t>
  </si>
  <si>
    <t>Solde initial</t>
  </si>
  <si>
    <t>Produits financiers</t>
  </si>
  <si>
    <t>Encaissements</t>
  </si>
  <si>
    <t>Charges financières</t>
  </si>
  <si>
    <t>Emprunt</t>
  </si>
  <si>
    <t>Résultat financier</t>
  </si>
  <si>
    <t>Ventes</t>
  </si>
  <si>
    <t>Résultat exceptionnel</t>
  </si>
  <si>
    <t>Décaissements</t>
  </si>
  <si>
    <t>Résultat avant impôt</t>
  </si>
  <si>
    <t>Achat matières premières</t>
  </si>
  <si>
    <t>impot</t>
  </si>
  <si>
    <t>Loyers</t>
  </si>
  <si>
    <t>Résultat net</t>
  </si>
  <si>
    <t>Frais de personnel</t>
  </si>
  <si>
    <t>charges diverses</t>
  </si>
  <si>
    <t>Intérêts</t>
  </si>
  <si>
    <t>Remboursement</t>
  </si>
  <si>
    <t>Solde final</t>
  </si>
  <si>
    <t>Charges de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</si>
</sst>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3" fontId="5" fillId="0" borderId="7" xfId="0" applyNumberFormat="1" applyFont="1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7" xfId="0" applyFont="1" applyBorder="1"/>
    <xf numFmtId="0" fontId="0" fillId="0" borderId="14" xfId="0" applyBorder="1" applyAlignment="1"/>
    <xf numFmtId="0" fontId="3" fillId="0" borderId="4" xfId="0" applyFont="1" applyBorder="1" applyAlignment="1">
      <alignment vertical="center"/>
    </xf>
    <xf numFmtId="164" fontId="3" fillId="0" borderId="5" xfId="0" applyNumberFormat="1" applyFont="1" applyBorder="1" applyAlignment="1">
      <alignment horizontal="right" vertical="center"/>
    </xf>
    <xf numFmtId="0" fontId="0" fillId="0" borderId="15" xfId="0" applyBorder="1" applyAlignment="1"/>
    <xf numFmtId="0" fontId="0" fillId="0" borderId="16" xfId="0" applyBorder="1" applyAlignment="1"/>
    <xf numFmtId="164" fontId="3" fillId="0" borderId="7" xfId="0" applyNumberFormat="1" applyFont="1" applyBorder="1" applyAlignment="1">
      <alignment horizontal="right" vertical="center"/>
    </xf>
    <xf numFmtId="0" fontId="0" fillId="0" borderId="10" xfId="0" applyBorder="1"/>
    <xf numFmtId="0" fontId="6" fillId="0" borderId="6" xfId="0" applyFont="1" applyBorder="1" applyAlignment="1">
      <alignment vertical="center"/>
    </xf>
    <xf numFmtId="164" fontId="6" fillId="0" borderId="7" xfId="0" applyNumberFormat="1" applyFont="1" applyBorder="1" applyAlignment="1">
      <alignment horizontal="right" vertic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7" xfId="0" applyFont="1" applyBorder="1"/>
    <xf numFmtId="0" fontId="1" fillId="0" borderId="20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6" fillId="0" borderId="8" xfId="0" applyFont="1" applyBorder="1" applyAlignment="1">
      <alignment vertical="center"/>
    </xf>
    <xf numFmtId="164" fontId="3" fillId="0" borderId="9" xfId="0" applyNumberFormat="1" applyFont="1" applyBorder="1" applyAlignment="1">
      <alignment horizontal="right" vertical="center"/>
    </xf>
    <xf numFmtId="164" fontId="0" fillId="0" borderId="0" xfId="0" applyNumberFormat="1"/>
    <xf numFmtId="164" fontId="0" fillId="0" borderId="10" xfId="0" applyNumberFormat="1" applyBorder="1"/>
    <xf numFmtId="0" fontId="0" fillId="2" borderId="2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1" fillId="0" borderId="28" xfId="0" applyFont="1" applyBorder="1"/>
    <xf numFmtId="0" fontId="0" fillId="0" borderId="29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6"/>
  <sheetViews>
    <sheetView tabSelected="1" zoomScaleNormal="100" workbookViewId="0">
      <selection activeCell="B23" sqref="B23"/>
    </sheetView>
  </sheetViews>
  <sheetFormatPr baseColWidth="10" defaultRowHeight="15" x14ac:dyDescent="0.25"/>
  <cols>
    <col min="1" max="1" width="36.42578125" customWidth="1"/>
    <col min="3" max="3" width="29.42578125" customWidth="1"/>
    <col min="5" max="5" width="5.140625" customWidth="1"/>
    <col min="6" max="6" width="43" customWidth="1"/>
    <col min="8" max="8" width="68.28515625" customWidth="1"/>
    <col min="9" max="9" width="22.42578125" customWidth="1"/>
  </cols>
  <sheetData>
    <row r="3" spans="1:12" ht="18.75" x14ac:dyDescent="0.3">
      <c r="A3" s="50" t="s">
        <v>0</v>
      </c>
      <c r="B3" s="50"/>
      <c r="C3" s="50"/>
      <c r="D3" s="50"/>
    </row>
    <row r="4" spans="1:12" ht="15.75" thickBot="1" x14ac:dyDescent="0.3"/>
    <row r="5" spans="1:12" ht="16.5" thickBot="1" x14ac:dyDescent="0.3">
      <c r="A5" s="51" t="s">
        <v>1</v>
      </c>
      <c r="B5" s="52"/>
      <c r="C5" s="53" t="s">
        <v>2</v>
      </c>
      <c r="D5" s="52"/>
      <c r="F5" s="1"/>
      <c r="G5" s="2" t="s">
        <v>3</v>
      </c>
      <c r="H5" s="2" t="s">
        <v>4</v>
      </c>
    </row>
    <row r="6" spans="1:12" ht="16.5" thickBot="1" x14ac:dyDescent="0.3">
      <c r="A6" s="3" t="s">
        <v>5</v>
      </c>
      <c r="B6" s="4"/>
      <c r="C6" s="5" t="s">
        <v>6</v>
      </c>
      <c r="D6" s="6">
        <v>200000</v>
      </c>
      <c r="F6" s="7" t="s">
        <v>7</v>
      </c>
      <c r="G6" s="8">
        <v>300</v>
      </c>
      <c r="H6" s="8">
        <v>300</v>
      </c>
    </row>
    <row r="7" spans="1:12" ht="16.5" thickBot="1" x14ac:dyDescent="0.3">
      <c r="A7" s="3" t="s">
        <v>8</v>
      </c>
      <c r="B7" s="4">
        <f>140000+20000+8000</f>
        <v>168000</v>
      </c>
      <c r="C7" s="5" t="s">
        <v>9</v>
      </c>
      <c r="D7" s="4"/>
      <c r="F7" s="7" t="s">
        <v>10</v>
      </c>
      <c r="G7" s="8">
        <v>420</v>
      </c>
      <c r="H7" s="8">
        <v>420</v>
      </c>
    </row>
    <row r="8" spans="1:12" ht="16.5" thickBot="1" x14ac:dyDescent="0.3">
      <c r="A8" s="3" t="s">
        <v>11</v>
      </c>
      <c r="B8" s="9"/>
      <c r="C8" s="5" t="s">
        <v>12</v>
      </c>
      <c r="D8" s="4"/>
      <c r="F8" s="10" t="s">
        <v>13</v>
      </c>
      <c r="G8" s="11">
        <v>450</v>
      </c>
      <c r="H8" s="11">
        <v>400</v>
      </c>
    </row>
    <row r="9" spans="1:12" ht="16.5" thickBot="1" x14ac:dyDescent="0.3">
      <c r="A9" s="3" t="s">
        <v>14</v>
      </c>
      <c r="B9" s="12">
        <f>800*200</f>
        <v>160000</v>
      </c>
      <c r="C9" s="5" t="s">
        <v>15</v>
      </c>
      <c r="D9" s="9"/>
      <c r="F9" s="13" t="s">
        <v>16</v>
      </c>
      <c r="G9" s="13">
        <f>SUM(G6:G8)</f>
        <v>1170</v>
      </c>
      <c r="H9" s="13">
        <f>SUM(H6:H8)</f>
        <v>1120</v>
      </c>
    </row>
    <row r="10" spans="1:12" ht="15.75" thickBot="1" x14ac:dyDescent="0.3">
      <c r="A10" s="3" t="s">
        <v>17</v>
      </c>
      <c r="B10" s="6"/>
      <c r="C10" s="5" t="s">
        <v>18</v>
      </c>
      <c r="D10" s="9">
        <f>800*200</f>
        <v>160000</v>
      </c>
    </row>
    <row r="11" spans="1:12" ht="15.75" thickBot="1" x14ac:dyDescent="0.3">
      <c r="A11" s="3" t="s">
        <v>19</v>
      </c>
      <c r="B11" s="4"/>
      <c r="C11" s="14"/>
      <c r="D11" s="4"/>
    </row>
    <row r="12" spans="1:12" ht="15.75" thickBot="1" x14ac:dyDescent="0.3">
      <c r="A12" s="3" t="s">
        <v>20</v>
      </c>
      <c r="B12" s="4">
        <v>32000</v>
      </c>
      <c r="C12" s="5"/>
      <c r="D12" s="4"/>
    </row>
    <row r="13" spans="1:12" ht="15.75" thickBot="1" x14ac:dyDescent="0.3">
      <c r="A13" s="3" t="s">
        <v>21</v>
      </c>
      <c r="B13" s="6">
        <f>SUM(B6:B12)</f>
        <v>360000</v>
      </c>
      <c r="C13" s="5" t="s">
        <v>22</v>
      </c>
      <c r="D13" s="6">
        <f>SUM(D6:D12)</f>
        <v>360000</v>
      </c>
    </row>
    <row r="15" spans="1:12" ht="20.100000000000001" customHeight="1" x14ac:dyDescent="0.25"/>
    <row r="16" spans="1:12" ht="15.75" thickBot="1" x14ac:dyDescent="0.3">
      <c r="A16" s="54" t="s">
        <v>23</v>
      </c>
      <c r="B16" s="54"/>
      <c r="F16" s="55" t="s">
        <v>24</v>
      </c>
      <c r="G16" s="55"/>
      <c r="I16" s="46" t="s">
        <v>25</v>
      </c>
      <c r="J16" s="47"/>
      <c r="K16" s="15" t="s">
        <v>26</v>
      </c>
      <c r="L16" s="15"/>
    </row>
    <row r="17" spans="1:14" ht="15.75" thickBot="1" x14ac:dyDescent="0.3">
      <c r="A17" s="16" t="s">
        <v>27</v>
      </c>
      <c r="B17" s="17">
        <f>(H6+H7)*1000</f>
        <v>720000</v>
      </c>
      <c r="F17" s="16" t="s">
        <v>27</v>
      </c>
      <c r="G17" s="17">
        <f>H9*1000</f>
        <v>1120000</v>
      </c>
      <c r="I17" s="48"/>
      <c r="J17" s="49"/>
      <c r="K17" s="18"/>
      <c r="L17" s="19"/>
    </row>
    <row r="18" spans="1:14" ht="15.75" thickBot="1" x14ac:dyDescent="0.3">
      <c r="A18" s="3" t="s">
        <v>28</v>
      </c>
      <c r="B18" s="20"/>
      <c r="F18" s="3" t="s">
        <v>28</v>
      </c>
      <c r="G18" s="20">
        <f>(G9-H9)*760</f>
        <v>38000</v>
      </c>
      <c r="I18" s="21" t="s">
        <v>29</v>
      </c>
      <c r="J18" s="21">
        <v>160000</v>
      </c>
      <c r="K18" s="21" t="s">
        <v>29</v>
      </c>
      <c r="L18" s="21">
        <v>0</v>
      </c>
    </row>
    <row r="19" spans="1:14" ht="15.75" thickBot="1" x14ac:dyDescent="0.3">
      <c r="A19" s="22" t="s">
        <v>30</v>
      </c>
      <c r="B19" s="23">
        <f>B17+B18</f>
        <v>720000</v>
      </c>
      <c r="F19" s="22" t="s">
        <v>30</v>
      </c>
      <c r="G19" s="23">
        <f>G17+G18</f>
        <v>1158000</v>
      </c>
      <c r="I19" s="21" t="s">
        <v>31</v>
      </c>
      <c r="J19" s="21">
        <f>40000+104000+80000</f>
        <v>224000</v>
      </c>
      <c r="K19" s="21" t="s">
        <v>32</v>
      </c>
      <c r="L19" s="21">
        <f>G9</f>
        <v>1170</v>
      </c>
    </row>
    <row r="20" spans="1:14" ht="15.75" thickBot="1" x14ac:dyDescent="0.3">
      <c r="A20" s="3" t="s">
        <v>65</v>
      </c>
      <c r="B20" s="20">
        <f>(200+560)*SUM(G6:G7)</f>
        <v>547200</v>
      </c>
      <c r="F20" s="3" t="s">
        <v>65</v>
      </c>
      <c r="G20" s="20">
        <f>(200+560)*SUM(G6:G8)</f>
        <v>889200</v>
      </c>
      <c r="I20" s="21" t="s">
        <v>33</v>
      </c>
      <c r="J20" s="21">
        <f>G9*200</f>
        <v>234000</v>
      </c>
      <c r="K20" s="21" t="s">
        <v>34</v>
      </c>
      <c r="L20" s="21">
        <f>H9</f>
        <v>1120</v>
      </c>
    </row>
    <row r="21" spans="1:14" ht="15.75" thickBot="1" x14ac:dyDescent="0.3">
      <c r="A21" s="3" t="s">
        <v>35</v>
      </c>
      <c r="B21" s="20">
        <f>(9200+38000)*2</f>
        <v>94400</v>
      </c>
      <c r="F21" s="3" t="s">
        <v>35</v>
      </c>
      <c r="G21" s="20">
        <f>(9200+38000)*3</f>
        <v>141600</v>
      </c>
      <c r="I21" s="21" t="s">
        <v>36</v>
      </c>
      <c r="J21" s="21">
        <f>J18+J19-J20</f>
        <v>150000</v>
      </c>
      <c r="K21" s="21" t="s">
        <v>36</v>
      </c>
      <c r="L21" s="21">
        <f>L18+L19-L20</f>
        <v>50</v>
      </c>
    </row>
    <row r="22" spans="1:14" ht="15.75" thickBot="1" x14ac:dyDescent="0.3">
      <c r="A22" s="3" t="s">
        <v>37</v>
      </c>
      <c r="B22" s="20">
        <v>400000</v>
      </c>
      <c r="F22" s="3" t="s">
        <v>37</v>
      </c>
      <c r="G22" s="20">
        <v>600000</v>
      </c>
    </row>
    <row r="23" spans="1:14" ht="15.75" thickBot="1" x14ac:dyDescent="0.3">
      <c r="A23" s="3" t="s">
        <v>38</v>
      </c>
      <c r="B23" s="20">
        <f>(((140000+20000+8000)/5))*2/12</f>
        <v>5600</v>
      </c>
      <c r="F23" s="3" t="s">
        <v>38</v>
      </c>
      <c r="G23" s="20">
        <f>(((140000+20000+8000)/5)*3/12)+50000</f>
        <v>58400</v>
      </c>
    </row>
    <row r="24" spans="1:14" ht="15.75" thickBot="1" x14ac:dyDescent="0.3">
      <c r="A24" s="22" t="s">
        <v>39</v>
      </c>
      <c r="B24" s="23">
        <f>SUM(B20:B23)</f>
        <v>1047200</v>
      </c>
      <c r="F24" s="22" t="s">
        <v>39</v>
      </c>
      <c r="G24" s="23">
        <f>SUM(G20:G23)</f>
        <v>1689200</v>
      </c>
      <c r="I24" s="24" t="s">
        <v>40</v>
      </c>
      <c r="J24" s="25" t="s">
        <v>41</v>
      </c>
      <c r="K24" s="25" t="s">
        <v>42</v>
      </c>
      <c r="L24" s="25" t="s">
        <v>43</v>
      </c>
      <c r="M24" s="25" t="s">
        <v>44</v>
      </c>
      <c r="N24" s="26" t="s">
        <v>16</v>
      </c>
    </row>
    <row r="25" spans="1:14" ht="15.75" thickBot="1" x14ac:dyDescent="0.3">
      <c r="A25" s="22" t="s">
        <v>45</v>
      </c>
      <c r="B25" s="20">
        <f>B19-B24</f>
        <v>-327200</v>
      </c>
      <c r="F25" s="22" t="s">
        <v>45</v>
      </c>
      <c r="G25" s="20">
        <f>G19-G24</f>
        <v>-531200</v>
      </c>
      <c r="I25" s="27" t="s">
        <v>46</v>
      </c>
      <c r="J25" s="25">
        <v>32000</v>
      </c>
      <c r="K25" s="25"/>
      <c r="L25" s="25"/>
      <c r="M25" s="25"/>
      <c r="N25" s="26">
        <f>J25</f>
        <v>32000</v>
      </c>
    </row>
    <row r="26" spans="1:14" ht="15.75" thickBot="1" x14ac:dyDescent="0.3">
      <c r="A26" s="3" t="s">
        <v>47</v>
      </c>
      <c r="B26" s="20"/>
      <c r="F26" s="3" t="s">
        <v>47</v>
      </c>
      <c r="G26" s="20"/>
      <c r="I26" s="28" t="s">
        <v>48</v>
      </c>
      <c r="J26" s="29"/>
      <c r="K26" s="29"/>
      <c r="L26" s="29"/>
      <c r="M26" s="29"/>
      <c r="N26" s="30"/>
    </row>
    <row r="27" spans="1:14" ht="15.75" thickBot="1" x14ac:dyDescent="0.3">
      <c r="A27" s="3" t="s">
        <v>49</v>
      </c>
      <c r="B27" s="20"/>
      <c r="F27" s="3" t="s">
        <v>49</v>
      </c>
      <c r="G27" s="20">
        <v>1500</v>
      </c>
      <c r="I27" s="31" t="s">
        <v>50</v>
      </c>
      <c r="J27" s="32">
        <v>162000</v>
      </c>
      <c r="K27" s="32"/>
      <c r="L27" s="32"/>
      <c r="M27" s="32"/>
      <c r="N27" s="33">
        <f>J27</f>
        <v>162000</v>
      </c>
    </row>
    <row r="28" spans="1:14" ht="15.75" thickBot="1" x14ac:dyDescent="0.3">
      <c r="A28" s="22" t="s">
        <v>51</v>
      </c>
      <c r="B28" s="20">
        <f>B26-B27</f>
        <v>0</v>
      </c>
      <c r="F28" s="22" t="s">
        <v>51</v>
      </c>
      <c r="G28" s="20">
        <f>G26-G27</f>
        <v>-1500</v>
      </c>
      <c r="I28" s="34" t="s">
        <v>52</v>
      </c>
      <c r="J28" s="35"/>
      <c r="K28" s="35">
        <f>(300*1000)</f>
        <v>300000</v>
      </c>
      <c r="L28" s="35">
        <f>(420000/2)-50000</f>
        <v>160000</v>
      </c>
      <c r="M28" s="35">
        <f>400000+(0.5*(420*1000))</f>
        <v>610000</v>
      </c>
      <c r="N28" s="36">
        <f t="shared" ref="N28:N33" si="0">SUM(K28:M28)</f>
        <v>1070000</v>
      </c>
    </row>
    <row r="29" spans="1:14" ht="15.75" thickBot="1" x14ac:dyDescent="0.3">
      <c r="A29" s="3" t="s">
        <v>53</v>
      </c>
      <c r="B29" s="20"/>
      <c r="F29" s="3" t="s">
        <v>53</v>
      </c>
      <c r="G29" s="20"/>
      <c r="I29" s="28" t="s">
        <v>54</v>
      </c>
      <c r="J29" s="29"/>
      <c r="K29" s="29"/>
      <c r="L29" s="29"/>
      <c r="M29" s="29"/>
      <c r="N29" s="30">
        <f t="shared" si="0"/>
        <v>0</v>
      </c>
    </row>
    <row r="30" spans="1:14" ht="15.75" thickBot="1" x14ac:dyDescent="0.3">
      <c r="A30" s="22" t="s">
        <v>55</v>
      </c>
      <c r="B30" s="20">
        <f>B25+B28</f>
        <v>-327200</v>
      </c>
      <c r="F30" s="37" t="s">
        <v>55</v>
      </c>
      <c r="G30" s="38">
        <f>G25+G28+G29</f>
        <v>-532700</v>
      </c>
      <c r="I30" s="31" t="s">
        <v>56</v>
      </c>
      <c r="J30" s="32"/>
      <c r="K30" s="32"/>
      <c r="L30" s="32">
        <v>160000</v>
      </c>
      <c r="M30" s="32">
        <v>40000</v>
      </c>
      <c r="N30" s="33">
        <f t="shared" si="0"/>
        <v>200000</v>
      </c>
    </row>
    <row r="31" spans="1:14" x14ac:dyDescent="0.25">
      <c r="B31" s="39"/>
      <c r="F31" s="21" t="s">
        <v>57</v>
      </c>
      <c r="G31" s="40">
        <v>0</v>
      </c>
      <c r="I31" s="31" t="s">
        <v>58</v>
      </c>
      <c r="J31" s="32"/>
      <c r="K31" s="32">
        <v>9200</v>
      </c>
      <c r="L31" s="32">
        <v>9200</v>
      </c>
      <c r="M31" s="32">
        <v>9200</v>
      </c>
      <c r="N31" s="41">
        <f t="shared" si="0"/>
        <v>27600</v>
      </c>
    </row>
    <row r="32" spans="1:14" x14ac:dyDescent="0.25">
      <c r="B32" s="39"/>
      <c r="F32" s="21" t="s">
        <v>59</v>
      </c>
      <c r="G32" s="40">
        <f>G30-G31</f>
        <v>-532700</v>
      </c>
      <c r="I32" s="31" t="s">
        <v>60</v>
      </c>
      <c r="J32" s="32"/>
      <c r="K32" s="32">
        <v>200000</v>
      </c>
      <c r="L32" s="32">
        <v>200000</v>
      </c>
      <c r="M32" s="32">
        <v>200000</v>
      </c>
      <c r="N32" s="41">
        <f t="shared" si="0"/>
        <v>600000</v>
      </c>
    </row>
    <row r="33" spans="9:14" x14ac:dyDescent="0.25">
      <c r="I33" s="31" t="s">
        <v>61</v>
      </c>
      <c r="J33" s="32"/>
      <c r="K33" s="32">
        <v>38000</v>
      </c>
      <c r="L33" s="32">
        <v>38000</v>
      </c>
      <c r="M33" s="32">
        <v>38000</v>
      </c>
      <c r="N33" s="41">
        <f t="shared" si="0"/>
        <v>114000</v>
      </c>
    </row>
    <row r="34" spans="9:14" x14ac:dyDescent="0.25">
      <c r="I34" s="31" t="s">
        <v>62</v>
      </c>
      <c r="J34" s="32"/>
      <c r="K34" s="32">
        <v>500</v>
      </c>
      <c r="L34" s="32">
        <v>500</v>
      </c>
      <c r="M34" s="32">
        <v>500</v>
      </c>
      <c r="N34" s="41">
        <f>SUM(K34:M34)</f>
        <v>1500</v>
      </c>
    </row>
    <row r="35" spans="9:14" ht="15.75" thickBot="1" x14ac:dyDescent="0.3">
      <c r="I35" s="34" t="s">
        <v>63</v>
      </c>
      <c r="J35" s="35"/>
      <c r="K35" s="35">
        <f>(162000/5)/12</f>
        <v>2700</v>
      </c>
      <c r="L35" s="35">
        <f t="shared" ref="L35:M35" si="1">(162000/5)/12</f>
        <v>2700</v>
      </c>
      <c r="M35" s="35">
        <f t="shared" si="1"/>
        <v>2700</v>
      </c>
      <c r="N35" s="42">
        <f>SUM(K35:M35)</f>
        <v>8100</v>
      </c>
    </row>
    <row r="36" spans="9:14" ht="15.75" thickBot="1" x14ac:dyDescent="0.3">
      <c r="I36" s="43" t="s">
        <v>64</v>
      </c>
      <c r="J36" s="44"/>
      <c r="K36" s="44"/>
      <c r="L36" s="44"/>
      <c r="M36" s="44"/>
      <c r="N36" s="45">
        <f>N25+N27+N28+-SUM(N30:N35)</f>
        <v>312800</v>
      </c>
    </row>
  </sheetData>
  <mergeCells count="6">
    <mergeCell ref="I16:J17"/>
    <mergeCell ref="A3:D3"/>
    <mergeCell ref="A5:B5"/>
    <mergeCell ref="C5:D5"/>
    <mergeCell ref="A16:B16"/>
    <mergeCell ref="F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Grenoble INP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ESTIER Isabelle (estieri)</dc:creator>
  <cp:lastModifiedBy>DELL 7280</cp:lastModifiedBy>
  <dcterms:created xsi:type="dcterms:W3CDTF">2023-10-08T16:33:26Z</dcterms:created>
  <dcterms:modified xsi:type="dcterms:W3CDTF">2023-12-10T10:39:25Z</dcterms:modified>
</cp:coreProperties>
</file>