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13_ncr:1_{993AA0BB-8F46-478B-ACFA-FC77621A235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toh_data" sheetId="4" r:id="rId1"/>
    <sheet name="referensi" sheetId="7" r:id="rId2"/>
    <sheet name="data_keseluruhan" sheetId="9" r:id="rId3"/>
    <sheet name="Data_Performa_2" sheetId="8" state="hidden" r:id="rId4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A126" i="9" l="1"/>
  <c r="FZ126" i="9"/>
  <c r="GB126" i="9" s="1"/>
  <c r="DT126" i="9"/>
  <c r="DS126" i="9"/>
  <c r="DR126" i="9"/>
  <c r="GA125" i="9"/>
  <c r="FZ125" i="9"/>
  <c r="GB125" i="9" s="1"/>
  <c r="DT125" i="9"/>
  <c r="DS125" i="9"/>
  <c r="DR125" i="9"/>
  <c r="GA124" i="9"/>
  <c r="FZ124" i="9"/>
  <c r="GB124" i="9" s="1"/>
  <c r="DT124" i="9"/>
  <c r="DS124" i="9"/>
  <c r="DR124" i="9"/>
  <c r="W123" i="9"/>
  <c r="W122" i="9"/>
  <c r="GA121" i="9"/>
  <c r="FZ121" i="9"/>
  <c r="GB121" i="9" s="1"/>
  <c r="DR121" i="9"/>
  <c r="GA120" i="9"/>
  <c r="FZ120" i="9"/>
  <c r="GB120" i="9" s="1"/>
  <c r="DR120" i="9"/>
  <c r="GA119" i="9"/>
  <c r="FZ119" i="9"/>
  <c r="GB119" i="9" s="1"/>
  <c r="DR119" i="9"/>
  <c r="GA118" i="9"/>
  <c r="FZ118" i="9"/>
  <c r="GB118" i="9" s="1"/>
  <c r="DR118" i="9"/>
  <c r="W118" i="9"/>
  <c r="X118" i="9" s="1"/>
  <c r="V118" i="9"/>
  <c r="T118" i="9"/>
  <c r="S118" i="9"/>
  <c r="O118" i="9"/>
  <c r="P118" i="9" s="1"/>
  <c r="GA117" i="9"/>
  <c r="FZ117" i="9"/>
  <c r="GB117" i="9" s="1"/>
  <c r="DR117" i="9"/>
  <c r="CA116" i="9"/>
  <c r="BR116" i="9"/>
  <c r="CA115" i="9"/>
  <c r="BR115" i="9"/>
  <c r="CA114" i="9"/>
  <c r="BR114" i="9"/>
  <c r="CA113" i="9"/>
  <c r="BR113" i="9"/>
  <c r="GA112" i="9"/>
  <c r="FZ112" i="9"/>
  <c r="GB112" i="9" s="1"/>
  <c r="DT112" i="9"/>
  <c r="GA111" i="9"/>
  <c r="FZ111" i="9"/>
  <c r="GB111" i="9" s="1"/>
  <c r="DT111" i="9"/>
  <c r="GB110" i="9"/>
  <c r="GA110" i="9"/>
  <c r="FZ110" i="9"/>
  <c r="DT110" i="9"/>
  <c r="GA109" i="9"/>
  <c r="FZ109" i="9"/>
  <c r="GB109" i="9" s="1"/>
  <c r="DT109" i="9"/>
  <c r="GA106" i="9"/>
  <c r="FZ106" i="9"/>
  <c r="GB106" i="9" s="1"/>
  <c r="DS106" i="9"/>
  <c r="GB105" i="9"/>
  <c r="GA105" i="9"/>
  <c r="FZ105" i="9"/>
  <c r="DS105" i="9"/>
  <c r="N105" i="9"/>
  <c r="GA104" i="9"/>
  <c r="FZ104" i="9"/>
  <c r="GB104" i="9" s="1"/>
  <c r="DS104" i="9"/>
  <c r="V103" i="9"/>
  <c r="V102" i="9"/>
  <c r="V101" i="9"/>
  <c r="V100" i="9"/>
  <c r="V99" i="9"/>
  <c r="V98" i="9"/>
  <c r="V97" i="9"/>
  <c r="V96" i="9"/>
  <c r="V95" i="9"/>
  <c r="V94" i="9"/>
  <c r="V93" i="9"/>
  <c r="GA87" i="9"/>
  <c r="FZ87" i="9"/>
  <c r="GB87" i="9" s="1"/>
  <c r="DT87" i="9"/>
  <c r="DS87" i="9"/>
  <c r="DR87" i="9"/>
  <c r="GA86" i="9"/>
  <c r="FZ86" i="9"/>
  <c r="GB86" i="9" s="1"/>
  <c r="DT86" i="9"/>
  <c r="DS86" i="9"/>
  <c r="DR86" i="9"/>
  <c r="GA85" i="9"/>
  <c r="FZ85" i="9"/>
  <c r="GB85" i="9" s="1"/>
  <c r="DT85" i="9"/>
  <c r="DS85" i="9"/>
  <c r="DR85" i="9"/>
  <c r="GA84" i="9"/>
  <c r="FZ84" i="9"/>
  <c r="GB84" i="9" s="1"/>
  <c r="DT84" i="9"/>
  <c r="DS84" i="9"/>
  <c r="DR84" i="9"/>
  <c r="GA83" i="9"/>
  <c r="FZ83" i="9"/>
  <c r="GB83" i="9" s="1"/>
  <c r="DT83" i="9"/>
  <c r="DS83" i="9"/>
  <c r="DR83" i="9"/>
  <c r="GC78" i="9"/>
  <c r="W78" i="9"/>
  <c r="GC77" i="9"/>
  <c r="W77" i="9"/>
  <c r="GC76" i="9"/>
  <c r="W76" i="9"/>
  <c r="GC75" i="9"/>
  <c r="Y75" i="9"/>
  <c r="X75" i="9"/>
  <c r="W75" i="9"/>
  <c r="N75" i="9"/>
  <c r="R75" i="9" s="1"/>
  <c r="V75" i="9" s="1"/>
  <c r="GC74" i="9"/>
  <c r="W74" i="9"/>
  <c r="GA73" i="9"/>
  <c r="FZ73" i="9"/>
  <c r="GB73" i="9" s="1"/>
  <c r="DR73" i="9"/>
  <c r="GA72" i="9"/>
  <c r="FZ72" i="9"/>
  <c r="GB72" i="9" s="1"/>
  <c r="DR72" i="9"/>
  <c r="GA71" i="9"/>
  <c r="FZ71" i="9"/>
  <c r="GB71" i="9" s="1"/>
  <c r="DR71" i="9"/>
  <c r="GA70" i="9"/>
  <c r="FZ70" i="9"/>
  <c r="GB70" i="9" s="1"/>
  <c r="DR70" i="9"/>
  <c r="Y70" i="9"/>
  <c r="X70" i="9"/>
  <c r="W70" i="9"/>
  <c r="V70" i="9"/>
  <c r="S70" i="9"/>
  <c r="R70" i="9"/>
  <c r="Q70" i="9"/>
  <c r="P70" i="9"/>
  <c r="O70" i="9"/>
  <c r="N70" i="9" s="1"/>
  <c r="GB69" i="9"/>
  <c r="GA69" i="9"/>
  <c r="FZ69" i="9"/>
  <c r="DR69" i="9"/>
  <c r="GA68" i="9"/>
  <c r="GB68" i="9" s="1"/>
  <c r="FZ68" i="9"/>
  <c r="DR68" i="9"/>
  <c r="X68" i="9"/>
  <c r="GA67" i="9"/>
  <c r="FZ67" i="9"/>
  <c r="GB67" i="9" s="1"/>
  <c r="DR67" i="9"/>
  <c r="X67" i="9"/>
  <c r="GA66" i="9"/>
  <c r="FZ66" i="9"/>
  <c r="GB66" i="9" s="1"/>
  <c r="DR66" i="9"/>
  <c r="X66" i="9"/>
  <c r="GA65" i="9"/>
  <c r="FZ65" i="9"/>
  <c r="GB65" i="9" s="1"/>
  <c r="DR65" i="9"/>
  <c r="X65" i="9"/>
  <c r="GB64" i="9"/>
  <c r="GA64" i="9"/>
  <c r="FZ64" i="9"/>
  <c r="DR64" i="9"/>
  <c r="X64" i="9"/>
  <c r="AA62" i="9"/>
  <c r="Z62" i="9"/>
  <c r="Y62" i="9"/>
  <c r="V62" i="9"/>
  <c r="W59" i="9"/>
  <c r="W62" i="9" s="1"/>
  <c r="GA57" i="9"/>
  <c r="FZ57" i="9"/>
  <c r="GB57" i="9" s="1"/>
  <c r="DS57" i="9"/>
  <c r="DR57" i="9"/>
  <c r="GA56" i="9"/>
  <c r="FZ56" i="9"/>
  <c r="GB56" i="9" s="1"/>
  <c r="DS56" i="9"/>
  <c r="DR56" i="9"/>
  <c r="GA55" i="9"/>
  <c r="GB55" i="9" s="1"/>
  <c r="FZ55" i="9"/>
  <c r="DS55" i="9"/>
  <c r="DR55" i="9"/>
  <c r="GA54" i="9"/>
  <c r="GB54" i="9" s="1"/>
  <c r="FZ54" i="9"/>
  <c r="DS54" i="9"/>
  <c r="DR54" i="9"/>
  <c r="Y53" i="9"/>
  <c r="Y52" i="9"/>
  <c r="Y51" i="9"/>
  <c r="GB50" i="9"/>
  <c r="GA50" i="9"/>
  <c r="FZ50" i="9"/>
  <c r="DT50" i="9"/>
  <c r="DR50" i="9"/>
  <c r="AZ50" i="9"/>
  <c r="AO50" i="9"/>
  <c r="X50" i="9"/>
  <c r="Y50" i="9" s="1"/>
  <c r="W50" i="9"/>
  <c r="V50" i="9"/>
  <c r="GA49" i="9"/>
  <c r="GB49" i="9" s="1"/>
  <c r="FZ49" i="9"/>
  <c r="DT49" i="9"/>
  <c r="DR49" i="9"/>
  <c r="AZ49" i="9"/>
  <c r="AO49" i="9"/>
  <c r="X49" i="9"/>
  <c r="W49" i="9"/>
  <c r="Y49" i="9" s="1"/>
  <c r="V49" i="9"/>
  <c r="GA48" i="9"/>
  <c r="FZ48" i="9"/>
  <c r="GB48" i="9" s="1"/>
  <c r="DT48" i="9"/>
  <c r="DR48" i="9"/>
  <c r="AZ48" i="9"/>
  <c r="AO48" i="9"/>
  <c r="Y48" i="9"/>
  <c r="X48" i="9"/>
  <c r="W48" i="9"/>
  <c r="V48" i="9"/>
  <c r="GA47" i="9"/>
  <c r="FZ47" i="9"/>
  <c r="GB47" i="9" s="1"/>
  <c r="DT47" i="9"/>
  <c r="DR47" i="9"/>
  <c r="AZ47" i="9"/>
  <c r="AO47" i="9"/>
  <c r="X47" i="9"/>
  <c r="Y47" i="9" s="1"/>
  <c r="W47" i="9"/>
  <c r="V47" i="9"/>
  <c r="GA46" i="9"/>
  <c r="FZ46" i="9"/>
  <c r="GB46" i="9" s="1"/>
  <c r="DT46" i="9"/>
  <c r="DR46" i="9"/>
  <c r="AZ46" i="9"/>
  <c r="AO46" i="9"/>
  <c r="X46" i="9"/>
  <c r="W46" i="9"/>
  <c r="Y46" i="9" s="1"/>
  <c r="V46" i="9"/>
  <c r="GC45" i="9"/>
  <c r="V45" i="9"/>
  <c r="GC44" i="9"/>
  <c r="V44" i="9"/>
  <c r="V43" i="9"/>
  <c r="CX42" i="9"/>
  <c r="CW42" i="9"/>
  <c r="CV42" i="9"/>
  <c r="CU42" i="9"/>
  <c r="V42" i="9"/>
  <c r="V41" i="9"/>
  <c r="DT40" i="9"/>
  <c r="DS40" i="9"/>
  <c r="DR40" i="9"/>
  <c r="GA39" i="9"/>
  <c r="FZ39" i="9"/>
  <c r="GB39" i="9" s="1"/>
  <c r="DT39" i="9"/>
  <c r="DS39" i="9"/>
  <c r="DR39" i="9"/>
  <c r="GA38" i="9"/>
  <c r="FZ38" i="9"/>
  <c r="GB38" i="9" s="1"/>
  <c r="DT38" i="9"/>
  <c r="DS38" i="9"/>
  <c r="DR38" i="9"/>
  <c r="GA37" i="9"/>
  <c r="FZ37" i="9"/>
  <c r="GB37" i="9" s="1"/>
  <c r="DT37" i="9"/>
  <c r="DS37" i="9"/>
  <c r="DR37" i="9"/>
  <c r="X35" i="9"/>
  <c r="W35" i="9"/>
  <c r="T35" i="9"/>
  <c r="S35" i="9"/>
  <c r="U35" i="9" s="1"/>
  <c r="P35" i="9"/>
  <c r="O35" i="9"/>
  <c r="Q35" i="9" s="1"/>
  <c r="AA33" i="9"/>
  <c r="AA32" i="9"/>
  <c r="GA31" i="9"/>
  <c r="GB31" i="9" s="1"/>
  <c r="FZ31" i="9"/>
  <c r="DS31" i="9"/>
  <c r="GA30" i="9"/>
  <c r="FZ30" i="9"/>
  <c r="GB30" i="9" s="1"/>
  <c r="DS30" i="9"/>
  <c r="V30" i="9"/>
  <c r="N30" i="9"/>
  <c r="GA29" i="9"/>
  <c r="FZ29" i="9"/>
  <c r="GB29" i="9" s="1"/>
  <c r="DS29" i="9"/>
  <c r="GA28" i="9"/>
  <c r="FZ28" i="9"/>
  <c r="GB28" i="9" s="1"/>
  <c r="DR28" i="9"/>
  <c r="GA27" i="9"/>
  <c r="FZ27" i="9"/>
  <c r="GB27" i="9" s="1"/>
  <c r="DR27" i="9"/>
  <c r="GA26" i="9"/>
  <c r="FZ26" i="9"/>
  <c r="GB26" i="9" s="1"/>
  <c r="DR26" i="9"/>
  <c r="N26" i="9"/>
  <c r="R26" i="9" s="1"/>
  <c r="V26" i="9" s="1"/>
  <c r="GA25" i="9"/>
  <c r="FZ25" i="9"/>
  <c r="GB25" i="9" s="1"/>
  <c r="DR25" i="9"/>
  <c r="GA24" i="9"/>
  <c r="FZ24" i="9"/>
  <c r="GB24" i="9" s="1"/>
  <c r="DT24" i="9"/>
  <c r="CA24" i="9"/>
  <c r="BR24" i="9"/>
  <c r="GA23" i="9"/>
  <c r="FZ23" i="9"/>
  <c r="GB23" i="9" s="1"/>
  <c r="DT23" i="9"/>
  <c r="CA23" i="9"/>
  <c r="BR23" i="9"/>
  <c r="GA22" i="9"/>
  <c r="FZ22" i="9"/>
  <c r="GB22" i="9" s="1"/>
  <c r="DT22" i="9"/>
  <c r="CA22" i="9"/>
  <c r="BR22" i="9"/>
  <c r="GA21" i="9"/>
  <c r="FZ21" i="9"/>
  <c r="GB21" i="9" s="1"/>
  <c r="DT21" i="9"/>
  <c r="CA21" i="9"/>
  <c r="BR21" i="9"/>
  <c r="GA20" i="9"/>
  <c r="FZ20" i="9"/>
  <c r="GB20" i="9" s="1"/>
  <c r="DT20" i="9"/>
  <c r="DS20" i="9"/>
  <c r="DR20" i="9"/>
  <c r="GA19" i="9"/>
  <c r="FZ19" i="9"/>
  <c r="GB19" i="9" s="1"/>
  <c r="DT19" i="9"/>
  <c r="DS19" i="9"/>
  <c r="DR19" i="9"/>
  <c r="GA18" i="9"/>
  <c r="FZ18" i="9"/>
  <c r="GB18" i="9" s="1"/>
  <c r="DT18" i="9"/>
  <c r="DS18" i="9"/>
  <c r="DR18" i="9"/>
  <c r="X18" i="9"/>
  <c r="W18" i="9"/>
  <c r="T18" i="9"/>
  <c r="S18" i="9"/>
  <c r="R18" i="9"/>
  <c r="V18" i="9" s="1"/>
  <c r="P18" i="9"/>
  <c r="O18" i="9"/>
  <c r="N18" i="9"/>
  <c r="GA17" i="9"/>
  <c r="GB17" i="9" s="1"/>
  <c r="FZ17" i="9"/>
  <c r="DT17" i="9"/>
  <c r="DS17" i="9"/>
  <c r="DR17" i="9"/>
  <c r="GA16" i="9"/>
  <c r="FZ16" i="9"/>
  <c r="GB16" i="9" s="1"/>
  <c r="DT16" i="9"/>
  <c r="DS16" i="9"/>
  <c r="DR16" i="9"/>
  <c r="GA15" i="9"/>
  <c r="GB15" i="9" s="1"/>
  <c r="FZ15" i="9"/>
  <c r="DT15" i="9"/>
  <c r="DS15" i="9"/>
  <c r="DR15" i="9"/>
  <c r="GA14" i="9"/>
  <c r="FZ14" i="9"/>
  <c r="GB14" i="9" s="1"/>
  <c r="DT14" i="9"/>
  <c r="DS14" i="9"/>
  <c r="DR14" i="9"/>
  <c r="X14" i="9"/>
  <c r="W14" i="9"/>
  <c r="T14" i="9"/>
  <c r="S14" i="9"/>
  <c r="P14" i="9"/>
  <c r="O14" i="9"/>
  <c r="N14" i="9"/>
  <c r="R14" i="9" s="1"/>
  <c r="V14" i="9" s="1"/>
  <c r="GA13" i="9"/>
  <c r="FZ13" i="9"/>
  <c r="GB13" i="9" s="1"/>
  <c r="DT13" i="9"/>
  <c r="DS13" i="9"/>
  <c r="DR13" i="9"/>
  <c r="X9" i="9"/>
  <c r="W9" i="9"/>
  <c r="T9" i="9"/>
  <c r="S9" i="9"/>
  <c r="R9" i="9"/>
  <c r="V9" i="9" s="1"/>
  <c r="P9" i="9"/>
  <c r="O9" i="9"/>
  <c r="N9" i="9"/>
  <c r="FZ7" i="9"/>
  <c r="FY7" i="9"/>
  <c r="FZ6" i="9"/>
  <c r="FY6" i="9"/>
  <c r="FZ5" i="9"/>
  <c r="FY5" i="9"/>
  <c r="FZ4" i="9"/>
  <c r="FY4" i="9"/>
  <c r="FZ3" i="9"/>
  <c r="FY3" i="9"/>
  <c r="FZ2" i="9"/>
  <c r="FY2" i="9"/>
  <c r="S144" i="8"/>
  <c r="K144" i="8"/>
  <c r="S143" i="8"/>
  <c r="K143" i="8"/>
  <c r="S142" i="8"/>
  <c r="K142" i="8"/>
  <c r="S141" i="8"/>
  <c r="K141" i="8"/>
  <c r="BH135" i="8"/>
  <c r="BG135" i="8"/>
  <c r="BF135" i="8"/>
  <c r="BH134" i="8"/>
  <c r="BG134" i="8"/>
  <c r="BF134" i="8"/>
  <c r="BH133" i="8"/>
  <c r="BG133" i="8"/>
  <c r="BF133" i="8"/>
  <c r="BH132" i="8"/>
  <c r="BG132" i="8"/>
  <c r="BF132" i="8"/>
  <c r="BH131" i="8"/>
  <c r="BG131" i="8"/>
  <c r="BF131" i="8"/>
  <c r="BF130" i="8"/>
  <c r="BF129" i="8"/>
  <c r="BH128" i="8"/>
  <c r="BG128" i="8"/>
  <c r="BH127" i="8"/>
  <c r="BG127" i="8"/>
  <c r="BH126" i="8"/>
  <c r="BG126" i="8"/>
  <c r="BH125" i="8"/>
  <c r="BG125" i="8"/>
  <c r="BH124" i="8"/>
  <c r="BG124" i="8"/>
  <c r="BH123" i="8"/>
  <c r="BG123" i="8"/>
  <c r="BH122" i="8"/>
  <c r="BG122" i="8"/>
  <c r="BH121" i="8"/>
  <c r="BG121" i="8"/>
  <c r="S102" i="8"/>
  <c r="S101" i="8"/>
  <c r="S100" i="8"/>
  <c r="S99" i="8"/>
  <c r="BF98" i="8"/>
  <c r="BF97" i="8"/>
  <c r="BF96" i="8"/>
  <c r="BF95" i="8"/>
  <c r="BF94" i="8"/>
  <c r="T94" i="8"/>
  <c r="BF93" i="8"/>
  <c r="T93" i="8"/>
  <c r="BF92" i="8"/>
  <c r="T92" i="8"/>
  <c r="BF91" i="8"/>
  <c r="T91" i="8"/>
  <c r="BF90" i="8"/>
  <c r="T90" i="8"/>
  <c r="R89" i="8"/>
  <c r="R88" i="8"/>
  <c r="R87" i="8"/>
  <c r="R86" i="8"/>
  <c r="R85" i="8"/>
  <c r="R84" i="8"/>
  <c r="R83" i="8"/>
  <c r="BG76" i="8"/>
  <c r="BF76" i="8"/>
  <c r="BG75" i="8"/>
  <c r="BF75" i="8"/>
  <c r="BG74" i="8"/>
  <c r="BF74" i="8"/>
  <c r="BG73" i="8"/>
  <c r="BF73" i="8"/>
  <c r="U72" i="8"/>
  <c r="U71" i="8"/>
  <c r="U70" i="8"/>
  <c r="BF69" i="8"/>
  <c r="R69" i="8"/>
  <c r="BF68" i="8"/>
  <c r="R68" i="8"/>
  <c r="BF67" i="8"/>
  <c r="R67" i="8"/>
  <c r="BF66" i="8"/>
  <c r="R66" i="8"/>
  <c r="BF65" i="8"/>
  <c r="R65" i="8"/>
  <c r="BF64" i="8"/>
  <c r="R64" i="8"/>
  <c r="BH63" i="8"/>
  <c r="BF63" i="8"/>
  <c r="R63" i="8"/>
  <c r="BH62" i="8"/>
  <c r="BF62" i="8"/>
  <c r="R62" i="8"/>
  <c r="BH61" i="8"/>
  <c r="BF61" i="8"/>
  <c r="R61" i="8"/>
  <c r="BH60" i="8"/>
  <c r="BF60" i="8"/>
  <c r="R60" i="8"/>
  <c r="BH59" i="8"/>
  <c r="BF59" i="8"/>
  <c r="R59" i="8"/>
  <c r="R58" i="8"/>
  <c r="R57" i="8"/>
  <c r="R56" i="8"/>
  <c r="R55" i="8"/>
  <c r="R54" i="8"/>
  <c r="BH53" i="8"/>
  <c r="BG53" i="8"/>
  <c r="BF53" i="8"/>
  <c r="BH52" i="8"/>
  <c r="BG52" i="8"/>
  <c r="BF52" i="8"/>
  <c r="BH51" i="8"/>
  <c r="BG51" i="8"/>
  <c r="BF51" i="8"/>
  <c r="BH50" i="8"/>
  <c r="BG50" i="8"/>
  <c r="BF50" i="8"/>
  <c r="BH49" i="8"/>
  <c r="BG49" i="8"/>
  <c r="BF49" i="8"/>
  <c r="BG43" i="8"/>
  <c r="BG42" i="8"/>
  <c r="BG41" i="8"/>
  <c r="BH40" i="8"/>
  <c r="BG40" i="8"/>
  <c r="BH39" i="8"/>
  <c r="BG39" i="8"/>
  <c r="BH38" i="8"/>
  <c r="BG38" i="8"/>
  <c r="BH37" i="8"/>
  <c r="BG37" i="8"/>
  <c r="BH36" i="8"/>
  <c r="BG36" i="8"/>
  <c r="BH35" i="8"/>
  <c r="BG35" i="8"/>
  <c r="BF34" i="8"/>
  <c r="BF33" i="8"/>
  <c r="BF32" i="8"/>
  <c r="BF31" i="8"/>
  <c r="BG30" i="8"/>
  <c r="BF30" i="8"/>
  <c r="BG29" i="8"/>
  <c r="BF29" i="8"/>
  <c r="BG28" i="8"/>
  <c r="BF28" i="8"/>
  <c r="BG27" i="8"/>
  <c r="BF27" i="8"/>
  <c r="BG26" i="8"/>
  <c r="BF26" i="8"/>
  <c r="BG25" i="8"/>
  <c r="BF25" i="8"/>
  <c r="BG24" i="8"/>
  <c r="BF24" i="8"/>
  <c r="BH19" i="8"/>
  <c r="BG19" i="8"/>
  <c r="BF19" i="8"/>
  <c r="BH18" i="8"/>
  <c r="BG18" i="8"/>
  <c r="BF18" i="8"/>
  <c r="BH17" i="8"/>
  <c r="BG17" i="8"/>
  <c r="BF17" i="8"/>
  <c r="BH16" i="8"/>
  <c r="BG16" i="8"/>
  <c r="BF16" i="8"/>
  <c r="BH15" i="8"/>
  <c r="BG15" i="8"/>
  <c r="BF15" i="8"/>
  <c r="BH14" i="8"/>
  <c r="BG14" i="8"/>
  <c r="BF14" i="8"/>
  <c r="BH13" i="8"/>
  <c r="BG13" i="8"/>
  <c r="BF13" i="8"/>
  <c r="BH12" i="8"/>
  <c r="BG12" i="8"/>
  <c r="BF12" i="8"/>
  <c r="N35" i="9" l="1"/>
  <c r="R35" i="9" s="1"/>
  <c r="V35" i="9" s="1"/>
  <c r="X59" i="9"/>
  <c r="X6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00000000-0006-0000-0600-000003000000}">
      <text>
        <r>
          <rPr>
            <sz val="10"/>
            <rFont val="Arial"/>
            <family val="2"/>
            <charset val="1"/>
          </rPr>
          <t>mg</t>
        </r>
      </text>
    </comment>
    <comment ref="D6" authorId="0" shapeId="0" xr:uid="{00000000-0006-0000-0600-000001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7" authorId="0" shapeId="0" xr:uid="{00000000-0006-0000-0600-000002000000}">
      <text>
        <r>
          <rPr>
            <sz val="10"/>
            <rFont val="Arial"/>
            <family val="2"/>
            <charset val="1"/>
          </rPr>
          <t>1. AKKVFKRLEKLFSKIWNWK–NH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G1" authorId="0" shapeId="0" xr:uid="{DC649596-C4E0-4424-A273-F944B6257E13}">
      <text>
        <r>
          <rPr>
            <sz val="10"/>
            <rFont val="Arial"/>
            <family val="2"/>
            <charset val="1"/>
          </rPr>
          <t>mg/Kg DM Basis</t>
        </r>
      </text>
    </comment>
    <comment ref="N1" authorId="0" shapeId="0" xr:uid="{36D57689-65ED-46E1-9DBB-0265CA1B51BE}">
      <text>
        <r>
          <rPr>
            <sz val="10"/>
            <rFont val="Arial"/>
            <family val="2"/>
            <charset val="1"/>
          </rPr>
          <t>Body weight (gram)</t>
        </r>
      </text>
    </comment>
    <comment ref="O1" authorId="0" shapeId="0" xr:uid="{4FF6AC93-38B9-4A3C-96C0-F9EDAB77C054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P1" authorId="0" shapeId="0" xr:uid="{D410991E-9186-49DF-B9C5-589D2EE3EF28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Q1" authorId="0" shapeId="0" xr:uid="{BFA3B089-C64F-4150-8468-50286B67826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R1" authorId="0" shapeId="0" xr:uid="{A0750BAB-79AD-4960-B637-6BD305954E27}">
      <text>
        <r>
          <rPr>
            <sz val="10"/>
            <rFont val="Arial"/>
            <family val="2"/>
            <charset val="1"/>
          </rPr>
          <t>Body weight (gram)</t>
        </r>
      </text>
    </comment>
    <comment ref="S1" authorId="0" shapeId="0" xr:uid="{D8509E0C-CCE4-4CF9-AC40-7F426B0E78C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T1" authorId="0" shapeId="0" xr:uid="{A5FADEFE-4159-41EB-9D41-EC3B123B9FD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U1" authorId="0" shapeId="0" xr:uid="{BADF8964-64F0-4D52-9888-9295046860C0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V1" authorId="0" shapeId="0" xr:uid="{60A865AF-58B1-4672-A545-2CFBEC5BD073}">
      <text>
        <r>
          <rPr>
            <sz val="10"/>
            <rFont val="Arial"/>
            <family val="2"/>
            <charset val="1"/>
          </rPr>
          <t>Body weight (gram)</t>
        </r>
      </text>
    </comment>
    <comment ref="W1" authorId="0" shapeId="0" xr:uid="{3FA71ADE-36C0-4AE7-84AF-048F0BB02A0C}">
      <text>
        <r>
          <rPr>
            <sz val="10"/>
            <rFont val="Arial"/>
            <family val="2"/>
            <charset val="1"/>
          </rPr>
          <t>Average daily gain (gram/day/head)</t>
        </r>
      </text>
    </comment>
    <comment ref="X1" authorId="0" shapeId="0" xr:uid="{978BD841-BF23-4D0F-8D44-410DB40DA023}">
      <text>
        <r>
          <rPr>
            <sz val="10"/>
            <rFont val="Arial"/>
            <family val="2"/>
            <charset val="1"/>
          </rPr>
          <t>Daily feed intake (gram/day/head)</t>
        </r>
      </text>
    </comment>
    <comment ref="Y1" authorId="0" shapeId="0" xr:uid="{C8125B6B-AE9A-498D-B907-CC3FA0A4325C}">
      <text>
        <r>
          <rPr>
            <sz val="10"/>
            <rFont val="Arial"/>
            <family val="2"/>
            <charset val="1"/>
          </rPr>
          <t>Feed conversion ratio</t>
        </r>
      </text>
    </comment>
    <comment ref="Z1" authorId="0" shapeId="0" xr:uid="{99C90D5E-372E-4C31-8AF9-6074FAAE80DB}">
      <text>
        <r>
          <rPr>
            <sz val="10"/>
            <rFont val="Arial"/>
            <family val="2"/>
            <charset val="1"/>
          </rPr>
          <t>Mortality rate (%)</t>
        </r>
      </text>
    </comment>
    <comment ref="AA1" authorId="0" shapeId="0" xr:uid="{879A877A-EF3D-4039-B71D-040C0150DF3E}">
      <text>
        <r>
          <rPr>
            <sz val="10"/>
            <rFont val="Arial"/>
            <family val="2"/>
            <charset val="1"/>
          </rPr>
          <t>Foot pad lesions</t>
        </r>
      </text>
    </comment>
    <comment ref="AB1" authorId="0" shapeId="0" xr:uid="{A587D532-25A4-4FC6-A751-8D9D648B9E67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C1" authorId="0" shapeId="0" xr:uid="{2471AA9D-7008-406F-BB7E-BDCC066A037F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D1" authorId="0" shapeId="0" xr:uid="{4E81E121-4A37-451D-B260-E6531F3CEC85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E1" authorId="0" shapeId="0" xr:uid="{283B9630-CBF6-492D-982D-42DADA6A3FE0}">
      <text>
        <r>
          <rPr>
            <sz val="10"/>
            <rFont val="Arial"/>
            <family val="2"/>
            <charset val="1"/>
          </rPr>
          <t>Protein efficiency ratio</t>
        </r>
      </text>
    </comment>
    <comment ref="AF1" authorId="0" shapeId="0" xr:uid="{2B88E9A6-3B1B-4C08-9055-37671BC7DDAD}">
      <text>
        <r>
          <rPr>
            <sz val="10"/>
            <rFont val="Arial"/>
            <family val="2"/>
            <charset val="1"/>
          </rPr>
          <t>European production efficiency factor = [(viability % × body weight Kg / age (d) × FCR)] ×100</t>
        </r>
      </text>
    </comment>
    <comment ref="AG1" authorId="0" shapeId="0" xr:uid="{88AC9D63-8FF9-4D00-9181-F928AF0B7876}">
      <text>
        <r>
          <rPr>
            <sz val="10"/>
            <rFont val="Arial"/>
            <family val="2"/>
            <charset val="1"/>
          </rPr>
          <t>European broiler index = [viability % × average daily gain (g/chick/day) / FCR (kg feed/kg gain)] ×10</t>
        </r>
      </text>
    </comment>
    <comment ref="AH1" authorId="0" shapeId="0" xr:uid="{93D2C85A-D66F-41AE-B0CA-4B97645C8ABF}">
      <text>
        <r>
          <rPr>
            <sz val="10"/>
            <rFont val="Arial"/>
            <family val="2"/>
            <charset val="1"/>
          </rPr>
          <t>Excreta score</t>
        </r>
      </text>
    </comment>
    <comment ref="AJ1" authorId="0" shapeId="0" xr:uid="{E766B0A3-9A9A-405A-8602-86EF9E7C8FCA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K1" authorId="0" shapeId="0" xr:uid="{8237A71D-D31F-46CC-AD8A-0346E2BAFBB6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L1" authorId="0" shapeId="0" xr:uid="{B0561989-8C15-4C86-9E98-0FEB81B97858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M1" authorId="0" shapeId="0" xr:uid="{8649CFBC-7CF1-4814-BBC1-78DE302118CE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N1" authorId="0" shapeId="0" xr:uid="{F570CA54-8463-4C8D-8D46-A77BD2C6C384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AO1" authorId="0" shapeId="0" xr:uid="{CE6296ED-DC78-40EE-81F1-38F12BACCC64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AP1" authorId="0" shapeId="0" xr:uid="{2845F010-F86D-4C2F-B480-ED1314F5B5DE}">
      <text>
        <r>
          <rPr>
            <sz val="10"/>
            <rFont val="Arial"/>
            <family val="2"/>
            <charset val="1"/>
          </rPr>
          <t>Apparent metabolizable energy corrected with N retention (kcal/kg)</t>
        </r>
      </text>
    </comment>
    <comment ref="AQ1" authorId="0" shapeId="0" xr:uid="{478C8AB8-39EF-4801-8859-4663DC748829}">
      <text>
        <r>
          <rPr>
            <sz val="10"/>
            <rFont val="Arial"/>
            <family val="2"/>
            <charset val="1"/>
          </rPr>
          <t>Startch digestibility (%)</t>
        </r>
      </text>
    </comment>
    <comment ref="AR1" authorId="0" shapeId="0" xr:uid="{2FA3263A-E2FC-4EAB-89C0-0CE0D14C7A5A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AS1" authorId="0" shapeId="0" xr:uid="{D2564F15-BAB7-4380-9CBC-A5CC065A582E}">
      <text>
        <r>
          <rPr>
            <sz val="10"/>
            <rFont val="Arial"/>
            <family val="2"/>
            <charset val="1"/>
          </rPr>
          <t>Calcium digestibility (%)</t>
        </r>
      </text>
    </comment>
    <comment ref="AT1" authorId="0" shapeId="0" xr:uid="{B1432D24-768C-4A28-9C00-75E6D7B1A615}">
      <text>
        <r>
          <rPr>
            <sz val="10"/>
            <rFont val="Arial"/>
            <family val="2"/>
            <charset val="1"/>
          </rPr>
          <t>Phosphate digestibility (%)</t>
        </r>
      </text>
    </comment>
    <comment ref="AU1" authorId="0" shapeId="0" xr:uid="{F84DD9EE-C819-4885-8BCD-A06B98396CEA}">
      <text>
        <r>
          <rPr>
            <sz val="10"/>
            <rFont val="Arial"/>
            <family val="2"/>
            <charset val="1"/>
          </rPr>
          <t>Ash digestibility (%)</t>
        </r>
      </text>
    </comment>
    <comment ref="AV1" authorId="0" shapeId="0" xr:uid="{C44ECDC7-99F3-4D50-AAAF-FB25E4B76209}">
      <text>
        <r>
          <rPr>
            <sz val="10"/>
            <rFont val="Arial"/>
            <family val="2"/>
            <charset val="1"/>
          </rPr>
          <t>Dry matter digestibility (%)</t>
        </r>
      </text>
    </comment>
    <comment ref="AW1" authorId="0" shapeId="0" xr:uid="{2D790DB8-AAA2-4B7C-90EE-72CF2805BBF8}">
      <text>
        <r>
          <rPr>
            <sz val="10"/>
            <rFont val="Arial"/>
            <family val="2"/>
            <charset val="1"/>
          </rPr>
          <t>Organic matter digestibility (%)</t>
        </r>
      </text>
    </comment>
    <comment ref="AX1" authorId="0" shapeId="0" xr:uid="{C3FA458A-CFF7-4E48-9802-87B35183945E}">
      <text>
        <r>
          <rPr>
            <sz val="10"/>
            <rFont val="Arial"/>
            <family val="2"/>
            <charset val="1"/>
          </rPr>
          <t>Crude protein digestibility (%)</t>
        </r>
      </text>
    </comment>
    <comment ref="AY1" authorId="0" shapeId="0" xr:uid="{E83113AF-387B-44A5-8DD2-8856995329E6}">
      <text>
        <r>
          <rPr>
            <sz val="10"/>
            <rFont val="Arial"/>
            <family val="2"/>
            <charset val="1"/>
          </rPr>
          <t>Gross energy digestibility (%)</t>
        </r>
      </text>
    </comment>
    <comment ref="AZ1" authorId="0" shapeId="0" xr:uid="{C44276F1-8FBB-45D0-A259-F92F0E62665A}">
      <text>
        <r>
          <rPr>
            <sz val="10"/>
            <rFont val="Arial"/>
            <family val="2"/>
            <charset val="1"/>
          </rPr>
          <t>Apparent metabolizable (kcal/kg)</t>
        </r>
      </text>
    </comment>
    <comment ref="BA1" authorId="0" shapeId="0" xr:uid="{A8214B37-BB8B-4C85-88CD-73215E79869C}">
      <text>
        <r>
          <rPr>
            <sz val="10"/>
            <rFont val="Arial"/>
            <family val="2"/>
            <charset val="1"/>
          </rPr>
          <t>ileal digestible energy (kcal/g)</t>
        </r>
      </text>
    </comment>
    <comment ref="BB1" authorId="0" shapeId="0" xr:uid="{3A57E080-E958-4113-B470-2A9B66ED0B58}">
      <text>
        <r>
          <rPr>
            <sz val="10"/>
            <rFont val="Arial"/>
            <family val="2"/>
            <charset val="1"/>
          </rPr>
          <t>Fat digestibility (%)</t>
        </r>
      </text>
    </comment>
    <comment ref="BD1" authorId="0" shapeId="0" xr:uid="{A7F5BA2B-1189-48D9-B698-FEF9CC3B3EEE}">
      <text>
        <r>
          <rPr>
            <sz val="10"/>
            <rFont val="Arial"/>
            <family val="2"/>
            <charset val="1"/>
          </rPr>
          <t>Carcass (% of live weght)</t>
        </r>
      </text>
    </comment>
    <comment ref="BE1" authorId="0" shapeId="0" xr:uid="{BFDB0EA9-8C23-4C35-AC5C-8ACE3DF5618D}">
      <text>
        <r>
          <rPr>
            <sz val="10"/>
            <rFont val="Arial"/>
            <family val="2"/>
            <charset val="1"/>
          </rPr>
          <t>Breast (% of live weght)</t>
        </r>
      </text>
    </comment>
    <comment ref="BF1" authorId="0" shapeId="0" xr:uid="{23AA954D-CF8A-43DE-A868-7A8E2738F200}">
      <text>
        <r>
          <rPr>
            <sz val="10"/>
            <rFont val="Arial"/>
            <family val="2"/>
            <charset val="1"/>
          </rPr>
          <t>Legs (% of live weght)</t>
        </r>
      </text>
    </comment>
    <comment ref="BG1" authorId="0" shapeId="0" xr:uid="{C460CE30-F117-4761-AFF6-EF780884146F}">
      <text>
        <r>
          <rPr>
            <sz val="10"/>
            <rFont val="Arial"/>
            <family val="2"/>
            <charset val="1"/>
          </rPr>
          <t>Fat pad (% of live weght)</t>
        </r>
      </text>
    </comment>
    <comment ref="BH1" authorId="0" shapeId="0" xr:uid="{C7E6310F-1E4F-4D6B-9B98-8E4108F5471B}">
      <text>
        <r>
          <rPr>
            <sz val="10"/>
            <rFont val="Arial"/>
            <family val="2"/>
            <charset val="1"/>
          </rPr>
          <t>Proventriculus (% of live weght)</t>
        </r>
      </text>
    </comment>
    <comment ref="BI1" authorId="0" shapeId="0" xr:uid="{BE98DA80-486F-4789-A484-305088512CE6}">
      <text>
        <r>
          <rPr>
            <sz val="10"/>
            <rFont val="Arial"/>
            <family val="2"/>
            <charset val="1"/>
          </rPr>
          <t>Gizzard (% of live weight)</t>
        </r>
      </text>
    </comment>
    <comment ref="BJ1" authorId="0" shapeId="0" xr:uid="{DC48BF6B-8EAC-4349-ADD7-6D698B0D11D1}">
      <text>
        <r>
          <rPr>
            <sz val="10"/>
            <rFont val="Arial"/>
            <family val="2"/>
            <charset val="1"/>
          </rPr>
          <t>Liver (% of live weight)</t>
        </r>
      </text>
    </comment>
    <comment ref="BK1" authorId="0" shapeId="0" xr:uid="{CA5F3939-222E-4D0F-B087-E25C537C9C36}">
      <text>
        <r>
          <rPr>
            <sz val="10"/>
            <rFont val="Arial"/>
            <family val="2"/>
            <charset val="1"/>
          </rPr>
          <t>Spleen (% of live weight)</t>
        </r>
      </text>
    </comment>
    <comment ref="BL1" authorId="0" shapeId="0" xr:uid="{A2297056-F27F-4123-9FD5-2B42F58F2713}">
      <text>
        <r>
          <rPr>
            <sz val="10"/>
            <rFont val="Arial"/>
            <family val="2"/>
            <charset val="1"/>
          </rPr>
          <t>Pancreas (% of live weight)</t>
        </r>
      </text>
    </comment>
    <comment ref="BM1" authorId="0" shapeId="0" xr:uid="{7626B85A-7854-41E1-A657-FADA4AAE5C32}">
      <text>
        <r>
          <rPr>
            <sz val="10"/>
            <rFont val="Arial"/>
            <family val="2"/>
            <charset val="1"/>
          </rPr>
          <t>Bursa of Fabricius (% of live weight)</t>
        </r>
      </text>
    </comment>
    <comment ref="BO1" authorId="0" shapeId="0" xr:uid="{DC7C07C8-458A-4B47-91A8-63734ED8D808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P1" authorId="0" shapeId="0" xr:uid="{A5DAA9D8-2748-4294-B82C-0CD747741DBC}">
      <text>
        <r>
          <rPr>
            <sz val="10"/>
            <rFont val="Arial"/>
            <family val="2"/>
            <charset val="1"/>
          </rPr>
          <t>Albumin (g/dL)</t>
        </r>
      </text>
    </comment>
    <comment ref="BQ1" authorId="0" shapeId="0" xr:uid="{AFA475BD-C94A-472C-9E63-663B0E8F5B3F}">
      <text>
        <r>
          <rPr>
            <sz val="10"/>
            <rFont val="Arial"/>
            <family val="2"/>
            <charset val="1"/>
          </rPr>
          <t>Globulin (g/dL)</t>
        </r>
      </text>
    </comment>
    <comment ref="BR1" authorId="0" shapeId="0" xr:uid="{5465E947-7D98-4E0D-97C2-E3BF60DD852C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BS1" authorId="0" shapeId="0" xr:uid="{91AD1743-155E-47F7-B65F-C217E85F8E08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BT1" authorId="0" shapeId="0" xr:uid="{55467C77-10F5-4340-A5CC-86AA1169A0A0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BU1" authorId="0" shapeId="0" xr:uid="{0E16AB83-D9D6-4E1B-82C9-439CC0594CD9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BV1" authorId="0" shapeId="0" xr:uid="{0029AFEB-6607-4513-84D7-48FE5F2A9C9F}">
      <text>
        <r>
          <rPr>
            <sz val="10"/>
            <rFont val="Arial"/>
            <family val="2"/>
            <charset val="1"/>
          </rPr>
          <t>Creatinine (mg/dL)</t>
        </r>
      </text>
    </comment>
    <comment ref="BW1" authorId="0" shapeId="0" xr:uid="{BF9D3E61-68CF-4C14-85D9-464E26AA5EC3}">
      <text>
        <r>
          <rPr>
            <sz val="10"/>
            <rFont val="Arial"/>
            <family val="2"/>
            <charset val="1"/>
          </rPr>
          <t>Uric acid (mg/dL)</t>
        </r>
      </text>
    </comment>
    <comment ref="BX1" authorId="0" shapeId="0" xr:uid="{C5396221-80F8-4167-9A8E-40C45D0C4786}">
      <text>
        <r>
          <rPr>
            <sz val="10"/>
            <rFont val="Arial"/>
            <family val="2"/>
            <charset val="1"/>
          </rPr>
          <t>Total protein (g/dL)</t>
        </r>
      </text>
    </comment>
    <comment ref="BY1" authorId="0" shapeId="0" xr:uid="{CE224417-D41F-49EA-B06C-A02A732D4B5C}">
      <text>
        <r>
          <rPr>
            <sz val="10"/>
            <rFont val="Arial"/>
            <family val="2"/>
            <charset val="1"/>
          </rPr>
          <t>Albumin (g/dL)</t>
        </r>
      </text>
    </comment>
    <comment ref="BZ1" authorId="0" shapeId="0" xr:uid="{FB375BB2-9772-477A-9245-0720466A12DC}">
      <text>
        <r>
          <rPr>
            <sz val="10"/>
            <rFont val="Arial"/>
            <family val="2"/>
            <charset val="1"/>
          </rPr>
          <t>Globulin (g/dL)</t>
        </r>
      </text>
    </comment>
    <comment ref="CA1" authorId="0" shapeId="0" xr:uid="{D327FBE1-8D3F-46C8-81C4-4B9304ABB884}">
      <text>
        <r>
          <rPr>
            <sz val="10"/>
            <rFont val="Arial"/>
            <family val="2"/>
            <charset val="1"/>
          </rPr>
          <t>Albumin and Globulin ratio</t>
        </r>
      </text>
    </comment>
    <comment ref="CB1" authorId="0" shapeId="0" xr:uid="{DF307B53-3738-46C4-A7CB-82EBB7273D41}">
      <text>
        <r>
          <rPr>
            <sz val="10"/>
            <rFont val="Arial"/>
            <family val="2"/>
            <charset val="1"/>
          </rPr>
          <t>Cholesterol (mg/dL)</t>
        </r>
      </text>
    </comment>
    <comment ref="CC1" authorId="0" shapeId="0" xr:uid="{6CEA098E-EBCC-4351-8F00-A616A6F7A9F3}">
      <text>
        <r>
          <rPr>
            <sz val="10"/>
            <rFont val="Arial"/>
            <family val="2"/>
            <charset val="1"/>
          </rPr>
          <t>Total lipids (mg/dL)</t>
        </r>
      </text>
    </comment>
    <comment ref="CD1" authorId="0" shapeId="0" xr:uid="{BEAE656C-A984-4100-8115-F49D75DDD8C3}">
      <text>
        <r>
          <rPr>
            <sz val="10"/>
            <rFont val="Arial"/>
            <family val="2"/>
            <charset val="1"/>
          </rPr>
          <t>Triacylglycerol (mg/dL)</t>
        </r>
      </text>
    </comment>
    <comment ref="CE1" authorId="0" shapeId="0" xr:uid="{C5CD33C9-4310-4895-8B4C-C2152D50AD01}">
      <text>
        <r>
          <rPr>
            <sz val="10"/>
            <rFont val="Arial"/>
            <family val="2"/>
            <charset val="1"/>
          </rPr>
          <t>Creatinine (mg/dL)</t>
        </r>
      </text>
    </comment>
    <comment ref="CF1" authorId="0" shapeId="0" xr:uid="{95465410-77B2-408F-9EE0-1CB5AA547D56}">
      <text>
        <r>
          <rPr>
            <sz val="10"/>
            <rFont val="Arial"/>
            <family val="2"/>
            <charset val="1"/>
          </rPr>
          <t>Uric acid (mg/dL)</t>
        </r>
      </text>
    </comment>
    <comment ref="CH1" authorId="0" shapeId="0" xr:uid="{560EFFCA-6177-4078-8B9F-A00034DF2C88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I1" authorId="0" shapeId="0" xr:uid="{F9B8EB92-6B82-4B9C-8367-705FE9658940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J1" authorId="0" shapeId="0" xr:uid="{F03C1762-75E7-4FC7-B1D4-24CBECF05966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K1" authorId="0" shapeId="0" xr:uid="{DBDD31BA-BCEA-4EEE-ACBC-8BFEFF206EA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L1" authorId="0" shapeId="0" xr:uid="{D3343648-6D07-4EE1-B9BF-E3D213758DC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M1" authorId="0" shapeId="0" xr:uid="{AEB68A33-2BD4-4CDD-A017-4BE0500987AA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N1" authorId="0" shapeId="0" xr:uid="{F1659761-52AC-4751-A52C-0106754E605C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O1" authorId="0" shapeId="0" xr:uid="{C8779C01-5D1D-4794-B721-F6130DDD939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P1" authorId="0" shapeId="0" xr:uid="{E2F7F1C2-12E2-4B14-8395-45127ED451A5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Q1" authorId="0" shapeId="0" xr:uid="{452F262E-9E9D-4A56-A45C-9BEB4C7ED208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R1" authorId="0" shapeId="0" xr:uid="{1135F76B-E066-4399-8E24-983C70FE4D9F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CS1" authorId="0" shapeId="0" xr:uid="{910FE96B-10D0-45DB-A946-536D05A40C68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T1" authorId="0" shapeId="0" xr:uid="{FB9CBAE8-148E-41D8-8F65-DDF23561178A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CU1" authorId="0" shapeId="0" xr:uid="{360E20DA-B269-4E1C-8FD5-E14A0340DF0F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 shapeId="0" xr:uid="{D4A3C37F-469E-484C-9AC4-7338B65F277A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CW1" authorId="0" shapeId="0" xr:uid="{9A263521-FE58-4698-B67B-DB28BA63C7F7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CX1" authorId="0" shapeId="0" xr:uid="{6DF2C11E-6B61-475A-A3A2-BD982CFD843B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CY1" authorId="0" shapeId="0" xr:uid="{33AE2891-3AE0-48D7-AE0F-BFE62818248C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 shapeId="0" xr:uid="{D1B776C2-63F1-4197-B32F-21FBF9215F84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A1" authorId="0" shapeId="0" xr:uid="{D2F25C95-BC95-4501-BDD8-7ECAC914E67B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B1" authorId="0" shapeId="0" xr:uid="{E4D57197-CB3E-4EEF-9334-1FA8BC70BEC4}">
      <text>
        <r>
          <rPr>
            <sz val="10"/>
            <rFont val="Arial"/>
            <family val="2"/>
            <charset val="1"/>
          </rPr>
          <t>Escherichia coli (log 10 cfu/g)</t>
        </r>
      </text>
    </comment>
    <comment ref="DC1" authorId="0" shapeId="0" xr:uid="{89D57C31-BD4E-45A4-8968-B5C3E1C0ECAD}">
      <text>
        <r>
          <rPr>
            <sz val="10"/>
            <rFont val="Arial"/>
            <family val="2"/>
            <charset val="1"/>
          </rPr>
          <t>Lactic Acid Bacteria (log 10 cfu/g)</t>
        </r>
      </text>
    </comment>
    <comment ref="DD1" authorId="0" shapeId="0" xr:uid="{895FA11B-DDE5-4245-B2F5-E8169FBBA3A5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E1" authorId="0" shapeId="0" xr:uid="{14DB5879-E6B2-47B2-A6A1-17FC784BE5E7}">
      <text>
        <r>
          <rPr>
            <sz val="10"/>
            <rFont val="Arial"/>
            <family val="2"/>
            <charset val="1"/>
          </rPr>
          <t>Coliform (log 10 cfu/g )</t>
        </r>
      </text>
    </comment>
    <comment ref="DF1" authorId="0" shapeId="0" xr:uid="{3EA78C6B-0793-4F5F-8678-1BC045AB30ED}">
      <text>
        <r>
          <rPr>
            <sz val="10"/>
            <rFont val="Arial"/>
            <family val="2"/>
            <charset val="1"/>
          </rPr>
          <t>Clostridium (log 10 cfu/g)</t>
        </r>
      </text>
    </comment>
    <comment ref="DG1" authorId="0" shapeId="0" xr:uid="{1DEC367F-A984-46C9-BFA7-DCD071146F09}">
      <text>
        <r>
          <rPr>
            <sz val="10"/>
            <rFont val="Arial"/>
            <family val="2"/>
            <charset val="1"/>
          </rPr>
          <t>Total Aerobic 
Bacteria (log 10 cfu/g)</t>
        </r>
      </text>
    </comment>
    <comment ref="DI1" authorId="0" shapeId="0" xr:uid="{C8114982-8A4A-4C79-A13E-E833A7F16084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J1" authorId="0" shapeId="0" xr:uid="{9D7F2CBB-D256-4832-86B3-81C390A04098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K1" authorId="0" shapeId="0" xr:uid="{F289C102-68CE-4616-9AFC-25935CDA66E9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DL1" authorId="0" shapeId="0" xr:uid="{8C34460D-D9AA-4A41-B987-1939101D36C6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M1" authorId="0" shapeId="0" xr:uid="{C6D6F9E0-E57D-4725-88D2-E03A9CA22951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N1" authorId="0" shapeId="0" xr:uid="{01A3E476-2419-442E-963E-D026F1318FBB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DO1" authorId="0" shapeId="0" xr:uid="{6B1CF45D-C745-4E87-9B57-8FD20FA2823F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P1" authorId="0" shapeId="0" xr:uid="{8B5634BE-5DBC-4428-BDD3-476A62872594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Q1" authorId="0" shapeId="0" xr:uid="{124ED64F-BCDD-4D71-9C31-A79C0ACC9793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DU1" authorId="0" shapeId="0" xr:uid="{874B56DB-34BA-4CAA-B2CD-9559779966AD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V1" authorId="0" shapeId="0" xr:uid="{70A1D6E1-CDA0-4C04-9C30-2D77315EFF36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W1" authorId="0" shapeId="0" xr:uid="{EFA08C5B-74CF-4C87-8994-3CC1272E0CF2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X1" authorId="0" shapeId="0" xr:uid="{84BB7B96-ECDF-426E-8C5D-C3A2E629C224}">
      <text>
        <r>
          <rPr>
            <sz val="10"/>
            <rFont val="Arial"/>
            <family val="2"/>
            <charset val="1"/>
          </rPr>
          <t>pH crop</t>
        </r>
      </text>
    </comment>
    <comment ref="DY1" authorId="0" shapeId="0" xr:uid="{EEACA74D-221C-494B-9D47-8B020A372624}">
      <text>
        <r>
          <rPr>
            <sz val="10"/>
            <rFont val="Arial"/>
            <family val="2"/>
            <charset val="1"/>
          </rPr>
          <t>pH illeum</t>
        </r>
      </text>
    </comment>
    <comment ref="DZ1" authorId="0" shapeId="0" xr:uid="{6D6EE35A-5169-443C-BD77-E97110AD521D}">
      <text>
        <r>
          <rPr>
            <sz val="10"/>
            <rFont val="Arial"/>
            <family val="2"/>
            <charset val="1"/>
          </rPr>
          <t>pH caecum</t>
        </r>
      </text>
    </comment>
    <comment ref="EB1" authorId="0" shapeId="0" xr:uid="{BA054ED0-AF79-44AC-89DF-7F91B6878C1A}">
      <text>
        <r>
          <rPr>
            <sz val="10"/>
            <rFont val="Arial"/>
            <family val="2"/>
            <charset val="1"/>
          </rPr>
          <t>g/L</t>
        </r>
      </text>
    </comment>
    <comment ref="EC1" authorId="0" shapeId="0" xr:uid="{49211149-A3C6-4E16-BDE9-B5BB1B3384D3}">
      <text>
        <r>
          <rPr>
            <sz val="10"/>
            <rFont val="Arial"/>
            <family val="2"/>
            <charset val="1"/>
          </rPr>
          <t>g/L</t>
        </r>
      </text>
    </comment>
    <comment ref="ED1" authorId="0" shapeId="0" xr:uid="{C7097D7D-1B7D-4E6C-AB09-3FFF7D90E034}">
      <text>
        <r>
          <rPr>
            <sz val="10"/>
            <rFont val="Arial"/>
            <family val="2"/>
            <charset val="1"/>
          </rPr>
          <t>g/L</t>
        </r>
      </text>
    </comment>
    <comment ref="EE1" authorId="0" shapeId="0" xr:uid="{4442371B-269D-4151-B996-254C48FE217F}">
      <text>
        <r>
          <rPr>
            <sz val="10"/>
            <rFont val="Arial"/>
            <family val="2"/>
            <charset val="1"/>
          </rPr>
          <t>g/L</t>
        </r>
      </text>
    </comment>
    <comment ref="EF1" authorId="0" shapeId="0" xr:uid="{E3A64BAE-4460-4EDD-9397-E05CE685E6E2}">
      <text>
        <r>
          <rPr>
            <sz val="10"/>
            <rFont val="Arial"/>
            <family val="2"/>
            <charset val="1"/>
          </rPr>
          <t>g/L</t>
        </r>
      </text>
    </comment>
    <comment ref="EG1" authorId="0" shapeId="0" xr:uid="{8D5D07D9-E2DD-4AC4-92E8-0BB0141EE9B7}">
      <text>
        <r>
          <rPr>
            <sz val="10"/>
            <rFont val="Arial"/>
            <family val="2"/>
            <charset val="1"/>
          </rPr>
          <t>g/L</t>
        </r>
      </text>
    </comment>
    <comment ref="EH1" authorId="0" shapeId="0" xr:uid="{5EEF2250-6353-4F87-9426-B7595FF0AFD2}">
      <text>
        <r>
          <rPr>
            <sz val="10"/>
            <rFont val="Arial"/>
            <family val="2"/>
            <charset val="1"/>
          </rPr>
          <t>g/L</t>
        </r>
      </text>
    </comment>
    <comment ref="EI1" authorId="0" shapeId="0" xr:uid="{AA8E516D-9318-489D-9F45-E4BA04E2C64B}">
      <text>
        <r>
          <rPr>
            <sz val="10"/>
            <rFont val="Arial"/>
            <family val="2"/>
            <charset val="1"/>
          </rPr>
          <t>g/L</t>
        </r>
      </text>
    </comment>
    <comment ref="EJ1" authorId="0" shapeId="0" xr:uid="{F3384438-6A7D-4C14-9FD0-B2B02589AD40}">
      <text>
        <r>
          <rPr>
            <sz val="10"/>
            <rFont val="Arial"/>
            <family val="2"/>
            <charset val="1"/>
          </rPr>
          <t>g/L</t>
        </r>
      </text>
    </comment>
    <comment ref="EK1" authorId="0" shapeId="0" xr:uid="{5E75FB3D-503D-42E4-843B-06A07E4DD728}">
      <text>
        <r>
          <rPr>
            <sz val="10"/>
            <rFont val="Arial"/>
            <family val="2"/>
            <charset val="1"/>
          </rPr>
          <t>g/L</t>
        </r>
      </text>
    </comment>
    <comment ref="EM1" authorId="0" shapeId="0" xr:uid="{6FFCA0C3-1488-435F-A769-A7852A41238B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N1" authorId="0" shapeId="0" xr:uid="{15497BC6-36EC-43CB-B4AC-76E76070E28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O1" authorId="0" shapeId="0" xr:uid="{4B0C6C93-427F-4356-9054-66165134D64F}">
      <text>
        <r>
          <rPr>
            <sz val="10"/>
            <rFont val="Arial"/>
            <family val="2"/>
            <charset val="1"/>
          </rPr>
          <t>1. Antibody Titer
2. log2N</t>
        </r>
      </text>
    </comment>
    <comment ref="EP1" authorId="0" shapeId="0" xr:uid="{5FB50F4F-0401-4161-9D38-2294197F3C18}">
      <text>
        <r>
          <rPr>
            <sz val="10"/>
            <rFont val="Arial"/>
            <family val="2"/>
            <charset val="1"/>
          </rPr>
          <t>1. Antibody Titer
2. %</t>
        </r>
      </text>
    </comment>
    <comment ref="ER1" authorId="0" shapeId="0" xr:uid="{D6695F68-B87A-4E99-BA38-E225C8308D1F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 shapeId="0" xr:uid="{0E61296F-9479-4BFC-9350-E18184AA5AD8}">
      <text>
        <r>
          <rPr>
            <sz val="10"/>
            <rFont val="Arial"/>
            <family val="2"/>
            <charset val="1"/>
          </rPr>
          <t>Spleen index</t>
        </r>
      </text>
    </comment>
    <comment ref="ET1" authorId="0" shapeId="0" xr:uid="{D5C97659-D53D-482B-A9E5-B4D076761890}">
      <text>
        <r>
          <rPr>
            <sz val="10"/>
            <rFont val="Arial"/>
            <family val="2"/>
            <charset val="1"/>
          </rPr>
          <t>Thymus index</t>
        </r>
      </text>
    </comment>
    <comment ref="EU1" authorId="0" shapeId="0" xr:uid="{1D26AE61-CA95-4F75-A2F7-7DA86D4A49D6}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 shapeId="0" xr:uid="{EC58C9EE-E9EE-44FE-9ACC-C1534E4AAB51}">
      <text>
        <r>
          <rPr>
            <sz val="10"/>
            <rFont val="Arial"/>
            <family val="2"/>
            <charset val="1"/>
          </rPr>
          <t>Spleen index</t>
        </r>
      </text>
    </comment>
    <comment ref="EW1" authorId="0" shapeId="0" xr:uid="{4B1F9D93-D7FD-4E35-B45F-81D8E3E3E377}">
      <text>
        <r>
          <rPr>
            <sz val="10"/>
            <rFont val="Arial"/>
            <family val="2"/>
            <charset val="1"/>
          </rPr>
          <t>Thymus index</t>
        </r>
      </text>
    </comment>
    <comment ref="EY1" authorId="0" shapeId="0" xr:uid="{54E8B6D9-C333-4331-A3CB-A42B32213278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EZ1" authorId="0" shapeId="0" xr:uid="{0F7DE89E-9BF2-4D13-8C63-B8AB9F83A491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A1" authorId="0" shapeId="0" xr:uid="{F192F71A-0A43-4339-8B98-9201A8CF9C60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B1" authorId="0" shapeId="0" xr:uid="{3F881BAA-65FC-4AA8-849F-C27FD1607126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C1" authorId="0" shapeId="0" xr:uid="{E28F0C81-AA41-4FA7-B485-E9C6052C20A3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D1" authorId="0" shapeId="0" xr:uid="{DA91BDBF-CC65-452A-B3D2-1085F00A3085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E1" authorId="0" shapeId="0" xr:uid="{2F21B1AD-F50A-4ACB-9F5A-1BE47EEF3E08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F1" authorId="0" shapeId="0" xr:uid="{0B7C208C-80A9-4791-8F9F-A41606894ACC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G1" authorId="0" shapeId="0" xr:uid="{5FF5A1DB-8532-44EF-A728-13C9A870957D}">
      <text>
        <r>
          <rPr>
            <sz val="10"/>
            <rFont val="Arial"/>
            <family val="2"/>
            <charset val="1"/>
          </rPr>
          <t>Alanine aminotransferase (U/L)</t>
        </r>
      </text>
    </comment>
    <comment ref="FH1" authorId="0" shapeId="0" xr:uid="{DA1CEC9D-6E34-4B3F-8584-05717A512671}">
      <text>
        <r>
          <rPr>
            <sz val="10"/>
            <rFont val="Arial"/>
            <family val="2"/>
            <charset val="1"/>
          </rPr>
          <t>Glutathione (μmol/g)</t>
        </r>
      </text>
    </comment>
    <comment ref="FI1" authorId="0" shapeId="0" xr:uid="{946D5607-5834-4F92-A6F2-D8D2D6284E0F}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 shapeId="0" xr:uid="{C98373AA-002D-4371-A3D1-0BC4C2BB11E8}">
      <text>
        <r>
          <rPr>
            <sz val="12"/>
            <color rgb="FF131413"/>
            <rFont val="Times New Roman"/>
            <family val="1"/>
            <charset val="1"/>
          </rPr>
          <t>Glutathione reductase (U/g)</t>
        </r>
      </text>
    </comment>
    <comment ref="FK1" authorId="0" shapeId="0" xr:uid="{25951D61-15A4-47C9-8D73-4FFC483BD8EF}">
      <text>
        <r>
          <rPr>
            <sz val="10"/>
            <rFont val="Arial"/>
            <family val="2"/>
            <charset val="1"/>
          </rPr>
          <t>Malondialdehyd (nmol/mg)</t>
        </r>
      </text>
    </comment>
    <comment ref="FL1" authorId="0" shapeId="0" xr:uid="{C84550AD-186A-42CC-9BB6-ED475ACCBF16}">
      <text>
        <r>
          <rPr>
            <sz val="12"/>
            <color rgb="FF131413"/>
            <rFont val="Times New Roman"/>
            <family val="1"/>
            <charset val="1"/>
          </rPr>
          <t>Total antioxidant capacity (U/mg)</t>
        </r>
      </text>
    </comment>
    <comment ref="FM1" authorId="0" shapeId="0" xr:uid="{5D7C9E25-4946-4DCC-B70E-8C9BCF0354AD}">
      <text>
        <r>
          <rPr>
            <sz val="10"/>
            <color rgb="FF131413"/>
            <rFont val="Arial"/>
            <family val="2"/>
            <charset val="1"/>
          </rPr>
          <t>total superoxide dismutase (U/mg)</t>
        </r>
      </text>
    </comment>
    <comment ref="FN1" authorId="0" shapeId="0" xr:uid="{5C2B4380-C3D0-4C14-80C5-55BBD48A27A7}">
      <text>
        <r>
          <rPr>
            <sz val="10"/>
            <rFont val="Arial"/>
            <family val="2"/>
            <charset val="1"/>
          </rPr>
          <t>Superoxide dismutase (% inhibition)</t>
        </r>
      </text>
    </comment>
    <comment ref="FP1" authorId="0" shapeId="0" xr:uid="{494455B4-B7AD-4235-BD8D-89BB4334209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Q1" authorId="0" shapeId="0" xr:uid="{79C4F4A2-10C9-457C-ABE4-D79B07E986F1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R1" authorId="0" shapeId="0" xr:uid="{E9CC1888-60FB-4AAD-B705-CA82B193D6D7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S1" authorId="0" shapeId="0" xr:uid="{4EC42FAD-47EF-4D6A-8D19-CEF184265536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T1" authorId="0" shapeId="0" xr:uid="{CBDA8B81-3E28-4CD8-B2E1-5384000B09E4}">
      <text>
        <r>
          <rPr>
            <sz val="10"/>
            <color rgb="FF131413"/>
            <rFont val="Arial"/>
            <family val="2"/>
            <charset val="1"/>
          </rPr>
          <t>Amylase (U/mg)</t>
        </r>
      </text>
    </comment>
    <comment ref="FU1" authorId="0" shapeId="0" xr:uid="{9042FD08-F53F-46BE-AC7E-78CC07B7BDCB}">
      <text>
        <r>
          <rPr>
            <sz val="10"/>
            <color rgb="FF131413"/>
            <rFont val="Arial"/>
            <family val="2"/>
            <charset val="1"/>
          </rPr>
          <t>Chymotrypsin (U/mg)</t>
        </r>
      </text>
    </comment>
    <comment ref="FV1" authorId="0" shapeId="0" xr:uid="{9FE627E6-B5A8-4CF3-88B2-858C89B01145}">
      <text>
        <r>
          <rPr>
            <sz val="10"/>
            <color rgb="FF131413"/>
            <rFont val="Arial"/>
            <family val="2"/>
            <charset val="1"/>
          </rPr>
          <t>Lipase (U/g)</t>
        </r>
      </text>
    </comment>
    <comment ref="FW1" authorId="0" shapeId="0" xr:uid="{7652BEB7-E9E4-40AF-9979-B79BFB322993}">
      <text>
        <r>
          <rPr>
            <sz val="10"/>
            <color rgb="FF131413"/>
            <rFont val="Arial"/>
            <family val="2"/>
            <charset val="1"/>
          </rPr>
          <t>Trypsin (U/mg)</t>
        </r>
      </text>
    </comment>
    <comment ref="FY1" authorId="0" shapeId="0" xr:uid="{3FE7960D-CDA4-4D56-849D-A9D98B60095C}">
      <text>
        <r>
          <rPr>
            <sz val="10"/>
            <rFont val="Arial"/>
            <family val="2"/>
            <charset val="1"/>
          </rPr>
          <t>Mucous height (micrometer)</t>
        </r>
      </text>
    </comment>
    <comment ref="FZ1" authorId="0" shapeId="0" xr:uid="{5BD3DDA8-C583-400A-BA87-3FCC1871FED7}">
      <text>
        <r>
          <rPr>
            <sz val="10"/>
            <rFont val="Arial"/>
            <family val="2"/>
            <charset val="1"/>
          </rPr>
          <t>Villus height (micrometer)</t>
        </r>
      </text>
    </comment>
    <comment ref="GA1" authorId="0" shapeId="0" xr:uid="{2A523D1C-F278-463E-8F4E-0EB873DC575A}">
      <text>
        <r>
          <rPr>
            <sz val="10"/>
            <rFont val="Arial"/>
            <family val="2"/>
            <charset val="1"/>
          </rPr>
          <t>Crypt depth (micrometer)</t>
        </r>
      </text>
    </comment>
    <comment ref="GC1" authorId="0" shapeId="0" xr:uid="{1D86366C-5FA9-4431-9543-8DB6363ECE3A}">
      <text>
        <r>
          <rPr>
            <sz val="10"/>
            <rFont val="Arial"/>
            <family val="2"/>
            <charset val="1"/>
          </rPr>
          <t>Number of goblet cell (cells/mm)</t>
        </r>
      </text>
    </comment>
    <comment ref="D15" authorId="0" shapeId="0" xr:uid="{692B2048-B0F6-4D5F-A77A-26F57349F6BB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6" authorId="0" shapeId="0" xr:uid="{EB683B24-0DF4-4199-90E4-9050F4023A97}">
      <text>
        <r>
          <rPr>
            <sz val="10"/>
            <rFont val="Arial"/>
            <family val="2"/>
            <charset val="1"/>
          </rPr>
          <t>1. AKKVFKRLEKLFSKIWNWK–NH 2</t>
        </r>
      </text>
    </comment>
    <comment ref="D19" authorId="0" shapeId="0" xr:uid="{BEE90BE2-D2F7-47AC-A59E-53E27FB3A3CC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D20" authorId="0" shapeId="0" xr:uid="{AE0627FB-4A90-46C7-B3C9-5B508DB87BEF}">
      <text>
        <r>
          <rPr>
            <sz val="10"/>
            <rFont val="Arial"/>
            <family val="2"/>
            <charset val="1"/>
          </rPr>
          <t>1. KWKKLLKKPLLKKLLKKL-NH 2
2. cecropin A (1-8)-magainin 2(1-12)</t>
        </r>
      </text>
    </comment>
    <comment ref="F38" authorId="0" shapeId="0" xr:uid="{9DB8639F-8959-49EA-8264-338E3388CA93}">
      <text>
        <r>
          <rPr>
            <sz val="10"/>
            <rFont val="Arial"/>
            <family val="2"/>
            <charset val="1"/>
          </rPr>
          <t>mg/L</t>
        </r>
      </text>
    </comment>
    <comment ref="F39" authorId="0" shapeId="0" xr:uid="{FEBDCF74-6ABC-438D-A831-1DC1F69C6125}">
      <text>
        <r>
          <rPr>
            <sz val="10"/>
            <rFont val="Arial"/>
            <family val="2"/>
            <charset val="1"/>
          </rPr>
          <t>mg/L</t>
        </r>
      </text>
    </comment>
    <comment ref="F40" authorId="0" shapeId="0" xr:uid="{9C93836D-5F17-4F97-8C2A-3D716B53F22F}">
      <text>
        <r>
          <rPr>
            <sz val="10"/>
            <rFont val="Arial"/>
            <family val="2"/>
            <charset val="1"/>
          </rPr>
          <t>mg/L</t>
        </r>
      </text>
    </comment>
    <comment ref="F45" authorId="0" shapeId="0" xr:uid="{808A33A0-6FAF-4E5D-ABD4-66BA58AF597F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</author>
  </authors>
  <commentList>
    <comment ref="W1" authorId="0" shapeId="0" xr:uid="{00000000-0006-0000-0700-00000A000000}">
      <text>
        <r>
          <rPr>
            <sz val="10"/>
            <rFont val="Arial"/>
            <family val="2"/>
            <charset val="1"/>
          </rPr>
          <t>%</t>
        </r>
      </text>
    </comment>
    <comment ref="X1" authorId="0" shapeId="0" xr:uid="{00000000-0006-0000-0700-00000B000000}">
      <text>
        <r>
          <rPr>
            <sz val="10"/>
            <rFont val="Arial"/>
            <family val="2"/>
            <charset val="1"/>
          </rPr>
          <t>%</t>
        </r>
      </text>
    </comment>
    <comment ref="Y1" authorId="0" shapeId="0" xr:uid="{00000000-0006-0000-0700-00000C000000}">
      <text>
        <r>
          <rPr>
            <sz val="10"/>
            <rFont val="Arial"/>
            <family val="2"/>
            <charset val="1"/>
          </rPr>
          <t>%</t>
        </r>
      </text>
    </comment>
    <comment ref="Z1" authorId="0" shapeId="0" xr:uid="{00000000-0006-0000-0700-00000D000000}">
      <text>
        <r>
          <rPr>
            <sz val="10"/>
            <rFont val="Arial"/>
            <family val="2"/>
            <charset val="1"/>
          </rPr>
          <t>%</t>
        </r>
      </text>
    </comment>
    <comment ref="AA1" authorId="0" shapeId="0" xr:uid="{00000000-0006-0000-0700-00000E000000}">
      <text>
        <r>
          <rPr>
            <sz val="10"/>
            <rFont val="Arial"/>
            <family val="2"/>
            <charset val="1"/>
          </rPr>
          <t>%</t>
        </r>
      </text>
    </comment>
    <comment ref="AB1" authorId="0" shapeId="0" xr:uid="{00000000-0006-0000-0700-00000F000000}">
      <text>
        <r>
          <rPr>
            <sz val="10"/>
            <rFont val="Arial"/>
            <family val="2"/>
            <charset val="1"/>
          </rPr>
          <t>%</t>
        </r>
      </text>
    </comment>
    <comment ref="AD1" authorId="0" shapeId="0" xr:uid="{00000000-0006-0000-0700-000010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E1" authorId="0" shapeId="0" xr:uid="{00000000-0006-0000-0700-000011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F1" authorId="0" shapeId="0" xr:uid="{00000000-0006-0000-0700-000012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G1" authorId="0" shapeId="0" xr:uid="{00000000-0006-0000-0700-000013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H1" authorId="0" shapeId="0" xr:uid="{00000000-0006-0000-0700-000014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I1" authorId="0" shapeId="0" xr:uid="{00000000-0006-0000-0700-000015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J1" authorId="0" shapeId="0" xr:uid="{00000000-0006-0000-0700-000016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K1" authorId="0" shapeId="0" xr:uid="{00000000-0006-0000-0700-000017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L1" authorId="0" shapeId="0" xr:uid="{00000000-0006-0000-0700-000018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M1" authorId="0" shapeId="0" xr:uid="{00000000-0006-0000-0700-000019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N1" authorId="0" shapeId="0" xr:uid="{00000000-0006-0000-0700-00001A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O1" authorId="0" shapeId="0" xr:uid="{00000000-0006-0000-0700-00001B000000}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P1" authorId="0" shapeId="0" xr:uid="{00000000-0006-0000-0700-00001C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Q1" authorId="0" shapeId="0" xr:uid="{00000000-0006-0000-0700-00001D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R1" authorId="0" shapeId="0" xr:uid="{00000000-0006-0000-0700-00001E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S1" authorId="0" shapeId="0" xr:uid="{00000000-0006-0000-0700-00001F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T1" authorId="0" shapeId="0" xr:uid="{00000000-0006-0000-0700-000020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U1" authorId="0" shapeId="0" xr:uid="{00000000-0006-0000-0700-000021000000}">
      <text>
        <r>
          <rPr>
            <sz val="10"/>
            <rFont val="Arial"/>
            <family val="2"/>
            <charset val="1"/>
          </rPr>
          <t>log 10 cfu/g</t>
        </r>
      </text>
    </comment>
    <comment ref="AW1" authorId="0" shapeId="0" xr:uid="{00000000-0006-0000-0700-000022000000}">
      <text>
        <r>
          <rPr>
            <sz val="10"/>
            <rFont val="Arial"/>
            <family val="2"/>
            <charset val="1"/>
          </rPr>
          <t>mikromili</t>
        </r>
      </text>
    </comment>
    <comment ref="AX1" authorId="0" shapeId="0" xr:uid="{00000000-0006-0000-0700-000023000000}">
      <text>
        <r>
          <rPr>
            <sz val="10"/>
            <rFont val="Arial"/>
            <family val="2"/>
            <charset val="1"/>
          </rPr>
          <t>mikromili</t>
        </r>
      </text>
    </comment>
    <comment ref="AY1" authorId="0" shapeId="0" xr:uid="{00000000-0006-0000-0700-000024000000}">
      <text>
        <r>
          <rPr>
            <sz val="10"/>
            <rFont val="Arial"/>
            <family val="2"/>
            <charset val="1"/>
          </rPr>
          <t>mikromili</t>
        </r>
      </text>
    </comment>
    <comment ref="AZ1" authorId="0" shapeId="0" xr:uid="{00000000-0006-0000-0700-000025000000}">
      <text>
        <r>
          <rPr>
            <sz val="10"/>
            <rFont val="Arial"/>
            <family val="2"/>
            <charset val="1"/>
          </rPr>
          <t>mikromili</t>
        </r>
      </text>
    </comment>
    <comment ref="BA1" authorId="0" shapeId="0" xr:uid="{00000000-0006-0000-0700-000026000000}">
      <text>
        <r>
          <rPr>
            <sz val="10"/>
            <rFont val="Arial"/>
            <family val="2"/>
            <charset val="1"/>
          </rPr>
          <t>mikromili</t>
        </r>
      </text>
    </comment>
    <comment ref="BB1" authorId="0" shapeId="0" xr:uid="{00000000-0006-0000-0700-000027000000}">
      <text>
        <r>
          <rPr>
            <sz val="10"/>
            <rFont val="Arial"/>
            <family val="2"/>
            <charset val="1"/>
          </rPr>
          <t>mikromili</t>
        </r>
      </text>
    </comment>
    <comment ref="BC1" authorId="0" shapeId="0" xr:uid="{00000000-0006-0000-0700-000028000000}">
      <text>
        <r>
          <rPr>
            <sz val="10"/>
            <rFont val="Arial"/>
            <family val="2"/>
            <charset val="1"/>
          </rPr>
          <t>mikromili</t>
        </r>
      </text>
    </comment>
    <comment ref="BD1" authorId="0" shapeId="0" xr:uid="{00000000-0006-0000-0700-000029000000}">
      <text>
        <r>
          <rPr>
            <sz val="10"/>
            <rFont val="Arial"/>
            <family val="2"/>
            <charset val="1"/>
          </rPr>
          <t>mikromili</t>
        </r>
      </text>
    </comment>
    <comment ref="BE1" authorId="0" shapeId="0" xr:uid="{00000000-0006-0000-0700-00002A000000}">
      <text>
        <r>
          <rPr>
            <sz val="10"/>
            <rFont val="Arial"/>
            <family val="2"/>
            <charset val="1"/>
          </rPr>
          <t>mikromili</t>
        </r>
      </text>
    </comment>
    <comment ref="BJ1" authorId="0" shapeId="0" xr:uid="{00000000-0006-0000-0700-00002B000000}">
      <text>
        <r>
          <rPr>
            <sz val="10"/>
            <rFont val="Arial"/>
            <family val="2"/>
            <charset val="1"/>
          </rPr>
          <t>%</t>
        </r>
      </text>
    </comment>
    <comment ref="BP1" authorId="0" shapeId="0" xr:uid="{00000000-0006-0000-0700-00002C000000}">
      <text>
        <r>
          <rPr>
            <sz val="10"/>
            <rFont val="Arial"/>
            <family val="2"/>
            <charset val="1"/>
          </rPr>
          <t>g/L</t>
        </r>
      </text>
    </comment>
    <comment ref="BQ1" authorId="0" shapeId="0" xr:uid="{00000000-0006-0000-0700-00002D000000}">
      <text>
        <r>
          <rPr>
            <sz val="10"/>
            <rFont val="Arial"/>
            <family val="2"/>
            <charset val="1"/>
          </rPr>
          <t>g/L</t>
        </r>
      </text>
    </comment>
    <comment ref="BR1" authorId="0" shapeId="0" xr:uid="{00000000-0006-0000-0700-00002E000000}">
      <text>
        <r>
          <rPr>
            <sz val="10"/>
            <rFont val="Arial"/>
            <family val="2"/>
            <charset val="1"/>
          </rPr>
          <t>g/L</t>
        </r>
      </text>
    </comment>
    <comment ref="BS1" authorId="0" shapeId="0" xr:uid="{00000000-0006-0000-0700-00002F000000}">
      <text>
        <r>
          <rPr>
            <sz val="10"/>
            <rFont val="Arial"/>
            <family val="2"/>
            <charset val="1"/>
          </rPr>
          <t>g/L</t>
        </r>
      </text>
    </comment>
    <comment ref="BT1" authorId="0" shapeId="0" xr:uid="{00000000-0006-0000-0700-000030000000}">
      <text>
        <r>
          <rPr>
            <sz val="10"/>
            <rFont val="Arial"/>
            <family val="2"/>
            <charset val="1"/>
          </rPr>
          <t>g/L</t>
        </r>
      </text>
    </comment>
    <comment ref="BU1" authorId="0" shapeId="0" xr:uid="{00000000-0006-0000-0700-000031000000}">
      <text>
        <r>
          <rPr>
            <sz val="10"/>
            <rFont val="Arial"/>
            <family val="2"/>
            <charset val="1"/>
          </rPr>
          <t>% inhibition</t>
        </r>
      </text>
    </comment>
    <comment ref="BV1" authorId="0" shapeId="0" xr:uid="{00000000-0006-0000-0700-000032000000}">
      <text>
        <r>
          <rPr>
            <sz val="10"/>
            <rFont val="Arial"/>
            <family val="2"/>
            <charset val="1"/>
          </rPr>
          <t xml:space="preserve">mikrogram/mL
</t>
        </r>
      </text>
    </comment>
    <comment ref="E14" authorId="0" shapeId="0" xr:uid="{00000000-0006-0000-0700-000001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5" authorId="0" shapeId="0" xr:uid="{00000000-0006-0000-0700-000002000000}">
      <text>
        <r>
          <rPr>
            <sz val="10"/>
            <rFont val="Arial"/>
            <family val="2"/>
            <charset val="1"/>
          </rPr>
          <t>AKKVFKRLEKLFSKIWNWK–NH 2</t>
        </r>
      </text>
    </comment>
    <comment ref="E18" authorId="0" shapeId="0" xr:uid="{00000000-0006-0000-0700-000003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E19" authorId="0" shapeId="0" xr:uid="{00000000-0006-0000-0700-000004000000}">
      <text>
        <r>
          <rPr>
            <sz val="10"/>
            <rFont val="Arial"/>
            <family val="2"/>
            <charset val="1"/>
          </rPr>
          <t>KWKKLLKKPLLKKLLKKL-NH 2
cecropin A (1-8)-magainin 2(1-12)</t>
        </r>
      </text>
    </comment>
    <comment ref="G50" authorId="0" shapeId="0" xr:uid="{00000000-0006-0000-0700-000005000000}">
      <text>
        <r>
          <rPr>
            <sz val="10"/>
            <rFont val="Arial"/>
            <family val="2"/>
            <charset val="1"/>
          </rPr>
          <t>mg/L</t>
        </r>
      </text>
    </comment>
    <comment ref="G51" authorId="0" shapeId="0" xr:uid="{00000000-0006-0000-0700-000006000000}">
      <text>
        <r>
          <rPr>
            <sz val="10"/>
            <rFont val="Arial"/>
            <family val="2"/>
            <charset val="1"/>
          </rPr>
          <t>mg/L</t>
        </r>
      </text>
    </comment>
    <comment ref="G52" authorId="0" shapeId="0" xr:uid="{00000000-0006-0000-0700-000007000000}">
      <text>
        <r>
          <rPr>
            <sz val="10"/>
            <rFont val="Arial"/>
            <family val="2"/>
            <charset val="1"/>
          </rPr>
          <t>mg/L</t>
        </r>
      </text>
    </comment>
    <comment ref="G53" authorId="0" shapeId="0" xr:uid="{00000000-0006-0000-0700-000008000000}">
      <text>
        <r>
          <rPr>
            <sz val="10"/>
            <rFont val="Arial"/>
            <family val="2"/>
            <charset val="1"/>
          </rPr>
          <t>mg/L</t>
        </r>
      </text>
    </comment>
    <comment ref="G58" authorId="0" shapeId="0" xr:uid="{00000000-0006-0000-0700-000009000000}">
      <text>
        <r>
          <rPr>
            <sz val="10"/>
            <rFont val="Arial"/>
            <family val="2"/>
            <charset val="1"/>
          </rPr>
          <t>mg/L</t>
        </r>
      </text>
    </comment>
  </commentList>
</comments>
</file>

<file path=xl/sharedStrings.xml><?xml version="1.0" encoding="utf-8"?>
<sst xmlns="http://schemas.openxmlformats.org/spreadsheetml/2006/main" count="2881" uniqueCount="490">
  <si>
    <t>study</t>
  </si>
  <si>
    <t>author</t>
  </si>
  <si>
    <t>year</t>
  </si>
  <si>
    <t>peptide</t>
  </si>
  <si>
    <t>purity</t>
  </si>
  <si>
    <t>treatment</t>
  </si>
  <si>
    <t>level</t>
  </si>
  <si>
    <t>broiler</t>
  </si>
  <si>
    <t>sex</t>
  </si>
  <si>
    <t>period_starter</t>
  </si>
  <si>
    <t>period_finisher</t>
  </si>
  <si>
    <t>period_total</t>
  </si>
  <si>
    <t>PRF_STG_BW</t>
  </si>
  <si>
    <t>PRF_STG_ADG</t>
  </si>
  <si>
    <t>PRF_STG_DFI</t>
  </si>
  <si>
    <t>PRF_STG_FCR</t>
  </si>
  <si>
    <t>PRF_FNS_BW</t>
  </si>
  <si>
    <t>PRF_FNS_ADG</t>
  </si>
  <si>
    <t>PRF_FNS_DFI</t>
  </si>
  <si>
    <t>PRF_FNS_FCR</t>
  </si>
  <si>
    <t>PRF_TTL_BW</t>
  </si>
  <si>
    <t>PRF_TTL_ADG</t>
  </si>
  <si>
    <t>PRF_TTL_DFI</t>
  </si>
  <si>
    <t>PRF_TTL_FCR</t>
  </si>
  <si>
    <t>PRF_TTL_MRT</t>
  </si>
  <si>
    <t>PRF_TTL_FETPDS</t>
  </si>
  <si>
    <t>PRF_STG_PER</t>
  </si>
  <si>
    <t>PRF_STG_EPEF</t>
  </si>
  <si>
    <t>PRF_STG_EBI</t>
  </si>
  <si>
    <t>PRF_FNS_PER</t>
  </si>
  <si>
    <t>PRF_FNS_EPEF</t>
  </si>
  <si>
    <t>PRF_FNS_EBI</t>
  </si>
  <si>
    <t>PRF_EXS</t>
  </si>
  <si>
    <t>DIG_STG_DM</t>
  </si>
  <si>
    <t>DIG_STG_OM</t>
  </si>
  <si>
    <t>DIG_STG_CP</t>
  </si>
  <si>
    <t>DIG_STG_GE</t>
  </si>
  <si>
    <t>DIG_STG_IDE</t>
  </si>
  <si>
    <t>DIG_STG_AME</t>
  </si>
  <si>
    <t>DIG_STG_AMEN</t>
  </si>
  <si>
    <t>DIG_STG_STR</t>
  </si>
  <si>
    <t>DIG_STG_FAT</t>
  </si>
  <si>
    <t>DIG_STG_CAL</t>
  </si>
  <si>
    <t>DIG_STG_POS</t>
  </si>
  <si>
    <t>DIG_STG_ASH</t>
  </si>
  <si>
    <t>DIG_FNS_DM</t>
  </si>
  <si>
    <t>DIG_FNS_OM</t>
  </si>
  <si>
    <t>DIG_FNS_CP</t>
  </si>
  <si>
    <t>DIG_FNS_GE</t>
  </si>
  <si>
    <t>DIG_FNS_AME</t>
  </si>
  <si>
    <t>DIG_FNS_IDE</t>
  </si>
  <si>
    <t>DIG_FNS_FAT</t>
  </si>
  <si>
    <t>CRC_TTL</t>
  </si>
  <si>
    <t>CRC_BRS</t>
  </si>
  <si>
    <t>CRC_LEG</t>
  </si>
  <si>
    <t>CRC_FPD</t>
  </si>
  <si>
    <t>CRC_PRV</t>
  </si>
  <si>
    <t>CRC_GIZ</t>
  </si>
  <si>
    <t>CRC_LVR</t>
  </si>
  <si>
    <t>CRC_SPL</t>
  </si>
  <si>
    <t>CRC_PNCR</t>
  </si>
  <si>
    <t>CRC_BRA</t>
  </si>
  <si>
    <t>SER_STG_TLPr</t>
  </si>
  <si>
    <t>SER_STG_ALB</t>
  </si>
  <si>
    <t>SER_STG_GLB</t>
  </si>
  <si>
    <t>SER_STG_ALB__GLB</t>
  </si>
  <si>
    <t>SER_STG_CLS</t>
  </si>
  <si>
    <t>SER_STG_TLP</t>
  </si>
  <si>
    <t>SER_STG_TAG</t>
  </si>
  <si>
    <t>SER_STG_CRT</t>
  </si>
  <si>
    <t>SER_STG_URC</t>
  </si>
  <si>
    <t>SER_FNS_TLPr</t>
  </si>
  <si>
    <t>SER_FNS_ALB</t>
  </si>
  <si>
    <t>SER_FNS_GLB</t>
  </si>
  <si>
    <t>SER_FNS_ALB__GLB</t>
  </si>
  <si>
    <t>SER_FNS_CLS</t>
  </si>
  <si>
    <t>SER_FNS_TLP</t>
  </si>
  <si>
    <t>SER_FNS_TAG</t>
  </si>
  <si>
    <t>SER_FNS_CRT</t>
  </si>
  <si>
    <t>SER_FNS_URC</t>
  </si>
  <si>
    <t>BAC_STG_ILL_CLF</t>
  </si>
  <si>
    <t>BAC_STG_ILL_CLS</t>
  </si>
  <si>
    <t>BAC_STG_ILL_ECO</t>
  </si>
  <si>
    <t>BAC_STG_ILL_LAB</t>
  </si>
  <si>
    <t>BAC_STG_ILL_TAB</t>
  </si>
  <si>
    <t>BAC_STG_CEC_CLF</t>
  </si>
  <si>
    <t>BAC_STG_CEC_CLS</t>
  </si>
  <si>
    <t>BAC_STG_CEC_ECO</t>
  </si>
  <si>
    <t>BAC_STG_CEC_LAB</t>
  </si>
  <si>
    <t>BAC_STG_CEC_TAB</t>
  </si>
  <si>
    <t>BAC_STG_EXC_CLF</t>
  </si>
  <si>
    <t>BAC_STG_EXC_CLS</t>
  </si>
  <si>
    <t>BAC_STG_EXC_TAB</t>
  </si>
  <si>
    <t>BAC_FNS_ILL_CLF</t>
  </si>
  <si>
    <t>BAC_FNS_ILL_CLS</t>
  </si>
  <si>
    <t>BAC_FNS_ILL_ECO</t>
  </si>
  <si>
    <t>BAC_FNS_ILL_LAB</t>
  </si>
  <si>
    <t>BAC_FNS_ILL_TAB</t>
  </si>
  <si>
    <t>BAC_FNS_CEC_CLF</t>
  </si>
  <si>
    <t>BAC_FNS_CEC_CLS</t>
  </si>
  <si>
    <t>BAC_FNS_CEC_ECO</t>
  </si>
  <si>
    <t>BAC_FNS_CEC_LAB</t>
  </si>
  <si>
    <t>BAC_FNS_CEC_TAB</t>
  </si>
  <si>
    <t>BAC_FNS_EXC_CLF</t>
  </si>
  <si>
    <t>BAC_FNS_EXC_CLS</t>
  </si>
  <si>
    <t>BAC_FNS_EXC_TAB</t>
  </si>
  <si>
    <t>MOR_MCS_DUO</t>
  </si>
  <si>
    <t>MOR_MCS_JEJ</t>
  </si>
  <si>
    <t>MOR_MCS_ILL</t>
  </si>
  <si>
    <t>MOR_VHI_DUO</t>
  </si>
  <si>
    <t>MOR_VHI_JEJ</t>
  </si>
  <si>
    <t>MOR_VHI_ILL</t>
  </si>
  <si>
    <t>MOR_CRD_DUO</t>
  </si>
  <si>
    <t>MOR_CRD_JEJ</t>
  </si>
  <si>
    <t>MOR_CRD_ILL</t>
  </si>
  <si>
    <t>MOR_VHI_CRD_DUO</t>
  </si>
  <si>
    <t>MOR_VHI_CRD_JEJ</t>
  </si>
  <si>
    <t>MOR_VHI_CRD_ILL</t>
  </si>
  <si>
    <t>MOR_GLB_DUO</t>
  </si>
  <si>
    <t>MOR_GLB_JEJ</t>
  </si>
  <si>
    <t>MOR_GLB_ILL</t>
  </si>
  <si>
    <t>MOR_PH_CRP</t>
  </si>
  <si>
    <t>MOR_PH_ILL</t>
  </si>
  <si>
    <t>MOR_PH_CEC</t>
  </si>
  <si>
    <t>IMN_STG_IGA</t>
  </si>
  <si>
    <t>IMN_STG_IGM</t>
  </si>
  <si>
    <t>IMN_STG_IGG</t>
  </si>
  <si>
    <t>IMN_STG_C3</t>
  </si>
  <si>
    <t>IMN_STG_C4</t>
  </si>
  <si>
    <t>IMN_FNS_IGA</t>
  </si>
  <si>
    <t>IMN_FNS_IGM</t>
  </si>
  <si>
    <t>IMN_FNS_IGG</t>
  </si>
  <si>
    <t>IMN_FNS_C3</t>
  </si>
  <si>
    <t>IMN_FNS_C4</t>
  </si>
  <si>
    <t>ANT_STG_HI</t>
  </si>
  <si>
    <t>ANT_STG_STG</t>
  </si>
  <si>
    <t>ANT_FNS_HI</t>
  </si>
  <si>
    <t>ANT_FNS_ANA</t>
  </si>
  <si>
    <t>ORM_STG_BIX</t>
  </si>
  <si>
    <t>ORM_STG_SIX</t>
  </si>
  <si>
    <t>ORM_STG_TIX</t>
  </si>
  <si>
    <t>ORM_FNS_BIX</t>
  </si>
  <si>
    <t>ORM_FNS_SIX</t>
  </si>
  <si>
    <t>ORM_FNS_TIX</t>
  </si>
  <si>
    <t>OKS_STG_ALT</t>
  </si>
  <si>
    <t>OKS_STG_AST</t>
  </si>
  <si>
    <t>OKS_STG_GSH</t>
  </si>
  <si>
    <t>OKS_STG_GTR</t>
  </si>
  <si>
    <t>OKS_STG_MDA</t>
  </si>
  <si>
    <t>OKS_STG_TAOC</t>
  </si>
  <si>
    <t>OKS_STG_TSOD</t>
  </si>
  <si>
    <t>OKS_FNS_ALT</t>
  </si>
  <si>
    <t>OKS_FNS_AST</t>
  </si>
  <si>
    <t>OKS_FNS_GSH</t>
  </si>
  <si>
    <t>OKS_FNS_LYS</t>
  </si>
  <si>
    <t>OKS_FNS_GTR</t>
  </si>
  <si>
    <t>OKS_FNS_MDA</t>
  </si>
  <si>
    <t>OKS_FNS_TAOC</t>
  </si>
  <si>
    <t>OKS_FNS_TSOD</t>
  </si>
  <si>
    <t>OKS_FNS_SOD</t>
  </si>
  <si>
    <t>EZN_STG_AML</t>
  </si>
  <si>
    <t>EZN_STG_CHY</t>
  </si>
  <si>
    <t>EZN_STG_LPS</t>
  </si>
  <si>
    <t>EZN_STG_TRP</t>
  </si>
  <si>
    <t>EZN_FNS_AML</t>
  </si>
  <si>
    <t>EZN_FNS_CHY</t>
  </si>
  <si>
    <t>EZN_FNS_LPS</t>
  </si>
  <si>
    <t>EZN_FNS_TRP</t>
  </si>
  <si>
    <t>Bao_et_al.</t>
  </si>
  <si>
    <t>control</t>
  </si>
  <si>
    <t>Arbor_Acres</t>
  </si>
  <si>
    <t>male</t>
  </si>
  <si>
    <t>1-21</t>
  </si>
  <si>
    <t>22-42</t>
  </si>
  <si>
    <t>1-42</t>
  </si>
  <si>
    <t>purified_peptide</t>
  </si>
  <si>
    <t>feed</t>
  </si>
  <si>
    <t>water</t>
  </si>
  <si>
    <t>Ohh_et_al.</t>
  </si>
  <si>
    <t>ROSS_308</t>
  </si>
  <si>
    <t>potato_protein</t>
  </si>
  <si>
    <t>crude_peptide</t>
  </si>
  <si>
    <t>refined_potato_protein</t>
  </si>
  <si>
    <t>Choi_et_al.</t>
  </si>
  <si>
    <t>unknown</t>
  </si>
  <si>
    <t>22-35</t>
  </si>
  <si>
    <t>1-35</t>
  </si>
  <si>
    <t>antimicrobial_peptide_A3</t>
  </si>
  <si>
    <t>antimicrobial_peptide_P5</t>
  </si>
  <si>
    <t>Abdel-Latif_et_al.</t>
  </si>
  <si>
    <t>lysozyme</t>
  </si>
  <si>
    <t>Abdollahi_et_al.</t>
  </si>
  <si>
    <t>soybean_bioactive_peptide</t>
  </si>
  <si>
    <t>Ma_et_al.</t>
  </si>
  <si>
    <t>plectasin</t>
  </si>
  <si>
    <t>Osho_et_al.</t>
  </si>
  <si>
    <t>Cobb_500</t>
  </si>
  <si>
    <t>1-22</t>
  </si>
  <si>
    <t>Daneshmand_et_al.</t>
  </si>
  <si>
    <t>1-10</t>
  </si>
  <si>
    <t>11-24</t>
  </si>
  <si>
    <t>1-24</t>
  </si>
  <si>
    <t>camel_lactoferrin</t>
  </si>
  <si>
    <t>Torki_et_al.</t>
  </si>
  <si>
    <t>14-28</t>
  </si>
  <si>
    <t>29-33</t>
  </si>
  <si>
    <t>14-33</t>
  </si>
  <si>
    <t>Rezaei_and_Teimouri</t>
  </si>
  <si>
    <t>Unknown</t>
  </si>
  <si>
    <t>11-28</t>
  </si>
  <si>
    <t>Wang_et_al.</t>
  </si>
  <si>
    <t>22-28</t>
  </si>
  <si>
    <t>1-28</t>
  </si>
  <si>
    <t>sublancin</t>
  </si>
  <si>
    <t>Gong_et_al.</t>
  </si>
  <si>
    <t>25-35</t>
  </si>
  <si>
    <t>Lohmann_Brown</t>
  </si>
  <si>
    <t>swine_gut_antimicrobial_peptide</t>
  </si>
  <si>
    <t>injected</t>
  </si>
  <si>
    <t>Wen_and_He</t>
  </si>
  <si>
    <t>Lingnan</t>
  </si>
  <si>
    <t>29-42</t>
  </si>
  <si>
    <t>14-42</t>
  </si>
  <si>
    <t>cecropin_A</t>
  </si>
  <si>
    <t>King_et_al.</t>
  </si>
  <si>
    <t>1-14</t>
  </si>
  <si>
    <t>14-35</t>
  </si>
  <si>
    <t>Han_et_al.</t>
  </si>
  <si>
    <t>bee_venom</t>
  </si>
  <si>
    <t>Hu_et_al.</t>
  </si>
  <si>
    <t>glucagon_like_peptide</t>
  </si>
  <si>
    <t>Zhang_et_al.</t>
  </si>
  <si>
    <t>lysozyme__vacuum_microwave_dehydration</t>
  </si>
  <si>
    <t>Kim_et_al.</t>
  </si>
  <si>
    <t>Salavati_et_al.</t>
  </si>
  <si>
    <t>sesame_meal_bioactive_peptide</t>
  </si>
  <si>
    <t>Jiang_et_al.</t>
  </si>
  <si>
    <t>29-49</t>
  </si>
  <si>
    <t>1-49</t>
  </si>
  <si>
    <t>Wallace_and_Yang</t>
  </si>
  <si>
    <t>Liu_et_al.</t>
  </si>
  <si>
    <t>15-28</t>
  </si>
  <si>
    <t>Frikha_et_al.</t>
  </si>
  <si>
    <t>1-15</t>
  </si>
  <si>
    <t>16-22</t>
  </si>
  <si>
    <t>hydrolyzed_porcine_mucosa</t>
  </si>
  <si>
    <t>Mateos_et_al.</t>
  </si>
  <si>
    <t>22-32</t>
  </si>
  <si>
    <t>1-32</t>
  </si>
  <si>
    <t>Karimzadeh_et_al.</t>
  </si>
  <si>
    <t>canola_bioactive_peptide</t>
  </si>
  <si>
    <t>Józefiak_et_al.</t>
  </si>
  <si>
    <t>1-8</t>
  </si>
  <si>
    <t>9-35</t>
  </si>
  <si>
    <t>15-35</t>
  </si>
  <si>
    <t>22-41</t>
  </si>
  <si>
    <t>1-41</t>
  </si>
  <si>
    <t>Bai_et_al.</t>
  </si>
  <si>
    <t>mix</t>
  </si>
  <si>
    <t>cecropin</t>
  </si>
  <si>
    <t>Humphrey_et_al.</t>
  </si>
  <si>
    <t>1-19</t>
  </si>
  <si>
    <t>lactoferrin</t>
  </si>
  <si>
    <t>Oblakova_et_al.</t>
  </si>
  <si>
    <t>22-49</t>
  </si>
  <si>
    <t>natstim</t>
  </si>
  <si>
    <t>Geier_et_al.</t>
  </si>
  <si>
    <t>25-32</t>
  </si>
  <si>
    <t>bovine_lactoferrin</t>
  </si>
  <si>
    <t>Ali_and_Mohanny</t>
  </si>
  <si>
    <t>Aguirre_et_al.</t>
  </si>
  <si>
    <t>8-28</t>
  </si>
  <si>
    <t>8-42</t>
  </si>
  <si>
    <t>Beski_et_al.</t>
  </si>
  <si>
    <t>Enany_et_al.</t>
  </si>
  <si>
    <t>Hubbard</t>
  </si>
  <si>
    <t>microcin_j28</t>
  </si>
  <si>
    <t>MOR_MCS</t>
  </si>
  <si>
    <t>MOR_VHI</t>
  </si>
  <si>
    <t>MOR_CRD</t>
  </si>
  <si>
    <t>MOR_VHI_CRD</t>
  </si>
  <si>
    <t>MOR_GLB</t>
  </si>
  <si>
    <t>pig_antimikrobial_peptida</t>
  </si>
  <si>
    <t>avilamycin</t>
  </si>
  <si>
    <t>antibiotic</t>
  </si>
  <si>
    <t>enramycin</t>
  </si>
  <si>
    <t>bacitracin_methylene_disalicylate</t>
  </si>
  <si>
    <t>virginiamycin</t>
  </si>
  <si>
    <t>genramycin</t>
  </si>
  <si>
    <t>zinc_bacitracin</t>
  </si>
  <si>
    <t>chlortetracycline</t>
  </si>
  <si>
    <t>Perc. ke-</t>
  </si>
  <si>
    <t>Sumber</t>
  </si>
  <si>
    <t>Tahun</t>
  </si>
  <si>
    <t>Antimikrobial Peptida</t>
  </si>
  <si>
    <t>Kemurnian</t>
  </si>
  <si>
    <t>Perlakuan</t>
  </si>
  <si>
    <t>Level</t>
  </si>
  <si>
    <t>Broiler</t>
  </si>
  <si>
    <t>Jenis Kelamin</t>
  </si>
  <si>
    <t>Starter</t>
  </si>
  <si>
    <t>Finisher</t>
  </si>
  <si>
    <t>Total Periode</t>
  </si>
  <si>
    <t>Antimikrobial dari usus halus babi</t>
  </si>
  <si>
    <t>Campuran</t>
  </si>
  <si>
    <t>Pakan</t>
  </si>
  <si>
    <t>0 - 200</t>
  </si>
  <si>
    <t xml:space="preserve">Arbor Acres </t>
  </si>
  <si>
    <t>Jantan</t>
  </si>
  <si>
    <t>Murni</t>
  </si>
  <si>
    <t>Air minum</t>
  </si>
  <si>
    <t>0 - 30</t>
  </si>
  <si>
    <t>Protein kentang</t>
  </si>
  <si>
    <t>0 - 7500</t>
  </si>
  <si>
    <t xml:space="preserve">ROSS 308 </t>
  </si>
  <si>
    <t xml:space="preserve">Ekstrak protein kentang </t>
  </si>
  <si>
    <t>0 - 600</t>
  </si>
  <si>
    <t>Antimikrobial peptida – A3</t>
  </si>
  <si>
    <t>0 - 90</t>
  </si>
  <si>
    <t>Antimikrobial peptida – P5</t>
  </si>
  <si>
    <t>0 - 60</t>
  </si>
  <si>
    <t>Lisozim</t>
  </si>
  <si>
    <t>0 - 120</t>
  </si>
  <si>
    <t>Bioaktif peptida dari kedelai</t>
  </si>
  <si>
    <t>0 - 6000</t>
  </si>
  <si>
    <t>-</t>
  </si>
  <si>
    <t>Plectasin</t>
  </si>
  <si>
    <t>0 - 5000</t>
  </si>
  <si>
    <t xml:space="preserve">Cobb 500 </t>
  </si>
  <si>
    <t>0 - 4000</t>
  </si>
  <si>
    <t>Laktoferin dari unta</t>
  </si>
  <si>
    <t>0 - 20</t>
  </si>
  <si>
    <t>0 - 40</t>
  </si>
  <si>
    <t>0 - 250</t>
  </si>
  <si>
    <t xml:space="preserve">Unknown  </t>
  </si>
  <si>
    <t>Sublancin</t>
  </si>
  <si>
    <t>0 - 11.52</t>
  </si>
  <si>
    <t>0 - 100</t>
  </si>
  <si>
    <t>0 - 0.1</t>
  </si>
  <si>
    <t xml:space="preserve">Lohmann Brown </t>
  </si>
  <si>
    <t>Cecropin A</t>
  </si>
  <si>
    <t>0 - 8</t>
  </si>
  <si>
    <t xml:space="preserve">Lingnan  </t>
  </si>
  <si>
    <t>Kolostrum sapi</t>
  </si>
  <si>
    <t>0 - 50000</t>
  </si>
  <si>
    <t>Plasma sapi</t>
  </si>
  <si>
    <t>Plasma babi</t>
  </si>
  <si>
    <t>Racun lebah</t>
  </si>
  <si>
    <t>0 - 1</t>
  </si>
  <si>
    <t>Peptida mirip glukagon</t>
  </si>
  <si>
    <t>0 - 0.33</t>
  </si>
  <si>
    <t>0 - 0.5</t>
  </si>
  <si>
    <t>Bioaktif peptida dari wijen</t>
  </si>
  <si>
    <t>0 - 150</t>
  </si>
  <si>
    <t>Mukosa babi</t>
  </si>
  <si>
    <t>0 - 75000</t>
  </si>
  <si>
    <t>0 - 25000</t>
  </si>
  <si>
    <t>Bioaktif peptida dari kanola</t>
  </si>
  <si>
    <t>Peptida dari serangga</t>
  </si>
  <si>
    <t>0 - 2000</t>
  </si>
  <si>
    <t>Betina</t>
  </si>
  <si>
    <t xml:space="preserve">Cecropin </t>
  </si>
  <si>
    <t>0 - 300</t>
  </si>
  <si>
    <t>Laktoferin</t>
  </si>
  <si>
    <t>0 - 10000</t>
  </si>
  <si>
    <t>Natsim</t>
  </si>
  <si>
    <t>Laktoferin dari sapi</t>
  </si>
  <si>
    <t>0 - 500</t>
  </si>
  <si>
    <t>0 - 1.5</t>
  </si>
  <si>
    <t>0 - 520</t>
  </si>
  <si>
    <t>0 - 20000</t>
  </si>
  <si>
    <t xml:space="preserve">Hubbard  </t>
  </si>
  <si>
    <t>Microcin J28</t>
  </si>
  <si>
    <t>add_in</t>
  </si>
  <si>
    <t>bw_starter</t>
  </si>
  <si>
    <t>adg_starter</t>
  </si>
  <si>
    <t>dfi_starter</t>
  </si>
  <si>
    <t>fcr_starter</t>
  </si>
  <si>
    <t>bw_finish</t>
  </si>
  <si>
    <t>adg_finish</t>
  </si>
  <si>
    <t>dfi_finish</t>
  </si>
  <si>
    <t>fcr_finish</t>
  </si>
  <si>
    <t>bw_all</t>
  </si>
  <si>
    <t>adg_all</t>
  </si>
  <si>
    <t>dfi_all</t>
  </si>
  <si>
    <t>fcr_all</t>
  </si>
  <si>
    <t>dm_ret._starter</t>
  </si>
  <si>
    <t>cp_ret._starter</t>
  </si>
  <si>
    <t>ge_ret._starter</t>
  </si>
  <si>
    <t>dm_ret._finish</t>
  </si>
  <si>
    <t>cp_ret._finish</t>
  </si>
  <si>
    <t>ge_ret._finish</t>
  </si>
  <si>
    <t>tab_illeum_starter</t>
  </si>
  <si>
    <t>tab_illeum_finish</t>
  </si>
  <si>
    <t>clfrm._illeum_starter</t>
  </si>
  <si>
    <t>clfrm._illeum_finish</t>
  </si>
  <si>
    <t>clostro._illeum_starter</t>
  </si>
  <si>
    <t>clostro._illeum_finish</t>
  </si>
  <si>
    <t>tab_cecum_starter</t>
  </si>
  <si>
    <t>tab_cecum_finish</t>
  </si>
  <si>
    <t>clfrm._cecum_starter</t>
  </si>
  <si>
    <t>clfrm._cecum_finish</t>
  </si>
  <si>
    <t>clostro._cecum_starter</t>
  </si>
  <si>
    <t>clostro._cecum_finish</t>
  </si>
  <si>
    <t>tab_excreta_starter</t>
  </si>
  <si>
    <t>tab_excreta_finish</t>
  </si>
  <si>
    <t>clfrm._excreta_starter</t>
  </si>
  <si>
    <t>clfrm._excreta_finish</t>
  </si>
  <si>
    <t>clostro._excreta_starter</t>
  </si>
  <si>
    <t>clostro._excreta_finish</t>
  </si>
  <si>
    <t>vil.height_duod.</t>
  </si>
  <si>
    <t>vil.height_jeju.</t>
  </si>
  <si>
    <t>vil.height_ille.</t>
  </si>
  <si>
    <t>mucos.thick._duod.</t>
  </si>
  <si>
    <t>mucos.thick._jeju.</t>
  </si>
  <si>
    <t>mucos.thick._ille.</t>
  </si>
  <si>
    <t>crypt_duod.</t>
  </si>
  <si>
    <t>crypt_jeju.</t>
  </si>
  <si>
    <t>crypt_ille.</t>
  </si>
  <si>
    <t>vil_height:crypt_duod.</t>
  </si>
  <si>
    <t>vil_height:crypt_jeju</t>
  </si>
  <si>
    <t>vil_height:crypt_ille</t>
  </si>
  <si>
    <t>mortality_rate</t>
  </si>
  <si>
    <t>carcass</t>
  </si>
  <si>
    <t>breast_meat</t>
  </si>
  <si>
    <t>legs</t>
  </si>
  <si>
    <t>fat_pad</t>
  </si>
  <si>
    <t>Ig-A</t>
  </si>
  <si>
    <t>Ig-M</t>
  </si>
  <si>
    <t>Ig-G</t>
  </si>
  <si>
    <t>C3</t>
  </si>
  <si>
    <t>C4</t>
  </si>
  <si>
    <t>SOD</t>
  </si>
  <si>
    <t>Lysozyme</t>
  </si>
  <si>
    <t>free</t>
  </si>
  <si>
    <t>nc</t>
  </si>
  <si>
    <t>no</t>
  </si>
  <si>
    <t>pig_antimikrobial-peptida-PABP</t>
  </si>
  <si>
    <t>agp</t>
  </si>
  <si>
    <t>pc</t>
  </si>
  <si>
    <t>Helicobacter_pylori_analogue-AMP_A3</t>
  </si>
  <si>
    <t>CAMA_analogue-AMP_P5</t>
  </si>
  <si>
    <t>camel_lactoferrin-cLF36</t>
  </si>
  <si>
    <t>swine_gut_antimicrobial_peptides-SGAMP</t>
  </si>
  <si>
    <t>fee</t>
  </si>
  <si>
    <t>cecropin_A(1-11)-D(12-37)-Asn--CADN</t>
  </si>
  <si>
    <t>spray-dried_bovine_colostrum</t>
  </si>
  <si>
    <t>spray-dried_bovine_plasma</t>
  </si>
  <si>
    <t>spray-dried_porcine_plasma</t>
  </si>
  <si>
    <t>glucagon_like_peptide2</t>
  </si>
  <si>
    <t>Entegard_tm</t>
  </si>
  <si>
    <t>Entegard_tm-REV</t>
  </si>
  <si>
    <t>BMD</t>
  </si>
  <si>
    <t>PAM</t>
  </si>
  <si>
    <t>tahun</t>
  </si>
  <si>
    <t>pengarang</t>
  </si>
  <si>
    <t>studi</t>
  </si>
  <si>
    <t>starter bb, Kg</t>
  </si>
  <si>
    <t>starter pbbh, g/hari</t>
  </si>
  <si>
    <t>starter kph, g/hari</t>
  </si>
  <si>
    <t>starter fcr</t>
  </si>
  <si>
    <t>total pemeliharaan</t>
  </si>
  <si>
    <t>periode starter</t>
  </si>
  <si>
    <t>periode finisher</t>
  </si>
  <si>
    <t>breed</t>
  </si>
  <si>
    <t>Wen and He</t>
  </si>
  <si>
    <t>Kontrol</t>
  </si>
  <si>
    <t>PAM A3</t>
  </si>
  <si>
    <t>PAM P5</t>
  </si>
  <si>
    <r>
      <t xml:space="preserve">Choi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</si>
  <si>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r>
      <t xml:space="preserve">Wang </t>
    </r>
    <r>
      <rPr>
        <i/>
        <sz val="10"/>
        <rFont val="Arial"/>
        <family val="2"/>
      </rPr>
      <t>et al</t>
    </r>
    <r>
      <rPr>
        <sz val="10"/>
        <rFont val="Arial"/>
        <family val="2"/>
        <charset val="1"/>
      </rPr>
      <t>.</t>
    </r>
  </si>
  <si>
    <t>ROSS 308</t>
  </si>
  <si>
    <t>Arbor Acres</t>
  </si>
  <si>
    <t>finisher bb, Kg</t>
  </si>
  <si>
    <t>finisher pbbh, g/hari</t>
  </si>
  <si>
    <t>finisher kph, g/hari</t>
  </si>
  <si>
    <t>finisher fcr</t>
  </si>
  <si>
    <t>total periode bb, Kg</t>
  </si>
  <si>
    <t>total periode pbbh, g/hari</t>
  </si>
  <si>
    <t>total periode kph, g/hari</t>
  </si>
  <si>
    <t>total periode fcr</t>
  </si>
  <si>
    <t>duodenum tinggi villus, mikrometer</t>
  </si>
  <si>
    <t>jejunum tinggi villus, mikrometer</t>
  </si>
  <si>
    <t>illeum tinggi villus, mikrometer</t>
  </si>
  <si>
    <t>duodenum kedalaman kripta, mikrometer</t>
  </si>
  <si>
    <t>jejunum kedalaman kripta, mikrometer</t>
  </si>
  <si>
    <t>illeum kedalaman kripta, mikrometer</t>
  </si>
  <si>
    <t>duodenum rasio villus dan kripta, mikrometer</t>
  </si>
  <si>
    <t>jejunum rasio villus dan kripta, mikrometer</t>
  </si>
  <si>
    <t>illeum rasio villus dan kripta, mikrometer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</si>
</sst>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0"/>
    <numFmt numFmtId="166" formatCode="#,##0.000"/>
  </numFmts>
  <fonts count="5" x14ac:knownFonts="1">
    <font>
      <sz val="10"/>
      <name val="Arial"/>
      <family val="2"/>
      <charset val="1"/>
    </font>
    <font>
      <sz val="12"/>
      <color rgb="FF131413"/>
      <name val="Times New Roman"/>
      <family val="1"/>
      <charset val="1"/>
    </font>
    <font>
      <sz val="10"/>
      <color rgb="FF131413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0000"/>
        <bgColor rgb="FFCC0000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2A6099"/>
        <bgColor rgb="FF666699"/>
      </patternFill>
    </fill>
    <fill>
      <patternFill patternType="solid">
        <fgColor rgb="FFFF3838"/>
        <bgColor rgb="FFFF4000"/>
      </patternFill>
    </fill>
    <fill>
      <patternFill patternType="solid">
        <fgColor rgb="FFFF6D6D"/>
        <bgColor rgb="FFFF8000"/>
      </patternFill>
    </fill>
    <fill>
      <patternFill patternType="solid">
        <fgColor rgb="FF000000"/>
        <bgColor rgb="FF131413"/>
      </patternFill>
    </fill>
    <fill>
      <patternFill patternType="solid">
        <fgColor rgb="FFFF8000"/>
        <bgColor rgb="FFFF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165" fontId="0" fillId="2" borderId="0" xfId="0" applyNumberFormat="1" applyFont="1" applyFill="1"/>
    <xf numFmtId="4" fontId="0" fillId="0" borderId="0" xfId="0" applyNumberFormat="1" applyFont="1"/>
    <xf numFmtId="0" fontId="0" fillId="3" borderId="0" xfId="0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3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0" fontId="0" fillId="6" borderId="0" xfId="0" applyFill="1"/>
    <xf numFmtId="0" fontId="3" fillId="0" borderId="0" xfId="0" applyFont="1"/>
    <xf numFmtId="0" fontId="3" fillId="0" borderId="0" xfId="0" applyFont="1" applyBorder="1"/>
    <xf numFmtId="4" fontId="3" fillId="0" borderId="0" xfId="0" applyNumberFormat="1" applyFont="1"/>
    <xf numFmtId="0" fontId="3" fillId="3" borderId="0" xfId="0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5" borderId="0" xfId="0" applyNumberFormat="1" applyFont="1" applyFill="1"/>
    <xf numFmtId="165" fontId="3" fillId="6" borderId="0" xfId="0" applyNumberFormat="1" applyFont="1" applyFill="1"/>
    <xf numFmtId="165" fontId="3" fillId="2" borderId="0" xfId="0" applyNumberFormat="1" applyFont="1" applyFill="1"/>
    <xf numFmtId="165" fontId="3" fillId="7" borderId="0" xfId="0" applyNumberFormat="1" applyFont="1" applyFill="1"/>
    <xf numFmtId="165" fontId="3" fillId="3" borderId="0" xfId="0" applyNumberFormat="1" applyFont="1" applyFill="1"/>
    <xf numFmtId="165" fontId="3" fillId="8" borderId="0" xfId="0" applyNumberFormat="1" applyFont="1" applyFill="1"/>
    <xf numFmtId="165" fontId="3" fillId="9" borderId="0" xfId="0" applyNumberFormat="1" applyFont="1" applyFill="1"/>
    <xf numFmtId="0" fontId="3" fillId="6" borderId="0" xfId="0" applyFont="1" applyFill="1"/>
    <xf numFmtId="4" fontId="0" fillId="3" borderId="0" xfId="0" applyNumberFormat="1" applyFill="1"/>
    <xf numFmtId="0" fontId="0" fillId="7" borderId="0" xfId="0" applyFill="1"/>
    <xf numFmtId="4" fontId="0" fillId="6" borderId="0" xfId="0" applyNumberFormat="1" applyFill="1"/>
    <xf numFmtId="4" fontId="0" fillId="11" borderId="0" xfId="0" applyNumberFormat="1" applyFill="1"/>
    <xf numFmtId="4" fontId="0" fillId="10" borderId="0" xfId="0" applyNumberFormat="1" applyFill="1"/>
    <xf numFmtId="4" fontId="0" fillId="5" borderId="0" xfId="0" applyNumberFormat="1" applyFill="1"/>
    <xf numFmtId="166" fontId="0" fillId="0" borderId="0" xfId="0" applyNumberFormat="1"/>
    <xf numFmtId="0" fontId="0" fillId="0" borderId="0" xfId="0" applyFont="1" applyBorder="1"/>
    <xf numFmtId="0" fontId="0" fillId="7" borderId="0" xfId="0" applyFont="1" applyFill="1"/>
    <xf numFmtId="4" fontId="0" fillId="3" borderId="0" xfId="0" applyNumberFormat="1" applyFont="1" applyFill="1"/>
    <xf numFmtId="165" fontId="0" fillId="2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b val="0"/>
        <i val="0"/>
        <sz val="1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131413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"/>
  <sheetViews>
    <sheetView tabSelected="1" zoomScale="80" zoomScaleNormal="80"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ColWidth="11.6640625" defaultRowHeight="13.2" x14ac:dyDescent="0.25"/>
  <cols>
    <col min="1" max="1" width="4.88671875" style="1" bestFit="1" customWidth="1"/>
    <col min="2" max="2" width="11.21875" style="1" bestFit="1" customWidth="1"/>
    <col min="3" max="3" width="5.44140625" style="1" bestFit="1" customWidth="1"/>
    <col min="4" max="4" width="11.5546875" style="1" bestFit="1" customWidth="1"/>
    <col min="5" max="5" width="7.5546875" style="1" bestFit="1" customWidth="1"/>
    <col min="6" max="6" width="10.88671875" style="1" bestFit="1" customWidth="1"/>
    <col min="7" max="7" width="12.77734375" style="1" bestFit="1" customWidth="1"/>
    <col min="8" max="8" width="13.77734375" style="1" bestFit="1" customWidth="1"/>
    <col min="9" max="9" width="15.77734375" style="1" bestFit="1" customWidth="1"/>
    <col min="10" max="10" width="12" style="2" bestFit="1" customWidth="1"/>
    <col min="11" max="11" width="16.5546875" style="2" bestFit="1" customWidth="1"/>
    <col min="12" max="12" width="15.44140625" style="2" bestFit="1" customWidth="1"/>
    <col min="13" max="13" width="8.88671875" style="2" bestFit="1" customWidth="1"/>
    <col min="14" max="14" width="12.88671875" style="2" bestFit="1" customWidth="1"/>
    <col min="15" max="15" width="17.5546875" style="2" bestFit="1" customWidth="1"/>
    <col min="16" max="16" width="16.33203125" style="2" bestFit="1" customWidth="1"/>
    <col min="17" max="17" width="9.77734375" style="2" bestFit="1" customWidth="1"/>
    <col min="18" max="18" width="16.88671875" style="2" bestFit="1" customWidth="1"/>
    <col min="19" max="19" width="21.5546875" style="2" bestFit="1" customWidth="1"/>
    <col min="20" max="20" width="20.33203125" style="2" bestFit="1" customWidth="1"/>
    <col min="21" max="21" width="13.77734375" style="2" bestFit="1" customWidth="1"/>
    <col min="22" max="22" width="29.44140625" bestFit="1" customWidth="1"/>
    <col min="23" max="23" width="27.21875" bestFit="1" customWidth="1"/>
    <col min="24" max="24" width="25.6640625" bestFit="1" customWidth="1"/>
    <col min="25" max="25" width="34.5546875" bestFit="1" customWidth="1"/>
    <col min="26" max="26" width="32.33203125" bestFit="1" customWidth="1"/>
    <col min="27" max="27" width="30.77734375" bestFit="1" customWidth="1"/>
    <col min="28" max="28" width="37.77734375" bestFit="1" customWidth="1"/>
    <col min="29" max="29" width="35.5546875" bestFit="1" customWidth="1"/>
    <col min="30" max="30" width="34" bestFit="1" customWidth="1"/>
  </cols>
  <sheetData>
    <row r="1" spans="1:30" x14ac:dyDescent="0.25">
      <c r="A1" s="1" t="s">
        <v>456</v>
      </c>
      <c r="B1" s="1" t="s">
        <v>455</v>
      </c>
      <c r="C1" s="1" t="s">
        <v>454</v>
      </c>
      <c r="D1" s="1" t="s">
        <v>453</v>
      </c>
      <c r="E1" s="6" t="s">
        <v>6</v>
      </c>
      <c r="F1" s="1" t="s">
        <v>464</v>
      </c>
      <c r="G1" s="1" t="s">
        <v>462</v>
      </c>
      <c r="H1" s="1" t="s">
        <v>463</v>
      </c>
      <c r="I1" s="1" t="s">
        <v>461</v>
      </c>
      <c r="J1" s="3" t="s">
        <v>457</v>
      </c>
      <c r="K1" s="3" t="s">
        <v>458</v>
      </c>
      <c r="L1" s="3" t="s">
        <v>459</v>
      </c>
      <c r="M1" s="4" t="s">
        <v>460</v>
      </c>
      <c r="N1" s="3" t="s">
        <v>473</v>
      </c>
      <c r="O1" s="3" t="s">
        <v>474</v>
      </c>
      <c r="P1" s="3" t="s">
        <v>475</v>
      </c>
      <c r="Q1" s="4" t="s">
        <v>476</v>
      </c>
      <c r="R1" s="3" t="s">
        <v>477</v>
      </c>
      <c r="S1" s="3" t="s">
        <v>478</v>
      </c>
      <c r="T1" s="3" t="s">
        <v>479</v>
      </c>
      <c r="U1" s="4" t="s">
        <v>480</v>
      </c>
      <c r="V1" s="4" t="s">
        <v>481</v>
      </c>
      <c r="W1" s="4" t="s">
        <v>482</v>
      </c>
      <c r="X1" s="4" t="s">
        <v>483</v>
      </c>
      <c r="Y1" s="4" t="s">
        <v>484</v>
      </c>
      <c r="Z1" s="4" t="s">
        <v>485</v>
      </c>
      <c r="AA1" s="4" t="s">
        <v>486</v>
      </c>
      <c r="AB1" s="4" t="s">
        <v>487</v>
      </c>
      <c r="AC1" s="4" t="s">
        <v>488</v>
      </c>
      <c r="AD1" s="4" t="s">
        <v>489</v>
      </c>
    </row>
    <row r="2" spans="1:30" x14ac:dyDescent="0.25">
      <c r="A2" s="1">
        <v>1</v>
      </c>
      <c r="B2" s="1" t="s">
        <v>469</v>
      </c>
      <c r="C2" s="1">
        <v>2013</v>
      </c>
      <c r="D2" s="1" t="s">
        <v>466</v>
      </c>
      <c r="E2" s="4">
        <v>0</v>
      </c>
      <c r="F2" s="1" t="s">
        <v>471</v>
      </c>
      <c r="G2" s="1" t="s">
        <v>172</v>
      </c>
      <c r="H2" s="1" t="s">
        <v>185</v>
      </c>
      <c r="I2" s="1" t="s">
        <v>186</v>
      </c>
      <c r="J2" s="3">
        <v>737</v>
      </c>
      <c r="K2" s="3">
        <v>33</v>
      </c>
      <c r="L2" s="3">
        <v>53.05</v>
      </c>
      <c r="M2" s="3">
        <v>1.61</v>
      </c>
      <c r="N2" s="3">
        <v>1814</v>
      </c>
      <c r="O2" s="3">
        <v>76.930000000000007</v>
      </c>
      <c r="P2" s="3">
        <v>143.79</v>
      </c>
      <c r="Q2" s="3">
        <v>1.87</v>
      </c>
      <c r="R2" s="3">
        <v>1814</v>
      </c>
      <c r="S2" s="3">
        <v>50.54</v>
      </c>
      <c r="T2" s="3">
        <v>89.46</v>
      </c>
      <c r="U2" s="3">
        <v>1.77</v>
      </c>
      <c r="V2" s="3">
        <v>1630</v>
      </c>
      <c r="W2" s="3">
        <v>1117</v>
      </c>
      <c r="X2" s="3">
        <v>509</v>
      </c>
      <c r="Y2" s="3">
        <v>448</v>
      </c>
      <c r="Z2" s="3">
        <v>364</v>
      </c>
      <c r="AA2" s="3">
        <v>233</v>
      </c>
      <c r="AB2" s="3">
        <v>3.6383928571428572</v>
      </c>
      <c r="AC2" s="3">
        <v>3.0686813186813189</v>
      </c>
      <c r="AD2" s="3">
        <v>2.1845493562231759</v>
      </c>
    </row>
    <row r="3" spans="1:30" x14ac:dyDescent="0.25">
      <c r="A3" s="1">
        <v>1</v>
      </c>
      <c r="B3" s="1" t="s">
        <v>469</v>
      </c>
      <c r="C3" s="1">
        <v>2013</v>
      </c>
      <c r="D3" s="1" t="s">
        <v>467</v>
      </c>
      <c r="E3" s="4">
        <v>60</v>
      </c>
      <c r="F3" s="1" t="s">
        <v>471</v>
      </c>
      <c r="G3" s="1" t="s">
        <v>172</v>
      </c>
      <c r="H3" s="1" t="s">
        <v>185</v>
      </c>
      <c r="I3" s="1" t="s">
        <v>186</v>
      </c>
      <c r="J3" s="3">
        <v>747.92</v>
      </c>
      <c r="K3" s="3">
        <v>33.520000000000003</v>
      </c>
      <c r="L3" s="3">
        <v>53.48</v>
      </c>
      <c r="M3" s="3">
        <v>1.6</v>
      </c>
      <c r="N3" s="3">
        <v>1835.92</v>
      </c>
      <c r="O3" s="3">
        <v>77.709999999999994</v>
      </c>
      <c r="P3" s="3">
        <v>143.77000000000001</v>
      </c>
      <c r="Q3" s="3">
        <v>1.85</v>
      </c>
      <c r="R3" s="3">
        <v>1835.92</v>
      </c>
      <c r="S3" s="3">
        <v>51.2</v>
      </c>
      <c r="T3" s="3">
        <v>89.6</v>
      </c>
      <c r="U3" s="3">
        <v>1.75</v>
      </c>
      <c r="V3" s="3">
        <v>1656</v>
      </c>
      <c r="W3" s="3">
        <v>1137</v>
      </c>
      <c r="X3" s="3">
        <v>550</v>
      </c>
      <c r="Y3" s="3">
        <v>487</v>
      </c>
      <c r="Z3" s="3">
        <v>375</v>
      </c>
      <c r="AA3" s="3">
        <v>225</v>
      </c>
      <c r="AB3" s="3">
        <v>3.40041067761807</v>
      </c>
      <c r="AC3" s="3">
        <v>3.032</v>
      </c>
      <c r="AD3" s="3">
        <v>2.4444444444444446</v>
      </c>
    </row>
    <row r="4" spans="1:30" x14ac:dyDescent="0.25">
      <c r="A4" s="1">
        <v>1</v>
      </c>
      <c r="B4" s="1" t="s">
        <v>469</v>
      </c>
      <c r="C4" s="1">
        <v>2013</v>
      </c>
      <c r="D4" s="1" t="s">
        <v>467</v>
      </c>
      <c r="E4" s="4">
        <v>90</v>
      </c>
      <c r="F4" s="1" t="s">
        <v>471</v>
      </c>
      <c r="G4" s="1" t="s">
        <v>172</v>
      </c>
      <c r="H4" s="1" t="s">
        <v>185</v>
      </c>
      <c r="I4" s="1" t="s">
        <v>186</v>
      </c>
      <c r="J4" s="3">
        <v>765.98</v>
      </c>
      <c r="K4" s="3">
        <v>34.380000000000003</v>
      </c>
      <c r="L4" s="3">
        <v>54.1</v>
      </c>
      <c r="M4" s="3">
        <v>1.57</v>
      </c>
      <c r="N4" s="3">
        <v>1886.98</v>
      </c>
      <c r="O4" s="3">
        <v>80.069999999999993</v>
      </c>
      <c r="P4" s="3">
        <v>146.53</v>
      </c>
      <c r="Q4" s="3">
        <v>1.83</v>
      </c>
      <c r="R4" s="3">
        <v>1886.98</v>
      </c>
      <c r="S4" s="3">
        <v>52.66</v>
      </c>
      <c r="T4" s="3">
        <v>91.1</v>
      </c>
      <c r="U4" s="3">
        <v>1.73</v>
      </c>
      <c r="V4" s="3">
        <v>1696</v>
      </c>
      <c r="W4" s="3">
        <v>1183</v>
      </c>
      <c r="X4" s="3">
        <v>594</v>
      </c>
      <c r="Y4" s="3">
        <v>473</v>
      </c>
      <c r="Z4" s="3">
        <v>350</v>
      </c>
      <c r="AA4" s="3">
        <v>227</v>
      </c>
      <c r="AB4" s="3">
        <v>3.5856236786469347</v>
      </c>
      <c r="AC4" s="3">
        <v>3.38</v>
      </c>
      <c r="AD4" s="3">
        <v>2.6167400881057268</v>
      </c>
    </row>
    <row r="5" spans="1:30" x14ac:dyDescent="0.25">
      <c r="A5" s="1">
        <v>2</v>
      </c>
      <c r="B5" s="1" t="s">
        <v>469</v>
      </c>
      <c r="C5" s="1">
        <v>2013</v>
      </c>
      <c r="D5" s="1" t="s">
        <v>466</v>
      </c>
      <c r="E5" s="4">
        <v>0</v>
      </c>
      <c r="F5" s="1" t="s">
        <v>471</v>
      </c>
      <c r="G5" s="1" t="s">
        <v>172</v>
      </c>
      <c r="H5" s="1" t="s">
        <v>185</v>
      </c>
      <c r="I5" s="1" t="s">
        <v>186</v>
      </c>
      <c r="J5" s="3">
        <v>803.99</v>
      </c>
      <c r="K5" s="3">
        <v>36.19</v>
      </c>
      <c r="L5" s="3">
        <v>55.95</v>
      </c>
      <c r="M5" s="3">
        <v>1.55</v>
      </c>
      <c r="N5" s="3">
        <v>1914.99</v>
      </c>
      <c r="O5" s="3">
        <v>79.36</v>
      </c>
      <c r="P5" s="3">
        <v>153.16</v>
      </c>
      <c r="Q5" s="3">
        <v>1.93</v>
      </c>
      <c r="R5" s="3">
        <v>1914.99</v>
      </c>
      <c r="S5" s="3">
        <v>52.17</v>
      </c>
      <c r="T5" s="3">
        <v>94.95</v>
      </c>
      <c r="U5" s="3">
        <v>1.82</v>
      </c>
      <c r="V5" s="3">
        <v>1746</v>
      </c>
      <c r="W5" s="3">
        <v>1060</v>
      </c>
      <c r="X5" s="3">
        <v>515</v>
      </c>
      <c r="Y5" s="3">
        <v>661</v>
      </c>
      <c r="Z5" s="3">
        <v>447</v>
      </c>
      <c r="AA5" s="3">
        <v>249</v>
      </c>
      <c r="AB5" s="3">
        <v>2.6414523449319214</v>
      </c>
      <c r="AC5" s="3">
        <v>2.3713646532438477</v>
      </c>
      <c r="AD5" s="3">
        <v>2.0682730923694779</v>
      </c>
    </row>
    <row r="6" spans="1:30" x14ac:dyDescent="0.25">
      <c r="A6" s="1">
        <v>2</v>
      </c>
      <c r="B6" s="1" t="s">
        <v>469</v>
      </c>
      <c r="C6" s="1">
        <v>2013</v>
      </c>
      <c r="D6" s="1" t="s">
        <v>468</v>
      </c>
      <c r="E6" s="4">
        <v>40</v>
      </c>
      <c r="F6" s="1" t="s">
        <v>471</v>
      </c>
      <c r="G6" s="1" t="s">
        <v>172</v>
      </c>
      <c r="H6" s="1" t="s">
        <v>185</v>
      </c>
      <c r="I6" s="1" t="s">
        <v>186</v>
      </c>
      <c r="J6" s="3">
        <v>821</v>
      </c>
      <c r="K6" s="3">
        <v>37</v>
      </c>
      <c r="L6" s="3">
        <v>56.52</v>
      </c>
      <c r="M6" s="3">
        <v>1.53</v>
      </c>
      <c r="N6" s="3">
        <v>1983</v>
      </c>
      <c r="O6" s="3">
        <v>83</v>
      </c>
      <c r="P6" s="3">
        <v>156.04</v>
      </c>
      <c r="Q6" s="3">
        <v>1.88</v>
      </c>
      <c r="R6" s="3">
        <v>1983</v>
      </c>
      <c r="S6" s="3">
        <v>54.09</v>
      </c>
      <c r="T6" s="3">
        <v>96.27</v>
      </c>
      <c r="U6" s="3">
        <v>1.78</v>
      </c>
      <c r="V6" s="3">
        <v>1863</v>
      </c>
      <c r="W6" s="3">
        <v>1120</v>
      </c>
      <c r="X6" s="3">
        <v>547</v>
      </c>
      <c r="Y6" s="3">
        <v>639</v>
      </c>
      <c r="Z6" s="3">
        <v>434</v>
      </c>
      <c r="AA6" s="3">
        <v>234</v>
      </c>
      <c r="AB6" s="3">
        <v>2.915492957746479</v>
      </c>
      <c r="AC6" s="3">
        <v>2.5806451612903225</v>
      </c>
      <c r="AD6" s="3">
        <v>2.3376068376068377</v>
      </c>
    </row>
    <row r="7" spans="1:30" x14ac:dyDescent="0.25">
      <c r="A7" s="1">
        <v>2</v>
      </c>
      <c r="B7" s="1" t="s">
        <v>469</v>
      </c>
      <c r="C7" s="1">
        <v>2013</v>
      </c>
      <c r="D7" s="1" t="s">
        <v>468</v>
      </c>
      <c r="E7" s="4">
        <v>60</v>
      </c>
      <c r="F7" s="1" t="s">
        <v>471</v>
      </c>
      <c r="G7" s="1" t="s">
        <v>172</v>
      </c>
      <c r="H7" s="1" t="s">
        <v>185</v>
      </c>
      <c r="I7" s="1" t="s">
        <v>186</v>
      </c>
      <c r="J7" s="3">
        <v>836.96</v>
      </c>
      <c r="K7" s="3">
        <v>37.76</v>
      </c>
      <c r="L7" s="3">
        <v>56.71</v>
      </c>
      <c r="M7" s="3">
        <v>1.5</v>
      </c>
      <c r="N7" s="3">
        <v>2043.96</v>
      </c>
      <c r="O7" s="3">
        <v>86.21</v>
      </c>
      <c r="P7" s="3">
        <v>158.63</v>
      </c>
      <c r="Q7" s="3">
        <v>1.84</v>
      </c>
      <c r="R7" s="3">
        <v>2043.96</v>
      </c>
      <c r="S7" s="3">
        <v>55.86</v>
      </c>
      <c r="T7" s="3">
        <v>97.19</v>
      </c>
      <c r="U7" s="3">
        <v>1.74</v>
      </c>
      <c r="V7" s="3">
        <v>1897</v>
      </c>
      <c r="W7" s="3">
        <v>1185</v>
      </c>
      <c r="X7" s="3">
        <v>572</v>
      </c>
      <c r="Y7" s="3">
        <v>628</v>
      </c>
      <c r="Z7" s="3">
        <v>412</v>
      </c>
      <c r="AA7" s="3">
        <v>214</v>
      </c>
      <c r="AB7" s="3">
        <v>3.0207006369426752</v>
      </c>
      <c r="AC7" s="3">
        <v>2.8762135922330097</v>
      </c>
      <c r="AD7" s="3">
        <v>2.6728971962616823</v>
      </c>
    </row>
    <row r="8" spans="1:30" x14ac:dyDescent="0.25">
      <c r="A8" s="1">
        <v>3</v>
      </c>
      <c r="B8" s="1" t="s">
        <v>465</v>
      </c>
      <c r="C8" s="1">
        <v>2012</v>
      </c>
      <c r="D8" s="1" t="s">
        <v>466</v>
      </c>
      <c r="E8" s="4">
        <v>0</v>
      </c>
      <c r="F8" s="1" t="s">
        <v>220</v>
      </c>
      <c r="G8" s="1" t="s">
        <v>204</v>
      </c>
      <c r="H8" s="1" t="s">
        <v>221</v>
      </c>
      <c r="I8" s="1" t="s">
        <v>222</v>
      </c>
      <c r="J8" s="3">
        <v>542</v>
      </c>
      <c r="K8" s="3">
        <v>21.4</v>
      </c>
      <c r="L8" s="3">
        <v>41.3</v>
      </c>
      <c r="M8" s="3">
        <v>1.93</v>
      </c>
      <c r="N8" s="3">
        <v>1530.4</v>
      </c>
      <c r="O8" s="3">
        <v>70.599999999999994</v>
      </c>
      <c r="P8" s="3">
        <v>165</v>
      </c>
      <c r="Q8" s="3">
        <v>2.34</v>
      </c>
      <c r="R8" s="3">
        <v>1530.4</v>
      </c>
      <c r="S8" s="3">
        <v>46</v>
      </c>
      <c r="T8" s="3">
        <v>103.15</v>
      </c>
      <c r="U8" s="3">
        <v>2.2423913043478261</v>
      </c>
      <c r="V8" s="3">
        <v>452</v>
      </c>
      <c r="W8" s="3"/>
      <c r="X8" s="3">
        <v>345</v>
      </c>
      <c r="Y8" s="3">
        <v>90</v>
      </c>
      <c r="Z8" s="3"/>
      <c r="AA8" s="3">
        <v>143</v>
      </c>
      <c r="AB8" s="3">
        <v>5.0222222222222221</v>
      </c>
      <c r="AC8" s="3"/>
      <c r="AD8" s="3">
        <v>2.4125874125874125</v>
      </c>
    </row>
    <row r="9" spans="1:30" x14ac:dyDescent="0.25">
      <c r="A9" s="1">
        <v>3</v>
      </c>
      <c r="B9" s="1" t="s">
        <v>465</v>
      </c>
      <c r="C9" s="1">
        <v>2012</v>
      </c>
      <c r="D9" s="1" t="s">
        <v>340</v>
      </c>
      <c r="E9" s="4">
        <v>2</v>
      </c>
      <c r="F9" s="1" t="s">
        <v>220</v>
      </c>
      <c r="G9" s="1" t="s">
        <v>204</v>
      </c>
      <c r="H9" s="1" t="s">
        <v>221</v>
      </c>
      <c r="I9" s="1" t="s">
        <v>222</v>
      </c>
      <c r="J9" s="3">
        <v>545.5</v>
      </c>
      <c r="K9" s="3">
        <v>21.5</v>
      </c>
      <c r="L9" s="3">
        <v>39.4</v>
      </c>
      <c r="M9" s="3">
        <v>1.83</v>
      </c>
      <c r="N9" s="3">
        <v>1554.9</v>
      </c>
      <c r="O9" s="3">
        <v>72.099999999999994</v>
      </c>
      <c r="P9" s="3">
        <v>168</v>
      </c>
      <c r="Q9" s="3">
        <v>2.33</v>
      </c>
      <c r="R9" s="3">
        <v>1554.9</v>
      </c>
      <c r="S9" s="3">
        <v>46.8</v>
      </c>
      <c r="T9" s="3">
        <v>103.7</v>
      </c>
      <c r="U9" s="3">
        <v>2.2158119658119659</v>
      </c>
      <c r="V9" s="3">
        <v>466</v>
      </c>
      <c r="W9" s="3"/>
      <c r="X9" s="3">
        <v>438</v>
      </c>
      <c r="Y9" s="3">
        <v>83</v>
      </c>
      <c r="Z9" s="3"/>
      <c r="AA9" s="3">
        <v>94</v>
      </c>
      <c r="AB9" s="3">
        <v>5.6144578313253009</v>
      </c>
      <c r="AC9" s="3"/>
      <c r="AD9" s="3">
        <v>4.6595744680851068</v>
      </c>
    </row>
    <row r="10" spans="1:30" x14ac:dyDescent="0.25">
      <c r="A10" s="1">
        <v>3</v>
      </c>
      <c r="B10" s="1" t="s">
        <v>465</v>
      </c>
      <c r="C10" s="1">
        <v>2012</v>
      </c>
      <c r="D10" s="1" t="s">
        <v>340</v>
      </c>
      <c r="E10" s="4">
        <v>4</v>
      </c>
      <c r="F10" s="1" t="s">
        <v>220</v>
      </c>
      <c r="G10" s="1" t="s">
        <v>204</v>
      </c>
      <c r="H10" s="1" t="s">
        <v>221</v>
      </c>
      <c r="I10" s="1" t="s">
        <v>222</v>
      </c>
      <c r="J10" s="3">
        <v>551.5</v>
      </c>
      <c r="K10" s="3">
        <v>21.9</v>
      </c>
      <c r="L10" s="3">
        <v>38.9</v>
      </c>
      <c r="M10" s="3">
        <v>1.78</v>
      </c>
      <c r="N10" s="3">
        <v>1602.9</v>
      </c>
      <c r="O10" s="3">
        <v>75.099999999999994</v>
      </c>
      <c r="P10" s="3">
        <v>173</v>
      </c>
      <c r="Q10" s="3">
        <v>2.2999999999999998</v>
      </c>
      <c r="R10" s="3">
        <v>1602.9</v>
      </c>
      <c r="S10" s="3">
        <v>48.5</v>
      </c>
      <c r="T10" s="3">
        <v>105.95</v>
      </c>
      <c r="U10" s="3">
        <v>2.184536082474227</v>
      </c>
      <c r="V10" s="3">
        <v>492</v>
      </c>
      <c r="W10" s="3"/>
      <c r="X10" s="3">
        <v>499</v>
      </c>
      <c r="Y10" s="3">
        <v>64</v>
      </c>
      <c r="Z10" s="3"/>
      <c r="AA10" s="3">
        <v>65</v>
      </c>
      <c r="AB10" s="3">
        <v>7.6875</v>
      </c>
      <c r="AC10" s="3"/>
      <c r="AD10" s="3">
        <v>7.6769230769230772</v>
      </c>
    </row>
    <row r="11" spans="1:30" x14ac:dyDescent="0.25">
      <c r="A11" s="1">
        <v>3</v>
      </c>
      <c r="B11" s="1" t="s">
        <v>465</v>
      </c>
      <c r="C11" s="1">
        <v>2012</v>
      </c>
      <c r="D11" s="1" t="s">
        <v>340</v>
      </c>
      <c r="E11" s="4">
        <v>6</v>
      </c>
      <c r="F11" s="1" t="s">
        <v>220</v>
      </c>
      <c r="G11" s="1" t="s">
        <v>204</v>
      </c>
      <c r="H11" s="1" t="s">
        <v>221</v>
      </c>
      <c r="I11" s="1" t="s">
        <v>222</v>
      </c>
      <c r="J11" s="3">
        <v>545</v>
      </c>
      <c r="K11" s="3">
        <v>21.6</v>
      </c>
      <c r="L11" s="3">
        <v>34.700000000000003</v>
      </c>
      <c r="M11" s="3">
        <v>1.61</v>
      </c>
      <c r="N11" s="3">
        <v>1544.6</v>
      </c>
      <c r="O11" s="3">
        <v>71.400000000000006</v>
      </c>
      <c r="P11" s="3">
        <v>165</v>
      </c>
      <c r="Q11" s="3">
        <v>2.31</v>
      </c>
      <c r="R11" s="3">
        <v>1544.6</v>
      </c>
      <c r="S11" s="3">
        <v>46.5</v>
      </c>
      <c r="T11" s="3">
        <v>99.85</v>
      </c>
      <c r="U11" s="3">
        <v>2.1473118279569889</v>
      </c>
      <c r="V11" s="3">
        <v>512</v>
      </c>
      <c r="W11" s="3"/>
      <c r="X11" s="3">
        <v>508</v>
      </c>
      <c r="Y11" s="3">
        <v>66</v>
      </c>
      <c r="Z11" s="3"/>
      <c r="AA11" s="3">
        <v>64</v>
      </c>
      <c r="AB11" s="3">
        <v>7.7575757575757578</v>
      </c>
      <c r="AC11" s="3"/>
      <c r="AD11" s="3">
        <v>7.9375</v>
      </c>
    </row>
    <row r="12" spans="1:30" x14ac:dyDescent="0.25">
      <c r="A12" s="1">
        <v>3</v>
      </c>
      <c r="B12" s="1" t="s">
        <v>465</v>
      </c>
      <c r="C12" s="1">
        <v>2012</v>
      </c>
      <c r="D12" s="1" t="s">
        <v>340</v>
      </c>
      <c r="E12" s="4">
        <v>8</v>
      </c>
      <c r="F12" s="1" t="s">
        <v>220</v>
      </c>
      <c r="G12" s="1" t="s">
        <v>204</v>
      </c>
      <c r="H12" s="1" t="s">
        <v>221</v>
      </c>
      <c r="I12" s="1" t="s">
        <v>222</v>
      </c>
      <c r="J12" s="3">
        <v>534</v>
      </c>
      <c r="K12" s="3">
        <v>20.8</v>
      </c>
      <c r="L12" s="3">
        <v>35.4</v>
      </c>
      <c r="M12" s="3">
        <v>1.7</v>
      </c>
      <c r="N12" s="3">
        <v>1505.6</v>
      </c>
      <c r="O12" s="3">
        <v>69.400000000000006</v>
      </c>
      <c r="P12" s="3">
        <v>163</v>
      </c>
      <c r="Q12" s="3">
        <v>2.35</v>
      </c>
      <c r="R12" s="3">
        <v>1505.6</v>
      </c>
      <c r="S12" s="3">
        <v>45.1</v>
      </c>
      <c r="T12" s="3">
        <v>99.2</v>
      </c>
      <c r="U12" s="3">
        <v>2.1995565410199558</v>
      </c>
      <c r="V12" s="3">
        <v>516</v>
      </c>
      <c r="W12" s="3"/>
      <c r="X12" s="3">
        <v>506</v>
      </c>
      <c r="Y12" s="3">
        <v>66</v>
      </c>
      <c r="Z12" s="3"/>
      <c r="AA12" s="3">
        <v>62</v>
      </c>
      <c r="AB12" s="3">
        <v>7.8181818181818183</v>
      </c>
      <c r="AC12" s="3"/>
      <c r="AD12" s="3">
        <v>8.1612903225806459</v>
      </c>
    </row>
    <row r="13" spans="1:30" x14ac:dyDescent="0.25">
      <c r="A13" s="1">
        <v>4</v>
      </c>
      <c r="B13" s="1" t="s">
        <v>470</v>
      </c>
      <c r="C13" s="1">
        <v>2020</v>
      </c>
      <c r="D13" s="1" t="s">
        <v>466</v>
      </c>
      <c r="E13" s="4">
        <v>0</v>
      </c>
      <c r="F13" s="1" t="s">
        <v>472</v>
      </c>
      <c r="G13" s="1" t="s">
        <v>172</v>
      </c>
      <c r="H13" s="1" t="s">
        <v>173</v>
      </c>
      <c r="I13" s="1" t="s">
        <v>174</v>
      </c>
      <c r="J13" s="3">
        <v>917.23943661971805</v>
      </c>
      <c r="K13" s="3">
        <v>41.582830315224697</v>
      </c>
      <c r="L13" s="3">
        <v>59.047619047619101</v>
      </c>
      <c r="M13" s="3">
        <v>1.42</v>
      </c>
      <c r="N13" s="3">
        <v>2496.6315789473701</v>
      </c>
      <c r="O13" s="3">
        <v>75.209149634650004</v>
      </c>
      <c r="P13" s="3">
        <v>162.857142857143</v>
      </c>
      <c r="Q13" s="3">
        <v>2.17</v>
      </c>
      <c r="R13" s="3">
        <v>2496.6315789473701</v>
      </c>
      <c r="S13" s="3">
        <v>116.791979949875</v>
      </c>
      <c r="T13" s="3">
        <v>221.90476190476201</v>
      </c>
      <c r="U13" s="3">
        <v>1.9</v>
      </c>
      <c r="V13" s="3">
        <v>636.27</v>
      </c>
      <c r="W13" s="3">
        <v>303.57</v>
      </c>
      <c r="X13" s="3">
        <v>242</v>
      </c>
      <c r="Y13" s="3">
        <v>90.56</v>
      </c>
      <c r="Z13" s="3">
        <v>97.94</v>
      </c>
      <c r="AA13" s="3">
        <v>75.11</v>
      </c>
      <c r="AB13" s="3">
        <v>7.0259496466431095</v>
      </c>
      <c r="AC13" s="3">
        <v>3.0995507453542985</v>
      </c>
      <c r="AD13" s="3">
        <v>3.2219411529756359</v>
      </c>
    </row>
    <row r="14" spans="1:30" x14ac:dyDescent="0.25">
      <c r="A14" s="1">
        <v>4</v>
      </c>
      <c r="B14" s="1" t="s">
        <v>470</v>
      </c>
      <c r="C14" s="1">
        <v>2020</v>
      </c>
      <c r="D14" s="1" t="s">
        <v>372</v>
      </c>
      <c r="E14" s="4">
        <v>0.5</v>
      </c>
      <c r="F14" s="1" t="s">
        <v>472</v>
      </c>
      <c r="G14" s="1" t="s">
        <v>172</v>
      </c>
      <c r="H14" s="1" t="s">
        <v>173</v>
      </c>
      <c r="I14" s="1" t="s">
        <v>174</v>
      </c>
      <c r="J14" s="3">
        <v>950.47482014388504</v>
      </c>
      <c r="K14" s="3">
        <v>43.165467625899304</v>
      </c>
      <c r="L14" s="3">
        <v>60</v>
      </c>
      <c r="M14" s="3">
        <v>1.39</v>
      </c>
      <c r="N14" s="3">
        <v>2554.9890109890198</v>
      </c>
      <c r="O14" s="3">
        <v>76.405437659291906</v>
      </c>
      <c r="P14" s="3">
        <v>157.61904761904799</v>
      </c>
      <c r="Q14" s="3">
        <v>2.06</v>
      </c>
      <c r="R14" s="3">
        <v>2554.9890109890198</v>
      </c>
      <c r="S14" s="3">
        <v>119.570905285191</v>
      </c>
      <c r="T14" s="3">
        <v>217.61904761904799</v>
      </c>
      <c r="U14" s="3">
        <v>1.82</v>
      </c>
      <c r="V14" s="3">
        <v>686.04</v>
      </c>
      <c r="W14" s="3">
        <v>325.14999999999998</v>
      </c>
      <c r="X14" s="3">
        <v>236.19</v>
      </c>
      <c r="Y14" s="3">
        <v>90.2</v>
      </c>
      <c r="Z14" s="3">
        <v>96.66</v>
      </c>
      <c r="AA14" s="3">
        <v>60.72</v>
      </c>
      <c r="AB14" s="3">
        <v>7.6057649667405762</v>
      </c>
      <c r="AC14" s="3">
        <v>3.3638526794951376</v>
      </c>
      <c r="AD14" s="3">
        <v>3.889822134387352</v>
      </c>
    </row>
    <row r="15" spans="1:30" x14ac:dyDescent="0.25">
      <c r="A15" s="1">
        <v>4</v>
      </c>
      <c r="B15" s="1" t="s">
        <v>470</v>
      </c>
      <c r="C15" s="1">
        <v>2020</v>
      </c>
      <c r="D15" s="1" t="s">
        <v>372</v>
      </c>
      <c r="E15" s="4">
        <v>1</v>
      </c>
      <c r="F15" s="1" t="s">
        <v>472</v>
      </c>
      <c r="G15" s="1" t="s">
        <v>172</v>
      </c>
      <c r="H15" s="1" t="s">
        <v>173</v>
      </c>
      <c r="I15" s="1" t="s">
        <v>174</v>
      </c>
      <c r="J15" s="3">
        <v>936.857142857143</v>
      </c>
      <c r="K15" s="3">
        <v>42.517006802721099</v>
      </c>
      <c r="L15" s="3">
        <v>59.523809523809497</v>
      </c>
      <c r="M15" s="3">
        <v>1.4</v>
      </c>
      <c r="N15" s="3">
        <v>2557.66120218579</v>
      </c>
      <c r="O15" s="3">
        <v>77.181145682316696</v>
      </c>
      <c r="P15" s="3">
        <v>159.52380952381</v>
      </c>
      <c r="Q15" s="3">
        <v>2.0699999999999998</v>
      </c>
      <c r="R15" s="3">
        <v>2557.66120218579</v>
      </c>
      <c r="S15" s="3">
        <v>119.69815248503799</v>
      </c>
      <c r="T15" s="3">
        <v>219.04761904761901</v>
      </c>
      <c r="U15" s="3">
        <v>1.83</v>
      </c>
      <c r="V15" s="3">
        <v>695.05</v>
      </c>
      <c r="W15" s="3">
        <v>331.47</v>
      </c>
      <c r="X15" s="3">
        <v>242.56</v>
      </c>
      <c r="Y15" s="3">
        <v>91.42</v>
      </c>
      <c r="Z15" s="3">
        <v>96.37</v>
      </c>
      <c r="AA15" s="3">
        <v>60.53</v>
      </c>
      <c r="AB15" s="3">
        <v>7.6028221395755846</v>
      </c>
      <c r="AC15" s="3">
        <v>3.4395558783853897</v>
      </c>
      <c r="AD15" s="3">
        <v>4.00726912274905</v>
      </c>
    </row>
  </sheetData>
  <pageMargins left="0.1" right="0.204166666666667" top="0.36527777777777798" bottom="0.36527777777777798" header="0.1" footer="0.1"/>
  <pageSetup paperSize="9" scale="20" orientation="landscape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9"/>
  <sheetViews>
    <sheetView zoomScale="80" zoomScaleNormal="80" workbookViewId="0"/>
  </sheetViews>
  <sheetFormatPr defaultColWidth="11.6640625" defaultRowHeight="13.2" x14ac:dyDescent="0.25"/>
  <cols>
    <col min="1" max="1" width="9.5546875" customWidth="1"/>
    <col min="2" max="2" width="19.88671875" customWidth="1"/>
    <col min="3" max="3" width="7.44140625" customWidth="1"/>
    <col min="4" max="4" width="29.6640625" customWidth="1"/>
    <col min="5" max="5" width="11.77734375" customWidth="1"/>
    <col min="6" max="6" width="10.77734375" customWidth="1"/>
    <col min="7" max="7" width="9.6640625" customWidth="1"/>
    <col min="8" max="8" width="16" customWidth="1"/>
    <col min="9" max="9" width="14.5546875" customWidth="1"/>
    <col min="10" max="10" width="7.77734375" customWidth="1"/>
    <col min="11" max="11" width="9.21875" customWidth="1"/>
    <col min="12" max="12" width="13.5546875" customWidth="1"/>
  </cols>
  <sheetData>
    <row r="1" spans="1:64" x14ac:dyDescent="0.25">
      <c r="A1" s="16" t="s">
        <v>291</v>
      </c>
      <c r="B1" s="16" t="s">
        <v>292</v>
      </c>
      <c r="C1" s="16" t="s">
        <v>293</v>
      </c>
      <c r="D1" s="17" t="s">
        <v>294</v>
      </c>
      <c r="E1" s="17" t="s">
        <v>295</v>
      </c>
      <c r="F1" s="17" t="s">
        <v>296</v>
      </c>
      <c r="G1" s="16" t="s">
        <v>297</v>
      </c>
      <c r="H1" s="17" t="s">
        <v>298</v>
      </c>
      <c r="I1" s="17" t="s">
        <v>299</v>
      </c>
      <c r="J1" s="17" t="s">
        <v>300</v>
      </c>
      <c r="K1" s="17" t="s">
        <v>301</v>
      </c>
      <c r="L1" s="17" t="s">
        <v>302</v>
      </c>
      <c r="M1" s="3"/>
      <c r="N1" s="3"/>
      <c r="O1" s="4"/>
      <c r="P1" s="4"/>
      <c r="Q1" s="4"/>
      <c r="R1" s="4"/>
      <c r="S1" s="4"/>
      <c r="T1" s="4"/>
      <c r="U1" s="3"/>
      <c r="V1" s="3"/>
      <c r="W1" s="3"/>
      <c r="X1" s="3"/>
      <c r="Y1" s="3"/>
      <c r="Z1" s="4"/>
      <c r="AA1" s="4"/>
      <c r="AB1" s="4"/>
      <c r="AC1" s="3"/>
      <c r="AD1" s="3"/>
      <c r="AE1" s="3"/>
      <c r="AF1" s="3"/>
      <c r="AG1" s="3"/>
      <c r="AH1" s="4"/>
      <c r="AI1" s="4"/>
      <c r="AJ1" s="3"/>
      <c r="AK1" s="3"/>
      <c r="AL1" s="4"/>
      <c r="AM1" s="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  <c r="BC1" s="3"/>
      <c r="BD1" s="3"/>
      <c r="BE1" s="4"/>
      <c r="BF1" s="4"/>
      <c r="BG1" s="4"/>
      <c r="BH1" s="4"/>
      <c r="BI1" s="4"/>
      <c r="BJ1" s="4"/>
      <c r="BK1" s="5"/>
      <c r="BL1" s="3"/>
    </row>
    <row r="2" spans="1:64" x14ac:dyDescent="0.25">
      <c r="A2" s="1">
        <v>1</v>
      </c>
      <c r="B2" s="1" t="s">
        <v>168</v>
      </c>
      <c r="C2" s="1">
        <v>2009</v>
      </c>
      <c r="D2" s="1" t="s">
        <v>303</v>
      </c>
      <c r="E2" s="1" t="s">
        <v>304</v>
      </c>
      <c r="F2" s="1" t="s">
        <v>305</v>
      </c>
      <c r="G2" s="1" t="s">
        <v>306</v>
      </c>
      <c r="H2" s="1" t="s">
        <v>307</v>
      </c>
      <c r="I2" s="1" t="s">
        <v>308</v>
      </c>
      <c r="J2" s="1" t="s">
        <v>172</v>
      </c>
      <c r="K2" s="1" t="s">
        <v>173</v>
      </c>
      <c r="L2" s="1" t="s">
        <v>174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x14ac:dyDescent="0.25">
      <c r="A3" s="1">
        <v>2</v>
      </c>
      <c r="B3" s="1" t="s">
        <v>168</v>
      </c>
      <c r="C3" s="1">
        <v>2009</v>
      </c>
      <c r="D3" s="1" t="s">
        <v>303</v>
      </c>
      <c r="E3" s="1" t="s">
        <v>309</v>
      </c>
      <c r="F3" s="1" t="s">
        <v>310</v>
      </c>
      <c r="G3" s="1" t="s">
        <v>311</v>
      </c>
      <c r="H3" s="1" t="s">
        <v>307</v>
      </c>
      <c r="I3" s="1" t="s">
        <v>308</v>
      </c>
      <c r="J3" s="1" t="s">
        <v>172</v>
      </c>
      <c r="K3" s="1" t="s">
        <v>173</v>
      </c>
      <c r="L3" s="1" t="s">
        <v>174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5">
      <c r="A4" s="1">
        <v>3</v>
      </c>
      <c r="B4" s="1" t="s">
        <v>178</v>
      </c>
      <c r="C4" s="1">
        <v>2009</v>
      </c>
      <c r="D4" s="1" t="s">
        <v>312</v>
      </c>
      <c r="E4" s="1" t="s">
        <v>304</v>
      </c>
      <c r="F4" s="1" t="s">
        <v>305</v>
      </c>
      <c r="G4" s="1" t="s">
        <v>313</v>
      </c>
      <c r="H4" s="1" t="s">
        <v>314</v>
      </c>
      <c r="I4" s="1" t="s">
        <v>308</v>
      </c>
      <c r="J4" s="1" t="s">
        <v>172</v>
      </c>
      <c r="K4" s="1" t="s">
        <v>173</v>
      </c>
      <c r="L4" s="1" t="s">
        <v>174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1">
        <v>4</v>
      </c>
      <c r="B5" s="1" t="s">
        <v>178</v>
      </c>
      <c r="C5" s="1">
        <v>2009</v>
      </c>
      <c r="D5" s="1" t="s">
        <v>315</v>
      </c>
      <c r="E5" s="1" t="s">
        <v>304</v>
      </c>
      <c r="F5" s="1" t="s">
        <v>305</v>
      </c>
      <c r="G5" s="1" t="s">
        <v>316</v>
      </c>
      <c r="H5" s="1" t="s">
        <v>314</v>
      </c>
      <c r="I5" s="1" t="s">
        <v>308</v>
      </c>
      <c r="J5" s="1" t="s">
        <v>172</v>
      </c>
      <c r="K5" s="1" t="s">
        <v>173</v>
      </c>
      <c r="L5" s="1" t="s">
        <v>174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A6" s="1">
        <v>5</v>
      </c>
      <c r="B6" s="1" t="s">
        <v>183</v>
      </c>
      <c r="C6" s="1">
        <v>2013</v>
      </c>
      <c r="D6" s="1" t="s">
        <v>317</v>
      </c>
      <c r="E6" s="1" t="s">
        <v>309</v>
      </c>
      <c r="F6" s="1" t="s">
        <v>305</v>
      </c>
      <c r="G6" s="1" t="s">
        <v>318</v>
      </c>
      <c r="H6" s="1" t="s">
        <v>314</v>
      </c>
      <c r="I6" s="1" t="s">
        <v>304</v>
      </c>
      <c r="J6" s="1" t="s">
        <v>172</v>
      </c>
      <c r="K6" s="1" t="s">
        <v>185</v>
      </c>
      <c r="L6" s="1" t="s">
        <v>186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5">
      <c r="A7" s="1">
        <v>6</v>
      </c>
      <c r="B7" s="1" t="s">
        <v>183</v>
      </c>
      <c r="C7" s="1">
        <v>2013</v>
      </c>
      <c r="D7" s="1" t="s">
        <v>319</v>
      </c>
      <c r="E7" s="1" t="s">
        <v>309</v>
      </c>
      <c r="F7" s="1" t="s">
        <v>305</v>
      </c>
      <c r="G7" s="1" t="s">
        <v>320</v>
      </c>
      <c r="H7" s="1" t="s">
        <v>314</v>
      </c>
      <c r="I7" s="1" t="s">
        <v>304</v>
      </c>
      <c r="J7" s="1" t="s">
        <v>172</v>
      </c>
      <c r="K7" s="1" t="s">
        <v>185</v>
      </c>
      <c r="L7" s="1" t="s">
        <v>186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5">
      <c r="A8" s="1">
        <v>7</v>
      </c>
      <c r="B8" s="1" t="s">
        <v>189</v>
      </c>
      <c r="C8" s="1">
        <v>2017</v>
      </c>
      <c r="D8" s="1" t="s">
        <v>321</v>
      </c>
      <c r="E8" s="1" t="s">
        <v>309</v>
      </c>
      <c r="F8" s="1" t="s">
        <v>305</v>
      </c>
      <c r="G8" s="1" t="s">
        <v>322</v>
      </c>
      <c r="H8" s="1" t="s">
        <v>314</v>
      </c>
      <c r="I8" s="1" t="s">
        <v>304</v>
      </c>
      <c r="J8" s="1" t="s">
        <v>172</v>
      </c>
      <c r="K8" s="1" t="s">
        <v>185</v>
      </c>
      <c r="L8" s="1" t="s">
        <v>186</v>
      </c>
      <c r="M8" s="3"/>
      <c r="N8" s="3"/>
      <c r="O8" s="4"/>
      <c r="P8" s="4"/>
      <c r="Q8" s="4"/>
      <c r="R8" s="4"/>
      <c r="S8" s="4"/>
      <c r="T8" s="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  <c r="BF8" s="4"/>
      <c r="BG8" s="4"/>
      <c r="BH8" s="3"/>
      <c r="BI8" s="3"/>
      <c r="BJ8" s="3"/>
      <c r="BK8" s="3"/>
      <c r="BL8" s="3"/>
    </row>
    <row r="9" spans="1:64" x14ac:dyDescent="0.25">
      <c r="A9" s="1">
        <v>8</v>
      </c>
      <c r="B9" s="1" t="s">
        <v>191</v>
      </c>
      <c r="C9" s="1">
        <v>2017</v>
      </c>
      <c r="D9" s="1" t="s">
        <v>323</v>
      </c>
      <c r="E9" s="1" t="s">
        <v>304</v>
      </c>
      <c r="F9" s="1" t="s">
        <v>305</v>
      </c>
      <c r="G9" s="1" t="s">
        <v>324</v>
      </c>
      <c r="H9" s="1" t="s">
        <v>314</v>
      </c>
      <c r="I9" s="1" t="s">
        <v>308</v>
      </c>
      <c r="J9" s="1" t="s">
        <v>172</v>
      </c>
      <c r="K9" s="1" t="s">
        <v>325</v>
      </c>
      <c r="L9" s="1" t="s">
        <v>172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5">
      <c r="A10" s="1">
        <v>9</v>
      </c>
      <c r="B10" s="1" t="s">
        <v>193</v>
      </c>
      <c r="C10" s="1">
        <v>2019</v>
      </c>
      <c r="D10" s="1" t="s">
        <v>326</v>
      </c>
      <c r="E10" s="1" t="s">
        <v>309</v>
      </c>
      <c r="F10" s="1" t="s">
        <v>305</v>
      </c>
      <c r="G10" s="1" t="s">
        <v>306</v>
      </c>
      <c r="H10" s="1" t="s">
        <v>307</v>
      </c>
      <c r="I10" s="1" t="s">
        <v>308</v>
      </c>
      <c r="J10" s="1" t="s">
        <v>172</v>
      </c>
      <c r="K10" s="1" t="s">
        <v>173</v>
      </c>
      <c r="L10" s="1" t="s">
        <v>174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5">
      <c r="A11" s="1">
        <v>10</v>
      </c>
      <c r="B11" s="1" t="s">
        <v>195</v>
      </c>
      <c r="C11" s="1">
        <v>2019</v>
      </c>
      <c r="D11" s="1" t="s">
        <v>323</v>
      </c>
      <c r="E11" s="1" t="s">
        <v>304</v>
      </c>
      <c r="F11" s="1" t="s">
        <v>305</v>
      </c>
      <c r="G11" s="1" t="s">
        <v>327</v>
      </c>
      <c r="H11" s="1" t="s">
        <v>328</v>
      </c>
      <c r="I11" s="1" t="s">
        <v>308</v>
      </c>
      <c r="J11" s="1" t="s">
        <v>197</v>
      </c>
      <c r="K11" s="1" t="s">
        <v>325</v>
      </c>
      <c r="L11" s="1" t="s">
        <v>197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5">
      <c r="A12" s="1">
        <v>11</v>
      </c>
      <c r="B12" s="1" t="s">
        <v>195</v>
      </c>
      <c r="C12" s="1">
        <v>2019</v>
      </c>
      <c r="D12" s="1" t="s">
        <v>323</v>
      </c>
      <c r="E12" s="1" t="s">
        <v>304</v>
      </c>
      <c r="F12" s="1" t="s">
        <v>305</v>
      </c>
      <c r="G12" s="1" t="s">
        <v>329</v>
      </c>
      <c r="H12" s="1" t="s">
        <v>328</v>
      </c>
      <c r="I12" s="1" t="s">
        <v>308</v>
      </c>
      <c r="J12" s="1" t="s">
        <v>197</v>
      </c>
      <c r="K12" s="1" t="s">
        <v>325</v>
      </c>
      <c r="L12" s="1" t="s">
        <v>197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5">
      <c r="A13" s="1">
        <v>12</v>
      </c>
      <c r="B13" s="1" t="s">
        <v>195</v>
      </c>
      <c r="C13" s="1">
        <v>2019</v>
      </c>
      <c r="D13" s="1" t="s">
        <v>323</v>
      </c>
      <c r="E13" s="1" t="s">
        <v>304</v>
      </c>
      <c r="F13" s="1" t="s">
        <v>305</v>
      </c>
      <c r="G13" s="1" t="s">
        <v>329</v>
      </c>
      <c r="H13" s="1" t="s">
        <v>328</v>
      </c>
      <c r="I13" s="1" t="s">
        <v>308</v>
      </c>
      <c r="J13" s="1" t="s">
        <v>197</v>
      </c>
      <c r="K13" s="1" t="s">
        <v>325</v>
      </c>
      <c r="L13" s="1" t="s">
        <v>197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5">
      <c r="A14" s="1">
        <v>13</v>
      </c>
      <c r="B14" s="1" t="s">
        <v>198</v>
      </c>
      <c r="C14" s="1">
        <v>2019</v>
      </c>
      <c r="D14" s="1" t="s">
        <v>330</v>
      </c>
      <c r="E14" s="1" t="s">
        <v>309</v>
      </c>
      <c r="F14" s="1" t="s">
        <v>305</v>
      </c>
      <c r="G14" s="1" t="s">
        <v>331</v>
      </c>
      <c r="H14" s="1" t="s">
        <v>328</v>
      </c>
      <c r="I14" s="1" t="s">
        <v>308</v>
      </c>
      <c r="J14" s="1" t="s">
        <v>199</v>
      </c>
      <c r="K14" s="1" t="s">
        <v>200</v>
      </c>
      <c r="L14" s="1" t="s">
        <v>201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5">
      <c r="A15" s="1">
        <v>14</v>
      </c>
      <c r="B15" s="1" t="s">
        <v>203</v>
      </c>
      <c r="C15" s="1">
        <v>2018</v>
      </c>
      <c r="D15" s="1" t="s">
        <v>321</v>
      </c>
      <c r="E15" s="1" t="s">
        <v>309</v>
      </c>
      <c r="F15" s="1" t="s">
        <v>305</v>
      </c>
      <c r="G15" s="1" t="s">
        <v>332</v>
      </c>
      <c r="H15" s="1" t="s">
        <v>314</v>
      </c>
      <c r="I15" s="1" t="s">
        <v>308</v>
      </c>
      <c r="J15" s="1" t="s">
        <v>204</v>
      </c>
      <c r="K15" s="1" t="s">
        <v>205</v>
      </c>
      <c r="L15" s="1" t="s">
        <v>206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5">
      <c r="A16" s="1">
        <v>15</v>
      </c>
      <c r="B16" s="1" t="s">
        <v>207</v>
      </c>
      <c r="C16" s="1">
        <v>2017</v>
      </c>
      <c r="D16" s="1" t="s">
        <v>294</v>
      </c>
      <c r="E16" s="1" t="s">
        <v>309</v>
      </c>
      <c r="F16" s="1" t="s">
        <v>305</v>
      </c>
      <c r="G16" s="1" t="s">
        <v>333</v>
      </c>
      <c r="H16" s="1" t="s">
        <v>334</v>
      </c>
      <c r="I16" s="1" t="s">
        <v>304</v>
      </c>
      <c r="J16" s="1" t="s">
        <v>199</v>
      </c>
      <c r="K16" s="1" t="s">
        <v>209</v>
      </c>
      <c r="L16" s="1" t="s">
        <v>174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x14ac:dyDescent="0.25">
      <c r="A17" s="1">
        <v>16</v>
      </c>
      <c r="B17" s="1" t="s">
        <v>210</v>
      </c>
      <c r="C17" s="1">
        <v>2015</v>
      </c>
      <c r="D17" s="1" t="s">
        <v>335</v>
      </c>
      <c r="E17" s="1" t="s">
        <v>309</v>
      </c>
      <c r="F17" s="1" t="s">
        <v>310</v>
      </c>
      <c r="G17" s="1" t="s">
        <v>336</v>
      </c>
      <c r="H17" s="1" t="s">
        <v>307</v>
      </c>
      <c r="I17" s="1" t="s">
        <v>304</v>
      </c>
      <c r="J17" s="1" t="s">
        <v>172</v>
      </c>
      <c r="K17" s="1" t="s">
        <v>211</v>
      </c>
      <c r="L17" s="1" t="s">
        <v>212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x14ac:dyDescent="0.25">
      <c r="A18" s="1">
        <v>17</v>
      </c>
      <c r="B18" s="1" t="s">
        <v>214</v>
      </c>
      <c r="C18" s="1">
        <v>2016</v>
      </c>
      <c r="D18" s="1" t="s">
        <v>321</v>
      </c>
      <c r="E18" s="1" t="s">
        <v>309</v>
      </c>
      <c r="F18" s="1" t="s">
        <v>305</v>
      </c>
      <c r="G18" s="1" t="s">
        <v>337</v>
      </c>
      <c r="H18" s="1" t="s">
        <v>314</v>
      </c>
      <c r="I18" s="1" t="s">
        <v>308</v>
      </c>
      <c r="J18" s="1" t="s">
        <v>201</v>
      </c>
      <c r="K18" s="1" t="s">
        <v>215</v>
      </c>
      <c r="L18" s="1" t="s">
        <v>186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x14ac:dyDescent="0.25">
      <c r="A19" s="1">
        <v>18</v>
      </c>
      <c r="B19" s="1" t="s">
        <v>210</v>
      </c>
      <c r="C19" s="1">
        <v>2009</v>
      </c>
      <c r="D19" s="1" t="s">
        <v>303</v>
      </c>
      <c r="E19" s="1" t="s">
        <v>309</v>
      </c>
      <c r="F19" s="1" t="s">
        <v>310</v>
      </c>
      <c r="G19" s="1" t="s">
        <v>338</v>
      </c>
      <c r="H19" s="1" t="s">
        <v>339</v>
      </c>
      <c r="I19" s="1" t="s">
        <v>304</v>
      </c>
      <c r="J19" s="1" t="s">
        <v>325</v>
      </c>
      <c r="K19" s="1" t="s">
        <v>325</v>
      </c>
      <c r="L19" s="1" t="s">
        <v>174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x14ac:dyDescent="0.25">
      <c r="A20" s="1">
        <v>19</v>
      </c>
      <c r="B20" s="1" t="s">
        <v>219</v>
      </c>
      <c r="C20" s="1">
        <v>2012</v>
      </c>
      <c r="D20" s="1" t="s">
        <v>340</v>
      </c>
      <c r="E20" s="1" t="s">
        <v>309</v>
      </c>
      <c r="F20" s="1" t="s">
        <v>305</v>
      </c>
      <c r="G20" s="1" t="s">
        <v>341</v>
      </c>
      <c r="H20" s="1" t="s">
        <v>342</v>
      </c>
      <c r="I20" s="1" t="s">
        <v>308</v>
      </c>
      <c r="J20" s="1" t="s">
        <v>204</v>
      </c>
      <c r="K20" s="1" t="s">
        <v>221</v>
      </c>
      <c r="L20" s="1" t="s">
        <v>222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4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x14ac:dyDescent="0.25">
      <c r="A21" s="1">
        <v>20</v>
      </c>
      <c r="B21" s="1" t="s">
        <v>224</v>
      </c>
      <c r="C21" s="1">
        <v>2005</v>
      </c>
      <c r="D21" s="1" t="s">
        <v>343</v>
      </c>
      <c r="E21" s="1" t="s">
        <v>304</v>
      </c>
      <c r="F21" s="1" t="s">
        <v>305</v>
      </c>
      <c r="G21" s="1" t="s">
        <v>344</v>
      </c>
      <c r="H21" s="1" t="s">
        <v>314</v>
      </c>
      <c r="I21" s="1" t="s">
        <v>308</v>
      </c>
      <c r="J21" s="1" t="s">
        <v>225</v>
      </c>
      <c r="K21" s="1" t="s">
        <v>226</v>
      </c>
      <c r="L21" s="1" t="s">
        <v>186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x14ac:dyDescent="0.25">
      <c r="A22" s="1">
        <v>21</v>
      </c>
      <c r="B22" s="1" t="s">
        <v>224</v>
      </c>
      <c r="C22" s="1">
        <v>2005</v>
      </c>
      <c r="D22" s="1" t="s">
        <v>345</v>
      </c>
      <c r="E22" s="1" t="s">
        <v>304</v>
      </c>
      <c r="F22" s="1" t="s">
        <v>305</v>
      </c>
      <c r="G22" s="1" t="s">
        <v>344</v>
      </c>
      <c r="H22" s="1" t="s">
        <v>314</v>
      </c>
      <c r="I22" s="1" t="s">
        <v>308</v>
      </c>
      <c r="J22" s="1" t="s">
        <v>225</v>
      </c>
      <c r="K22" s="1" t="s">
        <v>226</v>
      </c>
      <c r="L22" s="1" t="s">
        <v>186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x14ac:dyDescent="0.25">
      <c r="A23" s="1">
        <v>22</v>
      </c>
      <c r="B23" s="1" t="s">
        <v>224</v>
      </c>
      <c r="C23" s="1">
        <v>2005</v>
      </c>
      <c r="D23" s="1" t="s">
        <v>346</v>
      </c>
      <c r="E23" s="1" t="s">
        <v>304</v>
      </c>
      <c r="F23" s="1" t="s">
        <v>305</v>
      </c>
      <c r="G23" s="1" t="s">
        <v>344</v>
      </c>
      <c r="H23" s="1" t="s">
        <v>314</v>
      </c>
      <c r="I23" s="1" t="s">
        <v>308</v>
      </c>
      <c r="J23" s="1" t="s">
        <v>225</v>
      </c>
      <c r="K23" s="1" t="s">
        <v>226</v>
      </c>
      <c r="L23" s="1" t="s">
        <v>186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x14ac:dyDescent="0.25">
      <c r="A24" s="1">
        <v>23</v>
      </c>
      <c r="B24" s="1" t="s">
        <v>227</v>
      </c>
      <c r="C24" s="1">
        <v>2010</v>
      </c>
      <c r="D24" s="1" t="s">
        <v>347</v>
      </c>
      <c r="E24" s="1" t="s">
        <v>309</v>
      </c>
      <c r="F24" s="1" t="s">
        <v>310</v>
      </c>
      <c r="G24" s="1" t="s">
        <v>348</v>
      </c>
      <c r="H24" s="1" t="s">
        <v>307</v>
      </c>
      <c r="I24" s="1" t="s">
        <v>304</v>
      </c>
      <c r="J24" s="1" t="s">
        <v>212</v>
      </c>
      <c r="K24" s="1" t="s">
        <v>325</v>
      </c>
      <c r="L24" s="1" t="s">
        <v>212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x14ac:dyDescent="0.25">
      <c r="A25" s="1">
        <v>24</v>
      </c>
      <c r="B25" s="1" t="s">
        <v>229</v>
      </c>
      <c r="C25" s="1">
        <v>2010</v>
      </c>
      <c r="D25" s="1" t="s">
        <v>349</v>
      </c>
      <c r="E25" s="1" t="s">
        <v>309</v>
      </c>
      <c r="F25" s="1" t="s">
        <v>310</v>
      </c>
      <c r="G25" s="1" t="s">
        <v>350</v>
      </c>
      <c r="H25" s="1" t="s">
        <v>307</v>
      </c>
      <c r="I25" s="1" t="s">
        <v>304</v>
      </c>
      <c r="J25" s="1" t="s">
        <v>172</v>
      </c>
      <c r="K25" s="1" t="s">
        <v>325</v>
      </c>
      <c r="L25" s="1" t="s">
        <v>172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x14ac:dyDescent="0.25">
      <c r="A26" s="1">
        <v>25</v>
      </c>
      <c r="B26" s="1" t="s">
        <v>229</v>
      </c>
      <c r="C26" s="1">
        <v>2010</v>
      </c>
      <c r="D26" s="1" t="s">
        <v>349</v>
      </c>
      <c r="E26" s="1" t="s">
        <v>309</v>
      </c>
      <c r="F26" s="1" t="s">
        <v>310</v>
      </c>
      <c r="G26" s="1" t="s">
        <v>350</v>
      </c>
      <c r="H26" s="1" t="s">
        <v>307</v>
      </c>
      <c r="I26" s="1" t="s">
        <v>304</v>
      </c>
      <c r="J26" s="1" t="s">
        <v>172</v>
      </c>
      <c r="K26" s="1" t="s">
        <v>325</v>
      </c>
      <c r="L26" s="1" t="s">
        <v>172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x14ac:dyDescent="0.25">
      <c r="A27" s="1">
        <v>26</v>
      </c>
      <c r="B27" s="1" t="s">
        <v>231</v>
      </c>
      <c r="C27" s="1">
        <v>2010</v>
      </c>
      <c r="D27" s="1" t="s">
        <v>321</v>
      </c>
      <c r="E27" s="1" t="s">
        <v>309</v>
      </c>
      <c r="F27" s="1" t="s">
        <v>305</v>
      </c>
      <c r="G27" s="1" t="s">
        <v>306</v>
      </c>
      <c r="H27" s="1" t="s">
        <v>328</v>
      </c>
      <c r="I27" s="1" t="s">
        <v>308</v>
      </c>
      <c r="J27" s="1" t="s">
        <v>212</v>
      </c>
      <c r="K27" s="1" t="s">
        <v>325</v>
      </c>
      <c r="L27" s="1" t="s">
        <v>212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x14ac:dyDescent="0.25">
      <c r="A28" s="1">
        <v>27</v>
      </c>
      <c r="B28" s="1" t="s">
        <v>231</v>
      </c>
      <c r="C28" s="1">
        <v>2010</v>
      </c>
      <c r="D28" s="1" t="s">
        <v>321</v>
      </c>
      <c r="E28" s="1" t="s">
        <v>309</v>
      </c>
      <c r="F28" s="1" t="s">
        <v>305</v>
      </c>
      <c r="G28" s="1" t="s">
        <v>306</v>
      </c>
      <c r="H28" s="1" t="s">
        <v>328</v>
      </c>
      <c r="I28" s="1" t="s">
        <v>308</v>
      </c>
      <c r="J28" s="1" t="s">
        <v>212</v>
      </c>
      <c r="K28" s="1" t="s">
        <v>325</v>
      </c>
      <c r="L28" s="1" t="s">
        <v>212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x14ac:dyDescent="0.25">
      <c r="A29" s="1">
        <v>28</v>
      </c>
      <c r="B29" s="1" t="s">
        <v>191</v>
      </c>
      <c r="C29" s="1">
        <v>2018</v>
      </c>
      <c r="D29" s="1" t="s">
        <v>323</v>
      </c>
      <c r="E29" s="1" t="s">
        <v>304</v>
      </c>
      <c r="F29" s="1" t="s">
        <v>305</v>
      </c>
      <c r="G29" s="1" t="s">
        <v>324</v>
      </c>
      <c r="H29" s="1" t="s">
        <v>314</v>
      </c>
      <c r="I29" s="1" t="s">
        <v>308</v>
      </c>
      <c r="J29" s="1" t="s">
        <v>172</v>
      </c>
      <c r="K29" s="1" t="s">
        <v>173</v>
      </c>
      <c r="L29" s="1" t="s">
        <v>174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x14ac:dyDescent="0.25">
      <c r="A30" s="1">
        <v>29</v>
      </c>
      <c r="B30" s="1" t="s">
        <v>233</v>
      </c>
      <c r="C30" s="1">
        <v>2018</v>
      </c>
      <c r="D30" s="1" t="s">
        <v>347</v>
      </c>
      <c r="E30" s="1" t="s">
        <v>309</v>
      </c>
      <c r="F30" s="1" t="s">
        <v>305</v>
      </c>
      <c r="G30" s="1" t="s">
        <v>351</v>
      </c>
      <c r="H30" s="1" t="s">
        <v>314</v>
      </c>
      <c r="I30" s="1" t="s">
        <v>308</v>
      </c>
      <c r="J30" s="1" t="s">
        <v>172</v>
      </c>
      <c r="K30" s="1" t="s">
        <v>325</v>
      </c>
      <c r="L30" s="1" t="s">
        <v>186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x14ac:dyDescent="0.25">
      <c r="A31" s="1">
        <v>30</v>
      </c>
      <c r="B31" s="1" t="s">
        <v>234</v>
      </c>
      <c r="C31" s="1">
        <v>2019</v>
      </c>
      <c r="D31" s="1" t="s">
        <v>352</v>
      </c>
      <c r="E31" s="1" t="s">
        <v>309</v>
      </c>
      <c r="F31" s="1" t="s">
        <v>305</v>
      </c>
      <c r="G31" s="1" t="s">
        <v>353</v>
      </c>
      <c r="H31" s="1" t="s">
        <v>314</v>
      </c>
      <c r="I31" s="1" t="s">
        <v>304</v>
      </c>
      <c r="J31" s="1" t="s">
        <v>201</v>
      </c>
      <c r="K31" s="1" t="s">
        <v>215</v>
      </c>
      <c r="L31" s="1" t="s">
        <v>186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x14ac:dyDescent="0.25">
      <c r="A32" s="1">
        <v>31</v>
      </c>
      <c r="B32" s="1" t="s">
        <v>236</v>
      </c>
      <c r="C32" s="1">
        <v>2009</v>
      </c>
      <c r="D32" s="1" t="s">
        <v>323</v>
      </c>
      <c r="E32" s="1" t="s">
        <v>309</v>
      </c>
      <c r="F32" s="1" t="s">
        <v>305</v>
      </c>
      <c r="G32" s="1" t="s">
        <v>306</v>
      </c>
      <c r="H32" s="1" t="s">
        <v>307</v>
      </c>
      <c r="I32" s="1" t="s">
        <v>304</v>
      </c>
      <c r="J32" s="1" t="s">
        <v>212</v>
      </c>
      <c r="K32" s="1" t="s">
        <v>237</v>
      </c>
      <c r="L32" s="1" t="s">
        <v>238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x14ac:dyDescent="0.25">
      <c r="A33" s="1">
        <v>32</v>
      </c>
      <c r="B33" s="1" t="s">
        <v>239</v>
      </c>
      <c r="C33" s="1">
        <v>2010</v>
      </c>
      <c r="D33" s="1" t="s">
        <v>323</v>
      </c>
      <c r="E33" s="1" t="s">
        <v>304</v>
      </c>
      <c r="F33" s="1" t="s">
        <v>305</v>
      </c>
      <c r="G33" s="1" t="s">
        <v>327</v>
      </c>
      <c r="H33" s="1" t="s">
        <v>334</v>
      </c>
      <c r="I33" s="1" t="s">
        <v>308</v>
      </c>
      <c r="J33" s="1" t="s">
        <v>172</v>
      </c>
      <c r="K33" s="1" t="s">
        <v>325</v>
      </c>
      <c r="L33" s="1" t="s">
        <v>172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x14ac:dyDescent="0.25">
      <c r="A34" s="1">
        <v>33</v>
      </c>
      <c r="B34" s="1" t="s">
        <v>240</v>
      </c>
      <c r="C34" s="1">
        <v>2010</v>
      </c>
      <c r="D34" s="1" t="s">
        <v>321</v>
      </c>
      <c r="E34" s="1" t="s">
        <v>309</v>
      </c>
      <c r="F34" s="1" t="s">
        <v>305</v>
      </c>
      <c r="G34" s="1" t="s">
        <v>332</v>
      </c>
      <c r="H34" s="1" t="s">
        <v>307</v>
      </c>
      <c r="I34" s="1" t="s">
        <v>308</v>
      </c>
      <c r="J34" s="1" t="s">
        <v>225</v>
      </c>
      <c r="K34" s="1" t="s">
        <v>241</v>
      </c>
      <c r="L34" s="1" t="s">
        <v>212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x14ac:dyDescent="0.25">
      <c r="A35" s="1">
        <v>34</v>
      </c>
      <c r="B35" s="1" t="s">
        <v>240</v>
      </c>
      <c r="C35" s="1">
        <v>2010</v>
      </c>
      <c r="D35" s="1" t="s">
        <v>321</v>
      </c>
      <c r="E35" s="1" t="s">
        <v>309</v>
      </c>
      <c r="F35" s="1" t="s">
        <v>305</v>
      </c>
      <c r="G35" s="1" t="s">
        <v>332</v>
      </c>
      <c r="H35" s="1" t="s">
        <v>307</v>
      </c>
      <c r="I35" s="1" t="s">
        <v>308</v>
      </c>
      <c r="J35" s="1" t="s">
        <v>225</v>
      </c>
      <c r="K35" s="1" t="s">
        <v>241</v>
      </c>
      <c r="L35" s="1" t="s">
        <v>212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x14ac:dyDescent="0.25">
      <c r="A36" s="1">
        <v>35</v>
      </c>
      <c r="B36" s="1" t="s">
        <v>242</v>
      </c>
      <c r="C36" s="1">
        <v>2014</v>
      </c>
      <c r="D36" s="1" t="s">
        <v>354</v>
      </c>
      <c r="E36" s="1" t="s">
        <v>304</v>
      </c>
      <c r="F36" s="1" t="s">
        <v>305</v>
      </c>
      <c r="G36" s="1" t="s">
        <v>355</v>
      </c>
      <c r="H36" s="1" t="s">
        <v>314</v>
      </c>
      <c r="I36" s="1" t="s">
        <v>308</v>
      </c>
      <c r="J36" s="1" t="s">
        <v>243</v>
      </c>
      <c r="K36" s="1" t="s">
        <v>244</v>
      </c>
      <c r="L36" s="1" t="s">
        <v>197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x14ac:dyDescent="0.25">
      <c r="A37" s="1">
        <v>36</v>
      </c>
      <c r="B37" s="1" t="s">
        <v>242</v>
      </c>
      <c r="C37" s="1">
        <v>2014</v>
      </c>
      <c r="D37" s="1" t="s">
        <v>354</v>
      </c>
      <c r="E37" s="1" t="s">
        <v>304</v>
      </c>
      <c r="F37" s="1" t="s">
        <v>305</v>
      </c>
      <c r="G37" s="1" t="s">
        <v>355</v>
      </c>
      <c r="H37" s="1" t="s">
        <v>314</v>
      </c>
      <c r="I37" s="1" t="s">
        <v>308</v>
      </c>
      <c r="J37" s="1" t="s">
        <v>243</v>
      </c>
      <c r="K37" s="1" t="s">
        <v>244</v>
      </c>
      <c r="L37" s="1" t="s">
        <v>197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x14ac:dyDescent="0.25">
      <c r="A38" s="1">
        <v>37</v>
      </c>
      <c r="B38" s="1" t="s">
        <v>242</v>
      </c>
      <c r="C38" s="1">
        <v>2014</v>
      </c>
      <c r="D38" s="1" t="s">
        <v>354</v>
      </c>
      <c r="E38" s="1" t="s">
        <v>304</v>
      </c>
      <c r="F38" s="1" t="s">
        <v>305</v>
      </c>
      <c r="G38" s="1" t="s">
        <v>355</v>
      </c>
      <c r="H38" s="1" t="s">
        <v>314</v>
      </c>
      <c r="I38" s="1" t="s">
        <v>308</v>
      </c>
      <c r="J38" s="1" t="s">
        <v>243</v>
      </c>
      <c r="K38" s="1" t="s">
        <v>244</v>
      </c>
      <c r="L38" s="1" t="s">
        <v>197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x14ac:dyDescent="0.25">
      <c r="A39" s="1">
        <v>38</v>
      </c>
      <c r="B39" s="1" t="s">
        <v>242</v>
      </c>
      <c r="C39" s="1">
        <v>2014</v>
      </c>
      <c r="D39" s="1" t="s">
        <v>354</v>
      </c>
      <c r="E39" s="1" t="s">
        <v>304</v>
      </c>
      <c r="F39" s="1" t="s">
        <v>305</v>
      </c>
      <c r="G39" s="1" t="s">
        <v>355</v>
      </c>
      <c r="H39" s="1" t="s">
        <v>314</v>
      </c>
      <c r="I39" s="1" t="s">
        <v>308</v>
      </c>
      <c r="J39" s="1" t="s">
        <v>243</v>
      </c>
      <c r="K39" s="1" t="s">
        <v>244</v>
      </c>
      <c r="L39" s="1" t="s">
        <v>197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x14ac:dyDescent="0.25">
      <c r="A40" s="1">
        <v>39</v>
      </c>
      <c r="B40" s="1" t="s">
        <v>246</v>
      </c>
      <c r="C40" s="1">
        <v>2014</v>
      </c>
      <c r="D40" s="1" t="s">
        <v>354</v>
      </c>
      <c r="E40" s="1" t="s">
        <v>304</v>
      </c>
      <c r="F40" s="1" t="s">
        <v>305</v>
      </c>
      <c r="G40" s="1" t="s">
        <v>356</v>
      </c>
      <c r="H40" s="1" t="s">
        <v>314</v>
      </c>
      <c r="I40" s="1" t="s">
        <v>304</v>
      </c>
      <c r="J40" s="1" t="s">
        <v>172</v>
      </c>
      <c r="K40" s="1" t="s">
        <v>247</v>
      </c>
      <c r="L40" s="1" t="s">
        <v>248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x14ac:dyDescent="0.25">
      <c r="A41" s="1">
        <v>40</v>
      </c>
      <c r="B41" s="1" t="s">
        <v>246</v>
      </c>
      <c r="C41" s="1">
        <v>2014</v>
      </c>
      <c r="D41" s="1" t="s">
        <v>354</v>
      </c>
      <c r="E41" s="1" t="s">
        <v>304</v>
      </c>
      <c r="F41" s="1" t="s">
        <v>305</v>
      </c>
      <c r="G41" s="1" t="s">
        <v>356</v>
      </c>
      <c r="H41" s="1" t="s">
        <v>314</v>
      </c>
      <c r="I41" s="1" t="s">
        <v>304</v>
      </c>
      <c r="J41" s="1" t="s">
        <v>172</v>
      </c>
      <c r="K41" s="1" t="s">
        <v>325</v>
      </c>
      <c r="L41" s="1" t="s">
        <v>172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x14ac:dyDescent="0.25">
      <c r="A42" s="1">
        <v>41</v>
      </c>
      <c r="B42" s="1" t="s">
        <v>246</v>
      </c>
      <c r="C42" s="1">
        <v>2014</v>
      </c>
      <c r="D42" s="1" t="s">
        <v>354</v>
      </c>
      <c r="E42" s="1" t="s">
        <v>304</v>
      </c>
      <c r="F42" s="1" t="s">
        <v>305</v>
      </c>
      <c r="G42" s="1" t="s">
        <v>356</v>
      </c>
      <c r="H42" s="1" t="s">
        <v>314</v>
      </c>
      <c r="I42" s="1" t="s">
        <v>304</v>
      </c>
      <c r="J42" s="1" t="s">
        <v>172</v>
      </c>
      <c r="K42" s="1" t="s">
        <v>325</v>
      </c>
      <c r="L42" s="1" t="s">
        <v>172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x14ac:dyDescent="0.25">
      <c r="A43" s="1">
        <v>42</v>
      </c>
      <c r="B43" s="1" t="s">
        <v>246</v>
      </c>
      <c r="C43" s="1">
        <v>2014</v>
      </c>
      <c r="D43" s="1" t="s">
        <v>354</v>
      </c>
      <c r="E43" s="1" t="s">
        <v>304</v>
      </c>
      <c r="F43" s="1" t="s">
        <v>305</v>
      </c>
      <c r="G43" s="1" t="s">
        <v>356</v>
      </c>
      <c r="H43" s="1" t="s">
        <v>314</v>
      </c>
      <c r="I43" s="1" t="s">
        <v>304</v>
      </c>
      <c r="J43" s="1" t="s">
        <v>172</v>
      </c>
      <c r="K43" s="1" t="s">
        <v>325</v>
      </c>
      <c r="L43" s="1" t="s">
        <v>172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x14ac:dyDescent="0.25">
      <c r="A44" s="1">
        <v>43</v>
      </c>
      <c r="B44" s="1" t="s">
        <v>246</v>
      </c>
      <c r="C44" s="1">
        <v>2014</v>
      </c>
      <c r="D44" s="1" t="s">
        <v>354</v>
      </c>
      <c r="E44" s="1" t="s">
        <v>304</v>
      </c>
      <c r="F44" s="1" t="s">
        <v>305</v>
      </c>
      <c r="G44" s="1" t="s">
        <v>356</v>
      </c>
      <c r="H44" s="1" t="s">
        <v>314</v>
      </c>
      <c r="I44" s="1" t="s">
        <v>304</v>
      </c>
      <c r="J44" s="1" t="s">
        <v>172</v>
      </c>
      <c r="K44" s="1" t="s">
        <v>325</v>
      </c>
      <c r="L44" s="1" t="s">
        <v>172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x14ac:dyDescent="0.25">
      <c r="A45" s="1">
        <v>44</v>
      </c>
      <c r="B45" s="1" t="s">
        <v>249</v>
      </c>
      <c r="C45" s="1">
        <v>2016</v>
      </c>
      <c r="D45" s="1" t="s">
        <v>357</v>
      </c>
      <c r="E45" s="1" t="s">
        <v>309</v>
      </c>
      <c r="F45" s="1" t="s">
        <v>305</v>
      </c>
      <c r="G45" s="1" t="s">
        <v>333</v>
      </c>
      <c r="H45" s="1" t="s">
        <v>314</v>
      </c>
      <c r="I45" s="1" t="s">
        <v>308</v>
      </c>
      <c r="J45" s="1" t="s">
        <v>212</v>
      </c>
      <c r="K45" s="1" t="s">
        <v>221</v>
      </c>
      <c r="L45" s="1" t="s">
        <v>174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x14ac:dyDescent="0.25">
      <c r="A46" s="1">
        <v>45</v>
      </c>
      <c r="B46" s="1" t="s">
        <v>249</v>
      </c>
      <c r="C46" s="1">
        <v>2017</v>
      </c>
      <c r="D46" s="1" t="s">
        <v>357</v>
      </c>
      <c r="E46" s="1" t="s">
        <v>309</v>
      </c>
      <c r="F46" s="1" t="s">
        <v>305</v>
      </c>
      <c r="G46" s="1" t="s">
        <v>333</v>
      </c>
      <c r="H46" s="1" t="s">
        <v>314</v>
      </c>
      <c r="I46" s="1" t="s">
        <v>308</v>
      </c>
      <c r="J46" s="1" t="s">
        <v>212</v>
      </c>
      <c r="K46" s="1" t="s">
        <v>221</v>
      </c>
      <c r="L46" s="1" t="s">
        <v>174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x14ac:dyDescent="0.25">
      <c r="A47" s="1">
        <v>46</v>
      </c>
      <c r="B47" s="1" t="s">
        <v>251</v>
      </c>
      <c r="C47" s="1">
        <v>2018</v>
      </c>
      <c r="D47" s="1" t="s">
        <v>358</v>
      </c>
      <c r="E47" s="1" t="s">
        <v>304</v>
      </c>
      <c r="F47" s="1" t="s">
        <v>305</v>
      </c>
      <c r="G47" s="1" t="s">
        <v>359</v>
      </c>
      <c r="H47" s="1" t="s">
        <v>314</v>
      </c>
      <c r="I47" s="1" t="s">
        <v>360</v>
      </c>
      <c r="J47" s="1" t="s">
        <v>252</v>
      </c>
      <c r="K47" s="1" t="s">
        <v>253</v>
      </c>
      <c r="L47" s="1" t="s">
        <v>186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x14ac:dyDescent="0.25">
      <c r="A48" s="1">
        <v>47</v>
      </c>
      <c r="B48" s="1" t="s">
        <v>251</v>
      </c>
      <c r="C48" s="1">
        <v>2018</v>
      </c>
      <c r="D48" s="1" t="s">
        <v>358</v>
      </c>
      <c r="E48" s="1" t="s">
        <v>304</v>
      </c>
      <c r="F48" s="1" t="s">
        <v>305</v>
      </c>
      <c r="G48" s="1" t="s">
        <v>359</v>
      </c>
      <c r="H48" s="1" t="s">
        <v>314</v>
      </c>
      <c r="I48" s="1" t="s">
        <v>360</v>
      </c>
      <c r="J48" s="1" t="s">
        <v>252</v>
      </c>
      <c r="K48" s="1" t="s">
        <v>253</v>
      </c>
      <c r="L48" s="1" t="s">
        <v>186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x14ac:dyDescent="0.25">
      <c r="A49" s="1">
        <v>48</v>
      </c>
      <c r="B49" s="1" t="s">
        <v>251</v>
      </c>
      <c r="C49" s="1">
        <v>2018</v>
      </c>
      <c r="D49" s="1" t="s">
        <v>358</v>
      </c>
      <c r="E49" s="1" t="s">
        <v>304</v>
      </c>
      <c r="F49" s="1" t="s">
        <v>305</v>
      </c>
      <c r="G49" s="1" t="s">
        <v>359</v>
      </c>
      <c r="H49" s="1" t="s">
        <v>314</v>
      </c>
      <c r="I49" s="1" t="s">
        <v>360</v>
      </c>
      <c r="J49" s="1" t="s">
        <v>252</v>
      </c>
      <c r="K49" s="1" t="s">
        <v>253</v>
      </c>
      <c r="L49" s="1" t="s">
        <v>186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x14ac:dyDescent="0.25">
      <c r="A50" s="1">
        <v>49</v>
      </c>
      <c r="B50" s="1" t="s">
        <v>251</v>
      </c>
      <c r="C50" s="1">
        <v>2018</v>
      </c>
      <c r="D50" s="1" t="s">
        <v>358</v>
      </c>
      <c r="E50" s="1" t="s">
        <v>304</v>
      </c>
      <c r="F50" s="1" t="s">
        <v>305</v>
      </c>
      <c r="G50" s="1" t="s">
        <v>359</v>
      </c>
      <c r="H50" s="1" t="s">
        <v>314</v>
      </c>
      <c r="I50" s="1" t="s">
        <v>360</v>
      </c>
      <c r="J50" s="1" t="s">
        <v>252</v>
      </c>
      <c r="K50" s="1" t="s">
        <v>253</v>
      </c>
      <c r="L50" s="1" t="s">
        <v>186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x14ac:dyDescent="0.25">
      <c r="A51" s="1">
        <v>50</v>
      </c>
      <c r="B51" s="1" t="s">
        <v>251</v>
      </c>
      <c r="C51" s="1">
        <v>2018</v>
      </c>
      <c r="D51" s="1" t="s">
        <v>358</v>
      </c>
      <c r="E51" s="1" t="s">
        <v>304</v>
      </c>
      <c r="F51" s="1" t="s">
        <v>305</v>
      </c>
      <c r="G51" s="1" t="s">
        <v>359</v>
      </c>
      <c r="H51" s="1" t="s">
        <v>314</v>
      </c>
      <c r="I51" s="1" t="s">
        <v>360</v>
      </c>
      <c r="J51" s="1" t="s">
        <v>225</v>
      </c>
      <c r="K51" s="1" t="s">
        <v>254</v>
      </c>
      <c r="L51" s="1" t="s">
        <v>186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x14ac:dyDescent="0.25">
      <c r="A52" s="1">
        <v>51</v>
      </c>
      <c r="B52" s="1" t="s">
        <v>251</v>
      </c>
      <c r="C52" s="1">
        <v>2018</v>
      </c>
      <c r="D52" s="1" t="s">
        <v>358</v>
      </c>
      <c r="E52" s="1" t="s">
        <v>304</v>
      </c>
      <c r="F52" s="1" t="s">
        <v>305</v>
      </c>
      <c r="G52" s="1" t="s">
        <v>359</v>
      </c>
      <c r="H52" s="1" t="s">
        <v>314</v>
      </c>
      <c r="I52" s="1" t="s">
        <v>360</v>
      </c>
      <c r="J52" s="1" t="s">
        <v>225</v>
      </c>
      <c r="K52" s="1" t="s">
        <v>254</v>
      </c>
      <c r="L52" s="1" t="s">
        <v>186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x14ac:dyDescent="0.25">
      <c r="A53" s="1">
        <v>52</v>
      </c>
      <c r="B53" s="1" t="s">
        <v>251</v>
      </c>
      <c r="C53" s="1">
        <v>2018</v>
      </c>
      <c r="D53" s="1" t="s">
        <v>358</v>
      </c>
      <c r="E53" s="1" t="s">
        <v>304</v>
      </c>
      <c r="F53" s="1" t="s">
        <v>305</v>
      </c>
      <c r="G53" s="1" t="s">
        <v>359</v>
      </c>
      <c r="H53" s="1" t="s">
        <v>314</v>
      </c>
      <c r="I53" s="1" t="s">
        <v>360</v>
      </c>
      <c r="J53" s="1" t="s">
        <v>225</v>
      </c>
      <c r="K53" s="1" t="s">
        <v>254</v>
      </c>
      <c r="L53" s="1" t="s">
        <v>186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x14ac:dyDescent="0.25">
      <c r="A54" s="1">
        <v>53</v>
      </c>
      <c r="B54" s="1" t="s">
        <v>251</v>
      </c>
      <c r="C54" s="1">
        <v>2018</v>
      </c>
      <c r="D54" s="1" t="s">
        <v>358</v>
      </c>
      <c r="E54" s="1" t="s">
        <v>304</v>
      </c>
      <c r="F54" s="1" t="s">
        <v>305</v>
      </c>
      <c r="G54" s="1" t="s">
        <v>359</v>
      </c>
      <c r="H54" s="1" t="s">
        <v>314</v>
      </c>
      <c r="I54" s="1" t="s">
        <v>360</v>
      </c>
      <c r="J54" s="1" t="s">
        <v>172</v>
      </c>
      <c r="K54" s="1" t="s">
        <v>255</v>
      </c>
      <c r="L54" s="1" t="s">
        <v>256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x14ac:dyDescent="0.25">
      <c r="A55" s="1">
        <v>54</v>
      </c>
      <c r="B55" s="1" t="s">
        <v>257</v>
      </c>
      <c r="C55" s="1">
        <v>2019</v>
      </c>
      <c r="D55" s="1" t="s">
        <v>361</v>
      </c>
      <c r="E55" s="1" t="s">
        <v>309</v>
      </c>
      <c r="F55" s="1" t="s">
        <v>305</v>
      </c>
      <c r="G55" s="1" t="s">
        <v>316</v>
      </c>
      <c r="H55" s="1" t="s">
        <v>307</v>
      </c>
      <c r="I55" s="1" t="s">
        <v>304</v>
      </c>
      <c r="J55" s="1" t="s">
        <v>172</v>
      </c>
      <c r="K55" s="1" t="s">
        <v>173</v>
      </c>
      <c r="L55" s="1" t="s">
        <v>174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x14ac:dyDescent="0.25">
      <c r="A56" s="1">
        <v>55</v>
      </c>
      <c r="B56" s="1" t="s">
        <v>257</v>
      </c>
      <c r="C56" s="1">
        <v>2019</v>
      </c>
      <c r="D56" s="1" t="s">
        <v>361</v>
      </c>
      <c r="E56" s="1" t="s">
        <v>309</v>
      </c>
      <c r="F56" s="1" t="s">
        <v>305</v>
      </c>
      <c r="G56" s="1" t="s">
        <v>316</v>
      </c>
      <c r="H56" s="1" t="s">
        <v>307</v>
      </c>
      <c r="I56" s="1" t="s">
        <v>304</v>
      </c>
      <c r="J56" s="1" t="s">
        <v>172</v>
      </c>
      <c r="K56" s="1" t="s">
        <v>173</v>
      </c>
      <c r="L56" s="1" t="s">
        <v>174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x14ac:dyDescent="0.25">
      <c r="A57" s="1">
        <v>56</v>
      </c>
      <c r="B57" s="1" t="s">
        <v>257</v>
      </c>
      <c r="C57" s="1">
        <v>2019</v>
      </c>
      <c r="D57" s="1" t="s">
        <v>361</v>
      </c>
      <c r="E57" s="1" t="s">
        <v>309</v>
      </c>
      <c r="F57" s="1" t="s">
        <v>305</v>
      </c>
      <c r="G57" s="1" t="s">
        <v>316</v>
      </c>
      <c r="H57" s="1" t="s">
        <v>307</v>
      </c>
      <c r="I57" s="1" t="s">
        <v>304</v>
      </c>
      <c r="J57" s="1" t="s">
        <v>172</v>
      </c>
      <c r="K57" s="1" t="s">
        <v>173</v>
      </c>
      <c r="L57" s="1" t="s">
        <v>174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1:64" x14ac:dyDescent="0.25">
      <c r="A58" s="1">
        <v>57</v>
      </c>
      <c r="B58" s="1" t="s">
        <v>257</v>
      </c>
      <c r="C58" s="1">
        <v>2019</v>
      </c>
      <c r="D58" s="1" t="s">
        <v>361</v>
      </c>
      <c r="E58" s="1" t="s">
        <v>309</v>
      </c>
      <c r="F58" s="1" t="s">
        <v>305</v>
      </c>
      <c r="G58" s="1" t="s">
        <v>362</v>
      </c>
      <c r="H58" s="1" t="s">
        <v>307</v>
      </c>
      <c r="I58" s="1" t="s">
        <v>304</v>
      </c>
      <c r="J58" s="1" t="s">
        <v>172</v>
      </c>
      <c r="K58" s="1" t="s">
        <v>173</v>
      </c>
      <c r="L58" s="1" t="s">
        <v>174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1:64" x14ac:dyDescent="0.25">
      <c r="A59" s="1">
        <v>58</v>
      </c>
      <c r="B59" s="1" t="s">
        <v>260</v>
      </c>
      <c r="C59" s="1">
        <v>2018</v>
      </c>
      <c r="D59" s="1" t="s">
        <v>363</v>
      </c>
      <c r="E59" s="1" t="s">
        <v>304</v>
      </c>
      <c r="F59" s="1" t="s">
        <v>305</v>
      </c>
      <c r="G59" s="1" t="s">
        <v>327</v>
      </c>
      <c r="H59" s="1" t="s">
        <v>328</v>
      </c>
      <c r="I59" s="1" t="s">
        <v>308</v>
      </c>
      <c r="J59" s="1" t="s">
        <v>261</v>
      </c>
      <c r="K59" s="1" t="s">
        <v>325</v>
      </c>
      <c r="L59" s="1" t="s">
        <v>261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1:64" x14ac:dyDescent="0.25">
      <c r="A60" s="1">
        <v>59</v>
      </c>
      <c r="B60" s="1" t="s">
        <v>260</v>
      </c>
      <c r="C60" s="1">
        <v>2018</v>
      </c>
      <c r="D60" s="1" t="s">
        <v>321</v>
      </c>
      <c r="E60" s="1" t="s">
        <v>304</v>
      </c>
      <c r="F60" s="1" t="s">
        <v>305</v>
      </c>
      <c r="G60" s="1" t="s">
        <v>364</v>
      </c>
      <c r="H60" s="1" t="s">
        <v>328</v>
      </c>
      <c r="I60" s="1" t="s">
        <v>308</v>
      </c>
      <c r="J60" s="1" t="s">
        <v>261</v>
      </c>
      <c r="K60" s="1" t="s">
        <v>325</v>
      </c>
      <c r="L60" s="1" t="s">
        <v>261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1:64" x14ac:dyDescent="0.25">
      <c r="A61" s="1">
        <v>60</v>
      </c>
      <c r="B61" s="1" t="s">
        <v>178</v>
      </c>
      <c r="C61" s="1">
        <v>2010</v>
      </c>
      <c r="D61" s="1" t="s">
        <v>312</v>
      </c>
      <c r="E61" s="1" t="s">
        <v>304</v>
      </c>
      <c r="F61" s="1" t="s">
        <v>305</v>
      </c>
      <c r="G61" s="1" t="s">
        <v>313</v>
      </c>
      <c r="H61" s="1" t="s">
        <v>314</v>
      </c>
      <c r="I61" s="1" t="s">
        <v>304</v>
      </c>
      <c r="J61" s="1" t="s">
        <v>172</v>
      </c>
      <c r="K61" s="1" t="s">
        <v>173</v>
      </c>
      <c r="L61" s="1" t="s">
        <v>174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1:64" x14ac:dyDescent="0.25">
      <c r="A62" s="1">
        <v>61</v>
      </c>
      <c r="B62" s="1" t="s">
        <v>198</v>
      </c>
      <c r="C62" s="1">
        <v>2019</v>
      </c>
      <c r="D62" s="1" t="s">
        <v>330</v>
      </c>
      <c r="E62" s="1" t="s">
        <v>309</v>
      </c>
      <c r="F62" s="1" t="s">
        <v>305</v>
      </c>
      <c r="G62" s="1" t="s">
        <v>331</v>
      </c>
      <c r="H62" s="1" t="s">
        <v>328</v>
      </c>
      <c r="I62" s="1" t="s">
        <v>308</v>
      </c>
      <c r="J62" s="1" t="s">
        <v>197</v>
      </c>
      <c r="K62" s="1" t="s">
        <v>325</v>
      </c>
      <c r="L62" s="1" t="s">
        <v>197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1:64" x14ac:dyDescent="0.25">
      <c r="A63" s="1">
        <v>62</v>
      </c>
      <c r="B63" s="1" t="s">
        <v>263</v>
      </c>
      <c r="C63" s="1">
        <v>2015</v>
      </c>
      <c r="D63" s="1" t="s">
        <v>365</v>
      </c>
      <c r="E63" s="1" t="s">
        <v>309</v>
      </c>
      <c r="F63" s="1" t="s">
        <v>305</v>
      </c>
      <c r="G63" s="1" t="s">
        <v>362</v>
      </c>
      <c r="H63" s="1" t="s">
        <v>314</v>
      </c>
      <c r="I63" s="1" t="s">
        <v>308</v>
      </c>
      <c r="J63" s="1" t="s">
        <v>172</v>
      </c>
      <c r="K63" s="1" t="s">
        <v>264</v>
      </c>
      <c r="L63" s="1" t="s">
        <v>238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1:64" x14ac:dyDescent="0.25">
      <c r="A64" s="1">
        <v>63</v>
      </c>
      <c r="B64" s="1" t="s">
        <v>266</v>
      </c>
      <c r="C64" s="1">
        <v>2011</v>
      </c>
      <c r="D64" s="1" t="s">
        <v>366</v>
      </c>
      <c r="E64" s="1" t="s">
        <v>309</v>
      </c>
      <c r="F64" s="1" t="s">
        <v>305</v>
      </c>
      <c r="G64" s="1" t="s">
        <v>367</v>
      </c>
      <c r="H64" s="1" t="s">
        <v>328</v>
      </c>
      <c r="I64" s="1" t="s">
        <v>308</v>
      </c>
      <c r="J64" s="1" t="s">
        <v>201</v>
      </c>
      <c r="K64" s="1" t="s">
        <v>267</v>
      </c>
      <c r="L64" s="1" t="s">
        <v>248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1:64" x14ac:dyDescent="0.25">
      <c r="A65" s="1">
        <v>64</v>
      </c>
      <c r="B65" s="1" t="s">
        <v>269</v>
      </c>
      <c r="C65" s="1">
        <v>2014</v>
      </c>
      <c r="D65" s="1" t="s">
        <v>347</v>
      </c>
      <c r="E65" s="1" t="s">
        <v>309</v>
      </c>
      <c r="F65" s="1" t="s">
        <v>310</v>
      </c>
      <c r="G65" s="1" t="s">
        <v>368</v>
      </c>
      <c r="H65" s="1" t="s">
        <v>314</v>
      </c>
      <c r="I65" s="1" t="s">
        <v>304</v>
      </c>
      <c r="J65" s="1" t="s">
        <v>172</v>
      </c>
      <c r="K65" s="1" t="s">
        <v>173</v>
      </c>
      <c r="L65" s="1" t="s">
        <v>174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4"/>
      <c r="AZ65" s="4"/>
      <c r="BA65" s="4"/>
      <c r="BB65" s="3"/>
      <c r="BC65" s="4"/>
      <c r="BD65" s="4"/>
      <c r="BE65" s="3"/>
      <c r="BF65" s="3"/>
      <c r="BG65" s="3"/>
      <c r="BH65" s="4"/>
      <c r="BI65" s="4"/>
      <c r="BJ65" s="4"/>
      <c r="BK65" s="3"/>
      <c r="BL65" s="4"/>
    </row>
    <row r="66" spans="1:64" x14ac:dyDescent="0.25">
      <c r="A66" s="1">
        <v>65</v>
      </c>
      <c r="B66" s="1" t="s">
        <v>270</v>
      </c>
      <c r="C66" s="1">
        <v>2015</v>
      </c>
      <c r="D66" s="1" t="s">
        <v>366</v>
      </c>
      <c r="E66" s="1" t="s">
        <v>309</v>
      </c>
      <c r="F66" s="1" t="s">
        <v>305</v>
      </c>
      <c r="G66" s="1" t="s">
        <v>369</v>
      </c>
      <c r="H66" s="1" t="s">
        <v>328</v>
      </c>
      <c r="I66" s="1" t="s">
        <v>304</v>
      </c>
      <c r="J66" s="1" t="s">
        <v>271</v>
      </c>
      <c r="K66" s="1" t="s">
        <v>221</v>
      </c>
      <c r="L66" s="1" t="s">
        <v>272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1:64" x14ac:dyDescent="0.25">
      <c r="A67" s="1">
        <v>66</v>
      </c>
      <c r="B67" s="1" t="s">
        <v>273</v>
      </c>
      <c r="C67" s="1">
        <v>2015</v>
      </c>
      <c r="D67" s="1" t="s">
        <v>346</v>
      </c>
      <c r="E67" s="1" t="s">
        <v>304</v>
      </c>
      <c r="F67" s="1" t="s">
        <v>305</v>
      </c>
      <c r="G67" s="1" t="s">
        <v>370</v>
      </c>
      <c r="H67" s="1" t="s">
        <v>314</v>
      </c>
      <c r="I67" s="1" t="s">
        <v>308</v>
      </c>
      <c r="J67" s="1" t="s">
        <v>201</v>
      </c>
      <c r="K67" s="1" t="s">
        <v>215</v>
      </c>
      <c r="L67" s="1" t="s">
        <v>186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1:64" x14ac:dyDescent="0.25">
      <c r="A68" s="1">
        <v>67</v>
      </c>
      <c r="B68" s="1" t="s">
        <v>274</v>
      </c>
      <c r="C68" s="1">
        <v>2017</v>
      </c>
      <c r="D68" s="1" t="s">
        <v>363</v>
      </c>
      <c r="E68" s="1" t="s">
        <v>309</v>
      </c>
      <c r="F68" s="1" t="s">
        <v>305</v>
      </c>
      <c r="G68" s="1" t="s">
        <v>333</v>
      </c>
      <c r="H68" s="1" t="s">
        <v>371</v>
      </c>
      <c r="I68" s="1" t="s">
        <v>304</v>
      </c>
      <c r="J68" s="1" t="s">
        <v>325</v>
      </c>
      <c r="K68" s="1" t="s">
        <v>325</v>
      </c>
      <c r="L68" s="1" t="s">
        <v>174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1:64" x14ac:dyDescent="0.25">
      <c r="A69" s="1">
        <v>68</v>
      </c>
      <c r="B69" s="1" t="s">
        <v>210</v>
      </c>
      <c r="C69" s="1">
        <v>2020</v>
      </c>
      <c r="D69" s="1" t="s">
        <v>372</v>
      </c>
      <c r="E69" s="1" t="s">
        <v>309</v>
      </c>
      <c r="F69" s="1" t="s">
        <v>305</v>
      </c>
      <c r="G69" s="1" t="s">
        <v>348</v>
      </c>
      <c r="H69" s="1" t="s">
        <v>307</v>
      </c>
      <c r="I69" s="1" t="s">
        <v>308</v>
      </c>
      <c r="J69" s="1" t="s">
        <v>172</v>
      </c>
      <c r="K69" s="1" t="s">
        <v>173</v>
      </c>
      <c r="L69" s="1" t="s">
        <v>174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D21F-FCA9-4B43-BAD7-4DD60CA9E5BC}">
  <dimension ref="A1:GC126"/>
  <sheetViews>
    <sheetView zoomScale="80" zoomScaleNormal="80" workbookViewId="0">
      <pane xSplit="2" ySplit="1" topLeftCell="C2" activePane="bottomRight" state="frozen"/>
      <selection pane="topRight" activeCell="FS1" sqref="FS1"/>
      <selection pane="bottomLeft" activeCell="A96" sqref="A96"/>
      <selection pane="bottomRight"/>
    </sheetView>
  </sheetViews>
  <sheetFormatPr defaultColWidth="11.6640625" defaultRowHeight="13.2" x14ac:dyDescent="0.25"/>
  <cols>
    <col min="1" max="1" width="6.88671875" customWidth="1"/>
    <col min="2" max="2" width="19.88671875" customWidth="1"/>
    <col min="3" max="3" width="5.88671875" customWidth="1"/>
    <col min="4" max="4" width="39.88671875" customWidth="1"/>
    <col min="5" max="5" width="14.88671875" customWidth="1"/>
    <col min="6" max="6" width="10.5546875" customWidth="1"/>
    <col min="7" max="7" width="7.44140625" style="2" customWidth="1"/>
    <col min="8" max="8" width="16" customWidth="1"/>
    <col min="9" max="9" width="9.33203125" customWidth="1"/>
    <col min="10" max="10" width="14.5546875" customWidth="1"/>
    <col min="11" max="11" width="15.5546875" customWidth="1"/>
    <col min="12" max="12" width="12.77734375" customWidth="1"/>
    <col min="13" max="13" width="11.5546875" style="7" customWidth="1"/>
    <col min="14" max="14" width="14.77734375" style="3" customWidth="1"/>
    <col min="15" max="15" width="16" style="3" customWidth="1"/>
    <col min="16" max="16" width="14.77734375" style="3" customWidth="1"/>
    <col min="17" max="17" width="15.5546875" style="3" customWidth="1"/>
    <col min="18" max="18" width="14.5546875" style="3" customWidth="1"/>
    <col min="19" max="19" width="15.77734375" style="3" customWidth="1"/>
    <col min="20" max="20" width="14.5546875" style="3" customWidth="1"/>
    <col min="21" max="21" width="15.44140625" style="3" customWidth="1"/>
    <col min="22" max="22" width="14.33203125" style="3" customWidth="1"/>
    <col min="23" max="23" width="15.5546875" style="3" customWidth="1"/>
    <col min="24" max="24" width="14.33203125" style="3" customWidth="1"/>
    <col min="25" max="25" width="15.21875" style="3" customWidth="1"/>
    <col min="26" max="26" width="15.44140625" style="3" customWidth="1"/>
    <col min="27" max="27" width="18.77734375" style="3" customWidth="1"/>
    <col min="28" max="28" width="15.44140625" style="3" customWidth="1"/>
    <col min="29" max="29" width="16.44140625" style="3" customWidth="1"/>
    <col min="30" max="30" width="14.77734375" style="3" customWidth="1"/>
    <col min="31" max="31" width="15.21875" style="3" customWidth="1"/>
    <col min="32" max="32" width="16.33203125" style="3" customWidth="1"/>
    <col min="33" max="33" width="14.5546875" style="3" customWidth="1"/>
    <col min="34" max="34" width="10.21875" style="3" customWidth="1"/>
    <col min="35" max="35" width="11.5546875" style="8" customWidth="1"/>
    <col min="36" max="36" width="14.21875" style="3" customWidth="1"/>
    <col min="37" max="37" width="14.33203125" style="3" customWidth="1"/>
    <col min="38" max="38" width="13.88671875" style="3" customWidth="1"/>
    <col min="39" max="39" width="14" style="3" customWidth="1"/>
    <col min="40" max="40" width="14.33203125" style="3" customWidth="1"/>
    <col min="41" max="41" width="15.44140625" style="3" customWidth="1"/>
    <col min="42" max="42" width="16.77734375" style="3" customWidth="1"/>
    <col min="43" max="43" width="15.109375" style="3" customWidth="1"/>
    <col min="44" max="44" width="14.5546875" style="3" customWidth="1"/>
    <col min="45" max="47" width="15.21875" style="3" customWidth="1"/>
    <col min="48" max="48" width="14" style="3" customWidth="1"/>
    <col min="49" max="49" width="14.21875" style="3" customWidth="1"/>
    <col min="50" max="50" width="13.6640625" style="3" customWidth="1"/>
    <col min="51" max="51" width="13.88671875" style="3" customWidth="1"/>
    <col min="52" max="52" width="15.21875" style="3" customWidth="1"/>
    <col min="53" max="53" width="14.21875" style="3" customWidth="1"/>
    <col min="54" max="54" width="14.33203125" style="3" customWidth="1"/>
    <col min="55" max="55" width="11.5546875" style="9" customWidth="1"/>
    <col min="56" max="56" width="10.5546875" style="3" customWidth="1"/>
    <col min="57" max="58" width="10.88671875" style="3" customWidth="1"/>
    <col min="59" max="60" width="10.77734375" style="3" customWidth="1"/>
    <col min="61" max="61" width="10.21875" style="3" customWidth="1"/>
    <col min="62" max="63" width="10.5546875" style="3" customWidth="1"/>
    <col min="64" max="64" width="12.33203125" style="3" customWidth="1"/>
    <col min="65" max="65" width="11.109375" style="3" customWidth="1"/>
    <col min="66" max="66" width="11.5546875" style="10" customWidth="1"/>
    <col min="67" max="67" width="16" style="3" customWidth="1"/>
    <col min="68" max="68" width="15.5546875" style="3" customWidth="1"/>
    <col min="69" max="69" width="15.77734375" style="3" customWidth="1"/>
    <col min="70" max="70" width="21.88671875" style="3" customWidth="1"/>
    <col min="71" max="71" width="15.44140625" style="3" customWidth="1"/>
    <col min="72" max="72" width="15.21875" style="3" customWidth="1"/>
    <col min="73" max="74" width="15.5546875" style="3" customWidth="1"/>
    <col min="75" max="76" width="15.77734375" style="3" customWidth="1"/>
    <col min="77" max="77" width="15.44140625" style="3" customWidth="1"/>
    <col min="78" max="78" width="15.5546875" style="3" customWidth="1"/>
    <col min="79" max="79" width="21.6640625" style="3" customWidth="1"/>
    <col min="80" max="80" width="15.21875" style="3" customWidth="1"/>
    <col min="81" max="81" width="15.109375" style="3" customWidth="1"/>
    <col min="82" max="83" width="15.44140625" style="3" customWidth="1"/>
    <col min="84" max="84" width="15.5546875" style="3" customWidth="1"/>
    <col min="85" max="85" width="11.5546875" style="11" customWidth="1"/>
    <col min="86" max="87" width="19.77734375" style="3" customWidth="1"/>
    <col min="88" max="88" width="20.109375" style="3" customWidth="1"/>
    <col min="89" max="89" width="19.88671875" style="3" customWidth="1"/>
    <col min="90" max="90" width="19.77734375" style="3" customWidth="1"/>
    <col min="91" max="92" width="20.77734375" style="3" customWidth="1"/>
    <col min="93" max="93" width="21.109375" style="3" customWidth="1"/>
    <col min="94" max="94" width="21" style="3" customWidth="1"/>
    <col min="95" max="95" width="20.77734375" style="3" customWidth="1"/>
    <col min="96" max="98" width="20.6640625" style="3" customWidth="1"/>
    <col min="99" max="100" width="19.5546875" style="3" customWidth="1"/>
    <col min="101" max="101" width="19.88671875" style="3" customWidth="1"/>
    <col min="102" max="102" width="19.77734375" style="3" customWidth="1"/>
    <col min="103" max="103" width="19.5546875" style="3" customWidth="1"/>
    <col min="104" max="105" width="20.6640625" style="3" customWidth="1"/>
    <col min="106" max="106" width="21" style="3" customWidth="1"/>
    <col min="107" max="107" width="20.77734375" style="3" customWidth="1"/>
    <col min="108" max="108" width="20.6640625" style="3" customWidth="1"/>
    <col min="109" max="111" width="20.44140625" style="3" customWidth="1"/>
    <col min="112" max="112" width="11.5546875" style="40" customWidth="1"/>
    <col min="113" max="113" width="16.77734375" style="3" customWidth="1"/>
    <col min="114" max="114" width="15.77734375" style="3" customWidth="1"/>
    <col min="115" max="115" width="15.44140625" style="3" customWidth="1"/>
    <col min="116" max="116" width="15.77734375" style="3" customWidth="1"/>
    <col min="117" max="117" width="14.77734375" style="3" customWidth="1"/>
    <col min="118" max="118" width="14.33203125" style="3" customWidth="1"/>
    <col min="119" max="119" width="16.77734375" style="3" customWidth="1"/>
    <col min="120" max="120" width="15.77734375" style="3" customWidth="1"/>
    <col min="121" max="121" width="15.44140625" style="3" customWidth="1"/>
    <col min="122" max="122" width="21" style="3" customWidth="1"/>
    <col min="123" max="123" width="19.88671875" style="3" customWidth="1"/>
    <col min="124" max="124" width="19.5546875" style="3" customWidth="1"/>
    <col min="125" max="125" width="16.77734375" style="3" customWidth="1"/>
    <col min="126" max="126" width="15.77734375" style="3" customWidth="1"/>
    <col min="127" max="127" width="15.44140625" style="3" customWidth="1"/>
    <col min="128" max="128" width="14.88671875" style="3" customWidth="1"/>
    <col min="129" max="129" width="13.88671875" style="3" customWidth="1"/>
    <col min="130" max="130" width="14.88671875" style="3" customWidth="1"/>
    <col min="131" max="131" width="11.5546875" style="12" customWidth="1"/>
    <col min="132" max="132" width="14.77734375" style="3" customWidth="1"/>
    <col min="133" max="134" width="14.88671875" style="3" customWidth="1"/>
    <col min="135" max="136" width="13.6640625" style="3" customWidth="1"/>
    <col min="137" max="137" width="14.5546875" style="3" customWidth="1"/>
    <col min="138" max="139" width="14.77734375" style="3" customWidth="1"/>
    <col min="140" max="141" width="13.5546875" style="3" customWidth="1"/>
    <col min="142" max="142" width="11.5546875" style="13" customWidth="1"/>
    <col min="143" max="143" width="13.6640625" style="3" customWidth="1"/>
    <col min="144" max="144" width="15.77734375" style="3" customWidth="1"/>
    <col min="145" max="145" width="13.5546875" style="3" customWidth="1"/>
    <col min="146" max="146" width="15.77734375" style="3" customWidth="1"/>
    <col min="147" max="147" width="11.5546875" style="14" customWidth="1"/>
    <col min="148" max="148" width="15.44140625" style="3" customWidth="1"/>
    <col min="149" max="151" width="15.21875" style="3" customWidth="1"/>
    <col min="152" max="153" width="15.109375" style="3" customWidth="1"/>
    <col min="154" max="154" width="11.5546875" style="8" customWidth="1"/>
    <col min="155" max="155" width="15.44140625" style="3" customWidth="1"/>
    <col min="156" max="156" width="15.77734375" style="3" customWidth="1"/>
    <col min="157" max="158" width="16.109375" style="3" customWidth="1"/>
    <col min="159" max="159" width="16.33203125" style="3" customWidth="1"/>
    <col min="160" max="161" width="17.33203125" style="3" customWidth="1"/>
    <col min="162" max="162" width="15.21875" style="3" customWidth="1"/>
    <col min="163" max="163" width="15.5546875" style="3" customWidth="1"/>
    <col min="164" max="164" width="16" style="3" customWidth="1"/>
    <col min="165" max="165" width="15.21875" style="3" customWidth="1"/>
    <col min="166" max="166" width="16" style="3" customWidth="1"/>
    <col min="167" max="167" width="16.109375" style="3" customWidth="1"/>
    <col min="168" max="169" width="17.109375" style="3" customWidth="1"/>
    <col min="170" max="170" width="16" style="3" customWidth="1"/>
    <col min="171" max="171" width="11.5546875" style="9" customWidth="1"/>
    <col min="172" max="172" width="15.77734375" style="3" customWidth="1"/>
    <col min="173" max="173" width="15.5546875" style="3" customWidth="1"/>
    <col min="174" max="174" width="15.21875" style="3" customWidth="1"/>
    <col min="175" max="175" width="15.44140625" style="3" customWidth="1"/>
    <col min="176" max="176" width="15.5546875" style="3" customWidth="1"/>
    <col min="177" max="177" width="15.44140625" style="3" customWidth="1"/>
    <col min="178" max="178" width="15.109375" style="3" customWidth="1"/>
    <col min="179" max="179" width="15.21875" style="3" customWidth="1"/>
    <col min="180" max="180" width="11.5546875" style="15" customWidth="1"/>
    <col min="181" max="181" width="11.44140625" style="3" customWidth="1"/>
    <col min="182" max="182" width="11.109375" style="3" customWidth="1"/>
    <col min="183" max="183" width="11.44140625" style="3" customWidth="1"/>
    <col min="184" max="184" width="15.5546875" style="3" customWidth="1"/>
    <col min="185" max="185" width="11.44140625" style="3" customWidth="1"/>
  </cols>
  <sheetData>
    <row r="1" spans="1:18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9"/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1"/>
      <c r="AJ1" s="20" t="s">
        <v>33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  <c r="AQ1" s="20" t="s">
        <v>40</v>
      </c>
      <c r="AR1" s="20" t="s">
        <v>41</v>
      </c>
      <c r="AS1" s="20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  <c r="BA1" s="20" t="s">
        <v>50</v>
      </c>
      <c r="BB1" s="20" t="s">
        <v>51</v>
      </c>
      <c r="BC1" s="22"/>
      <c r="BD1" s="20" t="s">
        <v>52</v>
      </c>
      <c r="BE1" s="20" t="s">
        <v>53</v>
      </c>
      <c r="BF1" s="20" t="s">
        <v>54</v>
      </c>
      <c r="BG1" s="20" t="s">
        <v>55</v>
      </c>
      <c r="BH1" s="20" t="s">
        <v>56</v>
      </c>
      <c r="BI1" s="20" t="s">
        <v>57</v>
      </c>
      <c r="BJ1" s="20" t="s">
        <v>58</v>
      </c>
      <c r="BK1" s="20" t="s">
        <v>59</v>
      </c>
      <c r="BL1" s="20" t="s">
        <v>60</v>
      </c>
      <c r="BM1" s="20" t="s">
        <v>61</v>
      </c>
      <c r="BN1" s="23"/>
      <c r="BO1" s="20" t="s">
        <v>62</v>
      </c>
      <c r="BP1" s="20" t="s">
        <v>63</v>
      </c>
      <c r="BQ1" s="20" t="s">
        <v>64</v>
      </c>
      <c r="BR1" s="24" t="s">
        <v>65</v>
      </c>
      <c r="BS1" s="20" t="s">
        <v>66</v>
      </c>
      <c r="BT1" s="20" t="s">
        <v>67</v>
      </c>
      <c r="BU1" s="20" t="s">
        <v>68</v>
      </c>
      <c r="BV1" s="20" t="s">
        <v>69</v>
      </c>
      <c r="BW1" s="20" t="s">
        <v>70</v>
      </c>
      <c r="BX1" s="20" t="s">
        <v>71</v>
      </c>
      <c r="BY1" s="20" t="s">
        <v>72</v>
      </c>
      <c r="BZ1" s="20" t="s">
        <v>73</v>
      </c>
      <c r="CA1" s="24" t="s">
        <v>74</v>
      </c>
      <c r="CB1" s="20" t="s">
        <v>75</v>
      </c>
      <c r="CC1" s="20" t="s">
        <v>76</v>
      </c>
      <c r="CD1" s="20" t="s">
        <v>77</v>
      </c>
      <c r="CE1" s="20" t="s">
        <v>78</v>
      </c>
      <c r="CF1" s="20" t="s">
        <v>79</v>
      </c>
      <c r="CG1" s="25"/>
      <c r="CH1" s="20" t="s">
        <v>80</v>
      </c>
      <c r="CI1" s="20" t="s">
        <v>81</v>
      </c>
      <c r="CJ1" s="20" t="s">
        <v>82</v>
      </c>
      <c r="CK1" s="20" t="s">
        <v>83</v>
      </c>
      <c r="CL1" s="20" t="s">
        <v>84</v>
      </c>
      <c r="CM1" s="20" t="s">
        <v>85</v>
      </c>
      <c r="CN1" s="20" t="s">
        <v>86</v>
      </c>
      <c r="CO1" s="20" t="s">
        <v>87</v>
      </c>
      <c r="CP1" s="20" t="s">
        <v>88</v>
      </c>
      <c r="CQ1" s="20" t="s">
        <v>89</v>
      </c>
      <c r="CR1" s="20" t="s">
        <v>90</v>
      </c>
      <c r="CS1" s="20" t="s">
        <v>91</v>
      </c>
      <c r="CT1" s="20" t="s">
        <v>92</v>
      </c>
      <c r="CU1" s="20" t="s">
        <v>93</v>
      </c>
      <c r="CV1" s="20" t="s">
        <v>94</v>
      </c>
      <c r="CW1" s="20" t="s">
        <v>95</v>
      </c>
      <c r="CX1" s="20" t="s">
        <v>96</v>
      </c>
      <c r="CY1" s="20" t="s">
        <v>97</v>
      </c>
      <c r="CZ1" s="20" t="s">
        <v>98</v>
      </c>
      <c r="DA1" s="20" t="s">
        <v>99</v>
      </c>
      <c r="DB1" s="20" t="s">
        <v>100</v>
      </c>
      <c r="DC1" s="20" t="s">
        <v>101</v>
      </c>
      <c r="DD1" s="20" t="s">
        <v>102</v>
      </c>
      <c r="DE1" s="20" t="s">
        <v>103</v>
      </c>
      <c r="DF1" s="20" t="s">
        <v>104</v>
      </c>
      <c r="DG1" s="20" t="s">
        <v>105</v>
      </c>
      <c r="DH1" s="24"/>
      <c r="DI1" s="20" t="s">
        <v>106</v>
      </c>
      <c r="DJ1" s="20" t="s">
        <v>107</v>
      </c>
      <c r="DK1" s="20" t="s">
        <v>108</v>
      </c>
      <c r="DL1" s="20" t="s">
        <v>109</v>
      </c>
      <c r="DM1" s="20" t="s">
        <v>110</v>
      </c>
      <c r="DN1" s="20" t="s">
        <v>111</v>
      </c>
      <c r="DO1" s="20" t="s">
        <v>112</v>
      </c>
      <c r="DP1" s="20" t="s">
        <v>113</v>
      </c>
      <c r="DQ1" s="20" t="s">
        <v>114</v>
      </c>
      <c r="DR1" s="24" t="s">
        <v>115</v>
      </c>
      <c r="DS1" s="24" t="s">
        <v>116</v>
      </c>
      <c r="DT1" s="24" t="s">
        <v>117</v>
      </c>
      <c r="DU1" s="20" t="s">
        <v>118</v>
      </c>
      <c r="DV1" s="20" t="s">
        <v>119</v>
      </c>
      <c r="DW1" s="20" t="s">
        <v>120</v>
      </c>
      <c r="DX1" s="20" t="s">
        <v>121</v>
      </c>
      <c r="DY1" s="20" t="s">
        <v>122</v>
      </c>
      <c r="DZ1" s="20" t="s">
        <v>123</v>
      </c>
      <c r="EA1" s="26"/>
      <c r="EB1" s="20" t="s">
        <v>124</v>
      </c>
      <c r="EC1" s="20" t="s">
        <v>125</v>
      </c>
      <c r="ED1" s="20" t="s">
        <v>126</v>
      </c>
      <c r="EE1" s="20" t="s">
        <v>127</v>
      </c>
      <c r="EF1" s="20" t="s">
        <v>128</v>
      </c>
      <c r="EG1" s="20" t="s">
        <v>129</v>
      </c>
      <c r="EH1" s="20" t="s">
        <v>130</v>
      </c>
      <c r="EI1" s="20" t="s">
        <v>131</v>
      </c>
      <c r="EJ1" s="20" t="s">
        <v>132</v>
      </c>
      <c r="EK1" s="20" t="s">
        <v>133</v>
      </c>
      <c r="EL1" s="27"/>
      <c r="EM1" s="20" t="s">
        <v>134</v>
      </c>
      <c r="EN1" s="20" t="s">
        <v>135</v>
      </c>
      <c r="EO1" s="20" t="s">
        <v>136</v>
      </c>
      <c r="EP1" s="20" t="s">
        <v>137</v>
      </c>
      <c r="EQ1" s="28"/>
      <c r="ER1" s="20" t="s">
        <v>138</v>
      </c>
      <c r="ES1" s="20" t="s">
        <v>139</v>
      </c>
      <c r="ET1" s="20" t="s">
        <v>140</v>
      </c>
      <c r="EU1" s="20" t="s">
        <v>141</v>
      </c>
      <c r="EV1" s="20" t="s">
        <v>142</v>
      </c>
      <c r="EW1" s="20" t="s">
        <v>143</v>
      </c>
      <c r="EX1" s="21"/>
      <c r="EY1" s="20" t="s">
        <v>144</v>
      </c>
      <c r="EZ1" s="20" t="s">
        <v>145</v>
      </c>
      <c r="FA1" s="20" t="s">
        <v>146</v>
      </c>
      <c r="FB1" s="20" t="s">
        <v>147</v>
      </c>
      <c r="FC1" s="20" t="s">
        <v>148</v>
      </c>
      <c r="FD1" s="20" t="s">
        <v>149</v>
      </c>
      <c r="FE1" s="20" t="s">
        <v>150</v>
      </c>
      <c r="FF1" s="20" t="s">
        <v>151</v>
      </c>
      <c r="FG1" s="20" t="s">
        <v>152</v>
      </c>
      <c r="FH1" s="20" t="s">
        <v>153</v>
      </c>
      <c r="FI1" s="20" t="s">
        <v>154</v>
      </c>
      <c r="FJ1" s="20" t="s">
        <v>155</v>
      </c>
      <c r="FK1" s="20" t="s">
        <v>156</v>
      </c>
      <c r="FL1" s="20" t="s">
        <v>157</v>
      </c>
      <c r="FM1" s="20" t="s">
        <v>158</v>
      </c>
      <c r="FN1" s="20" t="s">
        <v>159</v>
      </c>
      <c r="FO1" s="22"/>
      <c r="FP1" s="20" t="s">
        <v>160</v>
      </c>
      <c r="FQ1" s="20" t="s">
        <v>161</v>
      </c>
      <c r="FR1" s="20" t="s">
        <v>162</v>
      </c>
      <c r="FS1" s="20" t="s">
        <v>163</v>
      </c>
      <c r="FT1" s="20" t="s">
        <v>164</v>
      </c>
      <c r="FU1" s="20" t="s">
        <v>165</v>
      </c>
      <c r="FV1" s="20" t="s">
        <v>166</v>
      </c>
      <c r="FW1" s="20" t="s">
        <v>167</v>
      </c>
      <c r="FX1" s="29"/>
      <c r="FY1" s="20" t="s">
        <v>277</v>
      </c>
      <c r="FZ1" s="20" t="s">
        <v>278</v>
      </c>
      <c r="GA1" s="20" t="s">
        <v>279</v>
      </c>
      <c r="GB1" s="24" t="s">
        <v>280</v>
      </c>
      <c r="GC1" s="20" t="s">
        <v>281</v>
      </c>
    </row>
    <row r="2" spans="1:185" x14ac:dyDescent="0.25">
      <c r="A2">
        <v>1</v>
      </c>
      <c r="B2" t="s">
        <v>168</v>
      </c>
      <c r="C2">
        <v>2009</v>
      </c>
      <c r="D2" t="s">
        <v>169</v>
      </c>
      <c r="E2" t="s">
        <v>169</v>
      </c>
      <c r="F2" t="s">
        <v>169</v>
      </c>
      <c r="G2" s="2">
        <v>0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  <c r="N2" s="3">
        <v>700</v>
      </c>
      <c r="O2" s="3">
        <v>28.32</v>
      </c>
      <c r="P2" s="3">
        <v>41.23</v>
      </c>
      <c r="Q2" s="3">
        <v>1.46</v>
      </c>
      <c r="R2" s="3">
        <v>1625.85</v>
      </c>
      <c r="S2" s="3">
        <v>44.09</v>
      </c>
      <c r="T2" s="3">
        <v>132.44999999999999</v>
      </c>
      <c r="U2" s="3">
        <v>3</v>
      </c>
      <c r="V2" s="3">
        <v>1625.85</v>
      </c>
      <c r="W2" s="3">
        <v>37.090000000000003</v>
      </c>
      <c r="X2" s="3">
        <v>87.11</v>
      </c>
      <c r="Y2" s="3">
        <v>2.35</v>
      </c>
      <c r="DI2" s="3">
        <v>619.75</v>
      </c>
      <c r="DJ2" s="3">
        <v>421.62</v>
      </c>
      <c r="DL2" s="3">
        <v>526.01</v>
      </c>
      <c r="DM2" s="3">
        <v>357.63</v>
      </c>
      <c r="FY2" s="3">
        <f t="shared" ref="FY2:FY7" si="0">AVERAGE(DI2:DK2)</f>
        <v>520.68499999999995</v>
      </c>
      <c r="FZ2" s="3">
        <f t="shared" ref="FZ2:FZ7" si="1">AVERAGE(DL2:DN2)</f>
        <v>441.82</v>
      </c>
    </row>
    <row r="3" spans="1:185" x14ac:dyDescent="0.25">
      <c r="A3">
        <v>1</v>
      </c>
      <c r="B3" t="s">
        <v>168</v>
      </c>
      <c r="C3">
        <v>2009</v>
      </c>
      <c r="D3" t="s">
        <v>282</v>
      </c>
      <c r="E3" t="s">
        <v>175</v>
      </c>
      <c r="F3" t="s">
        <v>176</v>
      </c>
      <c r="G3" s="2">
        <v>150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N3" s="3">
        <v>843.33</v>
      </c>
      <c r="O3" s="3">
        <v>35.299999999999997</v>
      </c>
      <c r="P3" s="3">
        <v>41.11</v>
      </c>
      <c r="Q3" s="3">
        <v>1.1599999999999999</v>
      </c>
      <c r="R3" s="3">
        <v>1912.33</v>
      </c>
      <c r="S3" s="3">
        <v>50.9</v>
      </c>
      <c r="T3" s="3">
        <v>133.88999999999999</v>
      </c>
      <c r="U3" s="3">
        <v>2.63</v>
      </c>
      <c r="V3" s="3">
        <v>1912.33</v>
      </c>
      <c r="W3" s="3">
        <v>44.15</v>
      </c>
      <c r="X3" s="3">
        <v>88.62</v>
      </c>
      <c r="Y3" s="3">
        <v>2.0099999999999998</v>
      </c>
      <c r="DI3" s="3">
        <v>753.63</v>
      </c>
      <c r="DJ3" s="3">
        <v>588.96</v>
      </c>
      <c r="DL3" s="3">
        <v>672.43</v>
      </c>
      <c r="DM3" s="3">
        <v>510.31</v>
      </c>
      <c r="FY3" s="3">
        <f t="shared" si="0"/>
        <v>671.29500000000007</v>
      </c>
      <c r="FZ3" s="3">
        <f t="shared" si="1"/>
        <v>591.37</v>
      </c>
    </row>
    <row r="4" spans="1:185" x14ac:dyDescent="0.25">
      <c r="A4">
        <v>1</v>
      </c>
      <c r="B4" t="s">
        <v>168</v>
      </c>
      <c r="C4">
        <v>2009</v>
      </c>
      <c r="D4" t="s">
        <v>282</v>
      </c>
      <c r="E4" t="s">
        <v>175</v>
      </c>
      <c r="F4" t="s">
        <v>176</v>
      </c>
      <c r="G4" s="2">
        <v>200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N4" s="3">
        <v>868.32</v>
      </c>
      <c r="O4" s="3">
        <v>36.479999999999997</v>
      </c>
      <c r="P4" s="3">
        <v>41.29</v>
      </c>
      <c r="Q4" s="3">
        <v>1.1299999999999999</v>
      </c>
      <c r="R4" s="3">
        <v>1924.18</v>
      </c>
      <c r="S4" s="3">
        <v>50.28</v>
      </c>
      <c r="T4" s="3">
        <v>133.12</v>
      </c>
      <c r="U4" s="3">
        <v>2.65</v>
      </c>
      <c r="V4" s="3">
        <v>1924.18</v>
      </c>
      <c r="W4" s="3">
        <v>44.44</v>
      </c>
      <c r="X4" s="3">
        <v>88.34</v>
      </c>
      <c r="Y4" s="3">
        <v>1.99</v>
      </c>
      <c r="DI4" s="3">
        <v>735.49</v>
      </c>
      <c r="DJ4" s="3">
        <v>472.01</v>
      </c>
      <c r="DL4" s="3">
        <v>650.24</v>
      </c>
      <c r="DM4" s="3">
        <v>412.65</v>
      </c>
      <c r="FY4" s="3">
        <f t="shared" si="0"/>
        <v>603.75</v>
      </c>
      <c r="FZ4" s="3">
        <f t="shared" si="1"/>
        <v>531.44499999999994</v>
      </c>
    </row>
    <row r="5" spans="1:185" x14ac:dyDescent="0.25">
      <c r="A5">
        <v>2</v>
      </c>
      <c r="B5" t="s">
        <v>168</v>
      </c>
      <c r="C5">
        <v>2009</v>
      </c>
      <c r="D5" t="s">
        <v>169</v>
      </c>
      <c r="E5" t="s">
        <v>169</v>
      </c>
      <c r="F5" t="s">
        <v>169</v>
      </c>
      <c r="G5" s="2">
        <v>0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N5" s="3">
        <v>700</v>
      </c>
      <c r="O5" s="3">
        <v>28.32</v>
      </c>
      <c r="P5" s="3">
        <v>41.23</v>
      </c>
      <c r="Q5" s="3">
        <v>1.46</v>
      </c>
      <c r="R5" s="3">
        <v>1625.85</v>
      </c>
      <c r="S5" s="3">
        <v>44.09</v>
      </c>
      <c r="T5" s="3">
        <v>132.44999999999999</v>
      </c>
      <c r="U5" s="3">
        <v>3</v>
      </c>
      <c r="V5" s="3">
        <v>1625.85</v>
      </c>
      <c r="W5" s="3">
        <v>37.090000000000003</v>
      </c>
      <c r="X5" s="3">
        <v>87.11</v>
      </c>
      <c r="Y5" s="3">
        <v>2.35</v>
      </c>
      <c r="DI5" s="3">
        <v>619.75</v>
      </c>
      <c r="DJ5" s="3">
        <v>421.62</v>
      </c>
      <c r="DL5" s="3">
        <v>526.01</v>
      </c>
      <c r="DM5" s="3">
        <v>357.63</v>
      </c>
      <c r="FY5" s="3">
        <f t="shared" si="0"/>
        <v>520.68499999999995</v>
      </c>
      <c r="FZ5" s="3">
        <f t="shared" si="1"/>
        <v>441.82</v>
      </c>
    </row>
    <row r="6" spans="1:185" x14ac:dyDescent="0.25">
      <c r="A6">
        <v>2</v>
      </c>
      <c r="B6" t="s">
        <v>168</v>
      </c>
      <c r="C6">
        <v>2009</v>
      </c>
      <c r="D6" t="s">
        <v>282</v>
      </c>
      <c r="E6" t="s">
        <v>175</v>
      </c>
      <c r="F6" t="s">
        <v>177</v>
      </c>
      <c r="G6" s="2">
        <v>20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N6" s="3">
        <v>892.52</v>
      </c>
      <c r="O6" s="3">
        <v>37.71</v>
      </c>
      <c r="P6" s="3">
        <v>41.42</v>
      </c>
      <c r="Q6" s="3">
        <v>1.1000000000000001</v>
      </c>
      <c r="R6" s="3">
        <v>1924.83</v>
      </c>
      <c r="S6" s="3">
        <v>49.16</v>
      </c>
      <c r="T6" s="3">
        <v>133.29</v>
      </c>
      <c r="U6" s="3">
        <v>2.71</v>
      </c>
      <c r="V6" s="3">
        <v>1924.83</v>
      </c>
      <c r="W6" s="3">
        <v>44.49</v>
      </c>
      <c r="X6" s="3">
        <v>88.46</v>
      </c>
      <c r="Y6" s="3">
        <v>1.99</v>
      </c>
      <c r="DI6" s="3">
        <v>842.74</v>
      </c>
      <c r="DJ6" s="3">
        <v>548.49</v>
      </c>
      <c r="DL6" s="3">
        <v>737.61</v>
      </c>
      <c r="DM6" s="3">
        <v>483.38</v>
      </c>
      <c r="FY6" s="3">
        <f t="shared" si="0"/>
        <v>695.61500000000001</v>
      </c>
      <c r="FZ6" s="3">
        <f t="shared" si="1"/>
        <v>610.495</v>
      </c>
    </row>
    <row r="7" spans="1:185" x14ac:dyDescent="0.25">
      <c r="A7">
        <v>2</v>
      </c>
      <c r="B7" t="s">
        <v>168</v>
      </c>
      <c r="C7">
        <v>2009</v>
      </c>
      <c r="D7" t="s">
        <v>282</v>
      </c>
      <c r="E7" t="s">
        <v>175</v>
      </c>
      <c r="F7" t="s">
        <v>177</v>
      </c>
      <c r="G7" s="2">
        <v>30</v>
      </c>
      <c r="H7" t="s">
        <v>170</v>
      </c>
      <c r="I7" t="s">
        <v>171</v>
      </c>
      <c r="J7" t="s">
        <v>172</v>
      </c>
      <c r="K7" t="s">
        <v>173</v>
      </c>
      <c r="L7" t="s">
        <v>174</v>
      </c>
      <c r="N7" s="3">
        <v>869.47</v>
      </c>
      <c r="O7" s="3">
        <v>36.57</v>
      </c>
      <c r="P7" s="3">
        <v>41.39</v>
      </c>
      <c r="Q7" s="3">
        <v>1.1299999999999999</v>
      </c>
      <c r="R7" s="3">
        <v>1923.63</v>
      </c>
      <c r="S7" s="3">
        <v>50.2</v>
      </c>
      <c r="T7" s="3">
        <v>133.56</v>
      </c>
      <c r="U7" s="3">
        <v>2.66</v>
      </c>
      <c r="V7" s="3">
        <v>1923.63</v>
      </c>
      <c r="W7" s="3">
        <v>44.44</v>
      </c>
      <c r="X7" s="3">
        <v>88.59</v>
      </c>
      <c r="Y7" s="3">
        <v>1.99</v>
      </c>
      <c r="DI7" s="3">
        <v>787.18</v>
      </c>
      <c r="DJ7" s="3">
        <v>576.48</v>
      </c>
      <c r="DL7" s="3">
        <v>716.97</v>
      </c>
      <c r="DM7" s="3">
        <v>515.46</v>
      </c>
      <c r="FY7" s="3">
        <f t="shared" si="0"/>
        <v>681.82999999999993</v>
      </c>
      <c r="FZ7" s="3">
        <f t="shared" si="1"/>
        <v>616.21500000000003</v>
      </c>
    </row>
    <row r="8" spans="1:185" x14ac:dyDescent="0.25">
      <c r="A8">
        <v>3</v>
      </c>
      <c r="B8" t="s">
        <v>178</v>
      </c>
      <c r="C8">
        <v>2009</v>
      </c>
      <c r="D8" t="s">
        <v>169</v>
      </c>
      <c r="E8" t="s">
        <v>169</v>
      </c>
      <c r="F8" t="s">
        <v>169</v>
      </c>
      <c r="G8" s="2">
        <v>0</v>
      </c>
      <c r="H8" t="s">
        <v>179</v>
      </c>
      <c r="I8" t="s">
        <v>171</v>
      </c>
      <c r="J8" t="s">
        <v>172</v>
      </c>
      <c r="K8" t="s">
        <v>173</v>
      </c>
      <c r="L8" t="s">
        <v>174</v>
      </c>
      <c r="N8" s="3">
        <v>599</v>
      </c>
      <c r="O8" s="3">
        <v>26.428571428571399</v>
      </c>
      <c r="P8" s="3">
        <v>43.428571428571402</v>
      </c>
      <c r="Q8" s="3">
        <v>1.65</v>
      </c>
      <c r="R8" s="3">
        <v>1945</v>
      </c>
      <c r="S8" s="3">
        <v>64.095238095238102</v>
      </c>
      <c r="T8" s="3">
        <v>129.95238095238099</v>
      </c>
      <c r="U8" s="3">
        <v>2.0299999999999998</v>
      </c>
      <c r="V8" s="3">
        <v>1945</v>
      </c>
      <c r="W8" s="3">
        <v>45.238095238095198</v>
      </c>
      <c r="X8" s="3">
        <v>86.690476190476204</v>
      </c>
      <c r="Y8" s="3">
        <v>1.92</v>
      </c>
      <c r="AJ8" s="3">
        <v>77.260000000000005</v>
      </c>
      <c r="AL8" s="3">
        <v>71.08</v>
      </c>
      <c r="AV8" s="3">
        <v>76.86</v>
      </c>
      <c r="AX8" s="3">
        <v>68.459999999999994</v>
      </c>
      <c r="CT8" s="3">
        <v>8.16</v>
      </c>
      <c r="CU8" s="3">
        <v>5.26</v>
      </c>
      <c r="CZ8" s="3">
        <v>4.34</v>
      </c>
      <c r="DD8" s="3">
        <v>8.31</v>
      </c>
      <c r="DE8" s="3">
        <v>5.0199999999999996</v>
      </c>
      <c r="DG8" s="3">
        <v>8.19</v>
      </c>
    </row>
    <row r="9" spans="1:185" x14ac:dyDescent="0.25">
      <c r="A9">
        <v>3</v>
      </c>
      <c r="B9" t="s">
        <v>178</v>
      </c>
      <c r="C9">
        <v>2009</v>
      </c>
      <c r="D9" t="s">
        <v>283</v>
      </c>
      <c r="E9" t="s">
        <v>284</v>
      </c>
      <c r="F9" t="s">
        <v>284</v>
      </c>
      <c r="G9" s="2">
        <v>10</v>
      </c>
      <c r="H9" t="s">
        <v>179</v>
      </c>
      <c r="I9" t="s">
        <v>171</v>
      </c>
      <c r="J9" t="s">
        <v>172</v>
      </c>
      <c r="K9" t="s">
        <v>173</v>
      </c>
      <c r="L9" t="s">
        <v>174</v>
      </c>
      <c r="N9" s="3">
        <f>44+O9*21</f>
        <v>616</v>
      </c>
      <c r="O9" s="3">
        <f>572/21</f>
        <v>27.238095238095237</v>
      </c>
      <c r="P9" s="3">
        <f>914/21</f>
        <v>43.523809523809526</v>
      </c>
      <c r="Q9" s="3">
        <v>1.6</v>
      </c>
      <c r="R9" s="3">
        <f>1371+N9</f>
        <v>1987</v>
      </c>
      <c r="S9" s="3">
        <f>1371/21</f>
        <v>65.285714285714292</v>
      </c>
      <c r="T9" s="3">
        <f>2704/21</f>
        <v>128.76190476190476</v>
      </c>
      <c r="U9" s="3">
        <v>1.97</v>
      </c>
      <c r="V9" s="3">
        <f>R9</f>
        <v>1987</v>
      </c>
      <c r="W9" s="3">
        <f>1943/42</f>
        <v>46.261904761904759</v>
      </c>
      <c r="X9" s="3">
        <f>3618/42</f>
        <v>86.142857142857139</v>
      </c>
      <c r="Y9" s="3">
        <v>1.86</v>
      </c>
      <c r="AJ9" s="3">
        <v>78.67</v>
      </c>
      <c r="AL9" s="3">
        <v>70.11</v>
      </c>
      <c r="AV9" s="3">
        <v>77.27</v>
      </c>
      <c r="AX9" s="3">
        <v>69.16</v>
      </c>
      <c r="CT9" s="3">
        <v>7.44</v>
      </c>
      <c r="CU9" s="3">
        <v>4.43</v>
      </c>
      <c r="CZ9" s="3">
        <v>3.64</v>
      </c>
      <c r="DD9" s="3">
        <v>7.44</v>
      </c>
      <c r="DE9" s="3">
        <v>4.43</v>
      </c>
      <c r="DG9" s="3">
        <v>7.25</v>
      </c>
    </row>
    <row r="10" spans="1:185" x14ac:dyDescent="0.25">
      <c r="A10">
        <v>3</v>
      </c>
      <c r="B10" t="s">
        <v>178</v>
      </c>
      <c r="C10">
        <v>2009</v>
      </c>
      <c r="D10" t="s">
        <v>182</v>
      </c>
      <c r="E10" t="s">
        <v>175</v>
      </c>
      <c r="F10" t="s">
        <v>176</v>
      </c>
      <c r="G10" s="2">
        <v>200</v>
      </c>
      <c r="H10" t="s">
        <v>179</v>
      </c>
      <c r="I10" t="s">
        <v>171</v>
      </c>
      <c r="J10" t="s">
        <v>172</v>
      </c>
      <c r="K10" t="s">
        <v>173</v>
      </c>
      <c r="L10" t="s">
        <v>174</v>
      </c>
      <c r="N10" s="3">
        <v>603</v>
      </c>
      <c r="O10" s="3">
        <v>26.619047619047599</v>
      </c>
      <c r="P10" s="3">
        <v>43.6666666666667</v>
      </c>
      <c r="Q10" s="3">
        <v>1.64</v>
      </c>
      <c r="R10" s="3">
        <v>1973</v>
      </c>
      <c r="S10" s="3">
        <v>65.238095238095198</v>
      </c>
      <c r="T10" s="3">
        <v>130.857142857143</v>
      </c>
      <c r="U10" s="3">
        <v>2.0099999999999998</v>
      </c>
      <c r="V10" s="3">
        <v>1973</v>
      </c>
      <c r="W10" s="3">
        <v>45.928571428571402</v>
      </c>
      <c r="X10" s="3">
        <v>87.285714285714306</v>
      </c>
      <c r="Y10" s="3">
        <v>1.9</v>
      </c>
      <c r="AJ10" s="3">
        <v>78.34</v>
      </c>
      <c r="AL10" s="3">
        <v>67.12</v>
      </c>
      <c r="AV10" s="3">
        <v>77.900000000000006</v>
      </c>
      <c r="AX10" s="3">
        <v>68.739999999999995</v>
      </c>
      <c r="CT10" s="3">
        <v>8.16</v>
      </c>
      <c r="CU10" s="3">
        <v>5.26</v>
      </c>
      <c r="CZ10" s="3">
        <v>4.3</v>
      </c>
      <c r="DD10" s="3">
        <v>8.23</v>
      </c>
      <c r="DE10" s="3">
        <v>4.78</v>
      </c>
      <c r="DG10" s="3">
        <v>8.18</v>
      </c>
    </row>
    <row r="11" spans="1:185" x14ac:dyDescent="0.25">
      <c r="A11">
        <v>3</v>
      </c>
      <c r="B11" t="s">
        <v>178</v>
      </c>
      <c r="C11">
        <v>2009</v>
      </c>
      <c r="D11" t="s">
        <v>182</v>
      </c>
      <c r="E11" t="s">
        <v>175</v>
      </c>
      <c r="F11" t="s">
        <v>176</v>
      </c>
      <c r="G11" s="2">
        <v>400</v>
      </c>
      <c r="H11" t="s">
        <v>179</v>
      </c>
      <c r="I11" t="s">
        <v>171</v>
      </c>
      <c r="J11" t="s">
        <v>172</v>
      </c>
      <c r="K11" t="s">
        <v>173</v>
      </c>
      <c r="L11" t="s">
        <v>174</v>
      </c>
      <c r="N11" s="3">
        <v>614</v>
      </c>
      <c r="O11" s="3">
        <v>27.1428571428571</v>
      </c>
      <c r="P11" s="3">
        <v>44.857142857142897</v>
      </c>
      <c r="Q11" s="3">
        <v>1.65</v>
      </c>
      <c r="R11" s="3">
        <v>1954</v>
      </c>
      <c r="S11" s="3">
        <v>63.809523809523803</v>
      </c>
      <c r="T11" s="3">
        <v>130.80952380952399</v>
      </c>
      <c r="U11" s="3">
        <v>2.0499999999999998</v>
      </c>
      <c r="V11" s="3">
        <v>1954</v>
      </c>
      <c r="W11" s="3">
        <v>45.476190476190503</v>
      </c>
      <c r="X11" s="3">
        <v>87.8333333333333</v>
      </c>
      <c r="Y11" s="3">
        <v>1.93</v>
      </c>
      <c r="AJ11" s="3">
        <v>77.31</v>
      </c>
      <c r="AL11" s="3">
        <v>71.17</v>
      </c>
      <c r="AV11" s="3">
        <v>76.73</v>
      </c>
      <c r="AX11" s="3">
        <v>68.349999999999994</v>
      </c>
      <c r="CT11" s="3">
        <v>8.15</v>
      </c>
      <c r="CU11" s="3">
        <v>5.18</v>
      </c>
      <c r="CZ11" s="3">
        <v>4.21</v>
      </c>
      <c r="DD11" s="3">
        <v>8.19</v>
      </c>
      <c r="DE11" s="3">
        <v>4.71</v>
      </c>
      <c r="DG11" s="3">
        <v>8.14</v>
      </c>
    </row>
    <row r="12" spans="1:185" x14ac:dyDescent="0.25">
      <c r="A12">
        <v>3</v>
      </c>
      <c r="B12" t="s">
        <v>178</v>
      </c>
      <c r="C12">
        <v>2009</v>
      </c>
      <c r="D12" t="s">
        <v>182</v>
      </c>
      <c r="E12" t="s">
        <v>175</v>
      </c>
      <c r="F12" t="s">
        <v>176</v>
      </c>
      <c r="G12" s="2">
        <v>600</v>
      </c>
      <c r="H12" t="s">
        <v>179</v>
      </c>
      <c r="I12" t="s">
        <v>171</v>
      </c>
      <c r="J12" t="s">
        <v>172</v>
      </c>
      <c r="K12" t="s">
        <v>173</v>
      </c>
      <c r="L12" t="s">
        <v>174</v>
      </c>
      <c r="N12" s="3">
        <v>622</v>
      </c>
      <c r="O12" s="3">
        <v>27.523809523809501</v>
      </c>
      <c r="P12" s="3">
        <v>44.619047619047599</v>
      </c>
      <c r="Q12" s="3">
        <v>1.62</v>
      </c>
      <c r="R12" s="3">
        <v>1957</v>
      </c>
      <c r="S12" s="3">
        <v>63.571428571428598</v>
      </c>
      <c r="T12" s="3">
        <v>126.619047619048</v>
      </c>
      <c r="U12" s="3">
        <v>1.99</v>
      </c>
      <c r="V12" s="3">
        <v>1957</v>
      </c>
      <c r="W12" s="3">
        <v>45.547619047619101</v>
      </c>
      <c r="X12" s="3">
        <v>85.619047619047606</v>
      </c>
      <c r="Y12" s="3">
        <v>1.88</v>
      </c>
      <c r="AJ12" s="3">
        <v>77.55</v>
      </c>
      <c r="AL12" s="3">
        <v>67.73</v>
      </c>
      <c r="AV12" s="3">
        <v>76.540000000000006</v>
      </c>
      <c r="AX12" s="3">
        <v>66.540000000000006</v>
      </c>
      <c r="CT12" s="3">
        <v>8.1</v>
      </c>
      <c r="CU12" s="3">
        <v>5.12</v>
      </c>
      <c r="CZ12" s="3">
        <v>4.1900000000000004</v>
      </c>
      <c r="DD12" s="3">
        <v>8.18</v>
      </c>
      <c r="DE12" s="3">
        <v>4.7</v>
      </c>
      <c r="DG12" s="3">
        <v>8.1300000000000008</v>
      </c>
    </row>
    <row r="13" spans="1:185" x14ac:dyDescent="0.25">
      <c r="A13">
        <v>4</v>
      </c>
      <c r="B13" t="s">
        <v>183</v>
      </c>
      <c r="C13">
        <v>2013</v>
      </c>
      <c r="D13" t="s">
        <v>169</v>
      </c>
      <c r="E13" t="s">
        <v>169</v>
      </c>
      <c r="F13" t="s">
        <v>169</v>
      </c>
      <c r="G13" s="2">
        <v>0</v>
      </c>
      <c r="H13" t="s">
        <v>179</v>
      </c>
      <c r="I13" t="s">
        <v>184</v>
      </c>
      <c r="J13" t="s">
        <v>172</v>
      </c>
      <c r="K13" t="s">
        <v>185</v>
      </c>
      <c r="L13" t="s">
        <v>186</v>
      </c>
      <c r="N13" s="3">
        <v>737</v>
      </c>
      <c r="O13" s="3">
        <v>33</v>
      </c>
      <c r="P13" s="3">
        <v>53.05</v>
      </c>
      <c r="Q13" s="3">
        <v>1.61</v>
      </c>
      <c r="R13" s="3">
        <v>1814</v>
      </c>
      <c r="S13" s="3">
        <v>76.930000000000007</v>
      </c>
      <c r="T13" s="3">
        <v>143.79</v>
      </c>
      <c r="U13" s="3">
        <v>1.87</v>
      </c>
      <c r="V13" s="3">
        <v>1814</v>
      </c>
      <c r="W13" s="3">
        <v>50.54</v>
      </c>
      <c r="X13" s="3">
        <v>89.46</v>
      </c>
      <c r="Y13" s="3">
        <v>1.77</v>
      </c>
      <c r="AJ13" s="3">
        <v>74.489999999999995</v>
      </c>
      <c r="AL13" s="3">
        <v>65.95</v>
      </c>
      <c r="AM13" s="3">
        <v>75.41</v>
      </c>
      <c r="AV13" s="3">
        <v>71.87</v>
      </c>
      <c r="AX13" s="3">
        <v>64.81</v>
      </c>
      <c r="AY13" s="3">
        <v>73.55</v>
      </c>
      <c r="CH13" s="3">
        <v>6.41</v>
      </c>
      <c r="CI13" s="3">
        <v>7.23</v>
      </c>
      <c r="CL13" s="3">
        <v>8.2100000000000009</v>
      </c>
      <c r="CM13" s="3">
        <v>6.45</v>
      </c>
      <c r="CN13" s="3">
        <v>7.27</v>
      </c>
      <c r="CQ13" s="3">
        <v>8.3699999999999992</v>
      </c>
      <c r="CR13" s="3">
        <v>6.61</v>
      </c>
      <c r="CS13" s="3">
        <v>7.34</v>
      </c>
      <c r="CT13" s="3">
        <v>8.36</v>
      </c>
      <c r="DE13" s="3">
        <v>6.51</v>
      </c>
      <c r="DF13" s="3">
        <v>7.31</v>
      </c>
      <c r="DG13" s="3">
        <v>8.42</v>
      </c>
      <c r="DL13" s="3">
        <v>1630</v>
      </c>
      <c r="DM13" s="3">
        <v>1117</v>
      </c>
      <c r="DN13" s="3">
        <v>509</v>
      </c>
      <c r="DO13" s="3">
        <v>448</v>
      </c>
      <c r="DP13" s="3">
        <v>364</v>
      </c>
      <c r="DQ13" s="3">
        <v>233</v>
      </c>
      <c r="DR13" s="3">
        <f t="shared" ref="DR13:DT20" si="2">DL13/DO13</f>
        <v>3.6383928571428572</v>
      </c>
      <c r="DS13" s="3">
        <f t="shared" si="2"/>
        <v>3.0686813186813189</v>
      </c>
      <c r="DT13" s="3">
        <f t="shared" si="2"/>
        <v>2.1845493562231759</v>
      </c>
      <c r="FZ13" s="3">
        <f t="shared" ref="FZ13:FZ31" si="3">AVERAGE(DL13:DN13)</f>
        <v>1085.3333333333333</v>
      </c>
      <c r="GA13" s="3">
        <f t="shared" ref="GA13:GA31" si="4">AVERAGE(DO13:DQ13)</f>
        <v>348.33333333333331</v>
      </c>
      <c r="GB13" s="3">
        <f t="shared" ref="GB13:GB31" si="5">FZ13/GA13</f>
        <v>3.1157894736842104</v>
      </c>
    </row>
    <row r="14" spans="1:185" x14ac:dyDescent="0.25">
      <c r="A14">
        <v>4</v>
      </c>
      <c r="B14" t="s">
        <v>183</v>
      </c>
      <c r="C14">
        <v>2013</v>
      </c>
      <c r="D14" t="s">
        <v>283</v>
      </c>
      <c r="E14" t="s">
        <v>284</v>
      </c>
      <c r="F14" t="s">
        <v>284</v>
      </c>
      <c r="G14" s="2">
        <v>15</v>
      </c>
      <c r="H14" t="s">
        <v>179</v>
      </c>
      <c r="I14" t="s">
        <v>184</v>
      </c>
      <c r="J14" t="s">
        <v>172</v>
      </c>
      <c r="K14" t="s">
        <v>185</v>
      </c>
      <c r="L14" t="s">
        <v>186</v>
      </c>
      <c r="N14" s="3">
        <f>O14*21+44</f>
        <v>775.99999999999989</v>
      </c>
      <c r="O14" s="3">
        <f>732/21</f>
        <v>34.857142857142854</v>
      </c>
      <c r="P14" s="3">
        <f>1143/21</f>
        <v>54.428571428571431</v>
      </c>
      <c r="Q14" s="3">
        <v>1.56</v>
      </c>
      <c r="R14" s="3">
        <f>N14+1153</f>
        <v>1929</v>
      </c>
      <c r="S14" s="3">
        <f>1153/14</f>
        <v>82.357142857142861</v>
      </c>
      <c r="T14" s="3">
        <f>2075/14</f>
        <v>148.21428571428572</v>
      </c>
      <c r="U14" s="3">
        <v>1.8</v>
      </c>
      <c r="V14" s="3">
        <f>R14</f>
        <v>1929</v>
      </c>
      <c r="W14" s="3">
        <f>1885/35</f>
        <v>53.857142857142854</v>
      </c>
      <c r="X14" s="3">
        <f>3218/35</f>
        <v>91.942857142857136</v>
      </c>
      <c r="Y14" s="3">
        <v>1.71</v>
      </c>
      <c r="AJ14" s="3">
        <v>78.81</v>
      </c>
      <c r="AL14" s="3">
        <v>71.2</v>
      </c>
      <c r="AM14" s="3">
        <v>78.489999999999995</v>
      </c>
      <c r="AV14" s="3">
        <v>74.14</v>
      </c>
      <c r="AX14" s="3">
        <v>70.31</v>
      </c>
      <c r="AY14" s="3">
        <v>75.11</v>
      </c>
      <c r="CH14" s="3">
        <v>5.92</v>
      </c>
      <c r="CI14" s="3">
        <v>7.04</v>
      </c>
      <c r="CL14" s="3">
        <v>8.0299999999999994</v>
      </c>
      <c r="CM14" s="3">
        <v>6.09</v>
      </c>
      <c r="CN14" s="3">
        <v>7.06</v>
      </c>
      <c r="CQ14" s="3">
        <v>8.06</v>
      </c>
      <c r="CR14" s="3">
        <v>6.33</v>
      </c>
      <c r="CS14" s="3">
        <v>7.13</v>
      </c>
      <c r="CT14" s="3">
        <v>8.17</v>
      </c>
      <c r="DE14" s="3">
        <v>6.12</v>
      </c>
      <c r="DF14" s="3">
        <v>7.09</v>
      </c>
      <c r="DG14" s="3">
        <v>8.07</v>
      </c>
      <c r="DL14" s="3">
        <v>1711</v>
      </c>
      <c r="DM14" s="3">
        <v>1195</v>
      </c>
      <c r="DN14" s="3">
        <v>616</v>
      </c>
      <c r="DO14" s="3">
        <v>443</v>
      </c>
      <c r="DP14" s="3">
        <v>354</v>
      </c>
      <c r="DQ14" s="3">
        <v>230</v>
      </c>
      <c r="DR14" s="3">
        <f t="shared" si="2"/>
        <v>3.8623024830699775</v>
      </c>
      <c r="DS14" s="3">
        <f t="shared" si="2"/>
        <v>3.3757062146892656</v>
      </c>
      <c r="DT14" s="3">
        <f t="shared" si="2"/>
        <v>2.6782608695652175</v>
      </c>
      <c r="FZ14" s="3">
        <f t="shared" si="3"/>
        <v>1174</v>
      </c>
      <c r="GA14" s="3">
        <f t="shared" si="4"/>
        <v>342.33333333333331</v>
      </c>
      <c r="GB14" s="3">
        <f t="shared" si="5"/>
        <v>3.429406037000974</v>
      </c>
    </row>
    <row r="15" spans="1:185" x14ac:dyDescent="0.25">
      <c r="A15">
        <v>4</v>
      </c>
      <c r="B15" t="s">
        <v>183</v>
      </c>
      <c r="C15">
        <v>2013</v>
      </c>
      <c r="D15" t="s">
        <v>187</v>
      </c>
      <c r="E15" t="s">
        <v>175</v>
      </c>
      <c r="F15" t="s">
        <v>176</v>
      </c>
      <c r="G15" s="2">
        <v>60</v>
      </c>
      <c r="H15" t="s">
        <v>179</v>
      </c>
      <c r="I15" t="s">
        <v>184</v>
      </c>
      <c r="J15" t="s">
        <v>172</v>
      </c>
      <c r="K15" t="s">
        <v>185</v>
      </c>
      <c r="L15" t="s">
        <v>186</v>
      </c>
      <c r="N15" s="3">
        <v>747.92</v>
      </c>
      <c r="O15" s="3">
        <v>33.520000000000003</v>
      </c>
      <c r="P15" s="3">
        <v>53.48</v>
      </c>
      <c r="Q15" s="3">
        <v>1.6</v>
      </c>
      <c r="R15" s="3">
        <v>1835.92</v>
      </c>
      <c r="S15" s="3">
        <v>77.709999999999994</v>
      </c>
      <c r="T15" s="3">
        <v>143.77000000000001</v>
      </c>
      <c r="U15" s="3">
        <v>1.85</v>
      </c>
      <c r="V15" s="3">
        <v>1835.92</v>
      </c>
      <c r="W15" s="3">
        <v>51.2</v>
      </c>
      <c r="X15" s="3">
        <v>89.6</v>
      </c>
      <c r="Y15" s="3">
        <v>1.75</v>
      </c>
      <c r="AJ15" s="3">
        <v>75.38</v>
      </c>
      <c r="AL15" s="3">
        <v>66.349999999999994</v>
      </c>
      <c r="AM15" s="3">
        <v>76.73</v>
      </c>
      <c r="AV15" s="3">
        <v>72.510000000000005</v>
      </c>
      <c r="AX15" s="3">
        <v>65.58</v>
      </c>
      <c r="AY15" s="3">
        <v>74.150000000000006</v>
      </c>
      <c r="CH15" s="3">
        <v>6.28</v>
      </c>
      <c r="CI15" s="3">
        <v>7.1</v>
      </c>
      <c r="CL15" s="3">
        <v>8.16</v>
      </c>
      <c r="CM15" s="3">
        <v>6.33</v>
      </c>
      <c r="CN15" s="3">
        <v>7.14</v>
      </c>
      <c r="CQ15" s="3">
        <v>8.23</v>
      </c>
      <c r="CR15" s="3">
        <v>6.54</v>
      </c>
      <c r="CS15" s="3">
        <v>7.24</v>
      </c>
      <c r="CT15" s="3">
        <v>8.31</v>
      </c>
      <c r="DE15" s="3">
        <v>6.36</v>
      </c>
      <c r="DF15" s="3">
        <v>7.19</v>
      </c>
      <c r="DG15" s="3">
        <v>8.27</v>
      </c>
      <c r="DL15" s="3">
        <v>1656</v>
      </c>
      <c r="DM15" s="3">
        <v>1137</v>
      </c>
      <c r="DN15" s="3">
        <v>550</v>
      </c>
      <c r="DO15" s="3">
        <v>487</v>
      </c>
      <c r="DP15" s="3">
        <v>375</v>
      </c>
      <c r="DQ15" s="3">
        <v>225</v>
      </c>
      <c r="DR15" s="3">
        <f t="shared" si="2"/>
        <v>3.40041067761807</v>
      </c>
      <c r="DS15" s="3">
        <f t="shared" si="2"/>
        <v>3.032</v>
      </c>
      <c r="DT15" s="3">
        <f t="shared" si="2"/>
        <v>2.4444444444444446</v>
      </c>
      <c r="FZ15" s="3">
        <f t="shared" si="3"/>
        <v>1114.3333333333333</v>
      </c>
      <c r="GA15" s="3">
        <f t="shared" si="4"/>
        <v>362.33333333333331</v>
      </c>
      <c r="GB15" s="3">
        <f t="shared" si="5"/>
        <v>3.0754369825206993</v>
      </c>
    </row>
    <row r="16" spans="1:185" x14ac:dyDescent="0.25">
      <c r="A16">
        <v>4</v>
      </c>
      <c r="B16" t="s">
        <v>183</v>
      </c>
      <c r="C16">
        <v>2013</v>
      </c>
      <c r="D16" t="s">
        <v>187</v>
      </c>
      <c r="E16" t="s">
        <v>175</v>
      </c>
      <c r="F16" t="s">
        <v>176</v>
      </c>
      <c r="G16" s="2">
        <v>90</v>
      </c>
      <c r="H16" t="s">
        <v>179</v>
      </c>
      <c r="I16" t="s">
        <v>184</v>
      </c>
      <c r="J16" t="s">
        <v>172</v>
      </c>
      <c r="K16" t="s">
        <v>185</v>
      </c>
      <c r="L16" t="s">
        <v>186</v>
      </c>
      <c r="N16" s="3">
        <v>765.98</v>
      </c>
      <c r="O16" s="3">
        <v>34.380000000000003</v>
      </c>
      <c r="P16" s="3">
        <v>54.1</v>
      </c>
      <c r="Q16" s="3">
        <v>1.57</v>
      </c>
      <c r="R16" s="3">
        <v>1886.98</v>
      </c>
      <c r="S16" s="3">
        <v>80.069999999999993</v>
      </c>
      <c r="T16" s="3">
        <v>146.53</v>
      </c>
      <c r="U16" s="3">
        <v>1.83</v>
      </c>
      <c r="V16" s="3">
        <v>1886.98</v>
      </c>
      <c r="W16" s="3">
        <v>52.66</v>
      </c>
      <c r="X16" s="3">
        <v>91.1</v>
      </c>
      <c r="Y16" s="3">
        <v>1.73</v>
      </c>
      <c r="AJ16" s="3">
        <v>77.099999999999994</v>
      </c>
      <c r="AL16" s="3">
        <v>68.180000000000007</v>
      </c>
      <c r="AM16" s="3">
        <v>77.650000000000006</v>
      </c>
      <c r="AV16" s="3">
        <v>72.81</v>
      </c>
      <c r="AX16" s="3">
        <v>68.099999999999994</v>
      </c>
      <c r="AY16" s="3">
        <v>74.37</v>
      </c>
      <c r="CH16" s="3">
        <v>6.13</v>
      </c>
      <c r="CI16" s="3">
        <v>7.08</v>
      </c>
      <c r="CL16" s="3">
        <v>8.15</v>
      </c>
      <c r="CM16" s="3">
        <v>6.19</v>
      </c>
      <c r="CN16" s="3">
        <v>7.12</v>
      </c>
      <c r="CQ16" s="3">
        <v>8.17</v>
      </c>
      <c r="CR16" s="3">
        <v>6.45</v>
      </c>
      <c r="CS16" s="3">
        <v>7.18</v>
      </c>
      <c r="CT16" s="3">
        <v>8.24</v>
      </c>
      <c r="DE16" s="3">
        <v>6.24</v>
      </c>
      <c r="DF16" s="3">
        <v>7.15</v>
      </c>
      <c r="DG16" s="3">
        <v>8.2100000000000009</v>
      </c>
      <c r="DL16" s="3">
        <v>1696</v>
      </c>
      <c r="DM16" s="3">
        <v>1183</v>
      </c>
      <c r="DN16" s="3">
        <v>594</v>
      </c>
      <c r="DO16" s="3">
        <v>473</v>
      </c>
      <c r="DP16" s="3">
        <v>350</v>
      </c>
      <c r="DQ16" s="3">
        <v>227</v>
      </c>
      <c r="DR16" s="3">
        <f t="shared" si="2"/>
        <v>3.5856236786469347</v>
      </c>
      <c r="DS16" s="3">
        <f t="shared" si="2"/>
        <v>3.38</v>
      </c>
      <c r="DT16" s="3">
        <f t="shared" si="2"/>
        <v>2.6167400881057268</v>
      </c>
      <c r="FZ16" s="3">
        <f t="shared" si="3"/>
        <v>1157.6666666666667</v>
      </c>
      <c r="GA16" s="3">
        <f t="shared" si="4"/>
        <v>350</v>
      </c>
      <c r="GB16" s="3">
        <f t="shared" si="5"/>
        <v>3.3076190476190477</v>
      </c>
    </row>
    <row r="17" spans="1:184" x14ac:dyDescent="0.25">
      <c r="A17">
        <v>5</v>
      </c>
      <c r="B17" t="s">
        <v>183</v>
      </c>
      <c r="C17">
        <v>2013</v>
      </c>
      <c r="D17" t="s">
        <v>169</v>
      </c>
      <c r="E17" t="s">
        <v>169</v>
      </c>
      <c r="F17" t="s">
        <v>169</v>
      </c>
      <c r="G17" s="2">
        <v>0</v>
      </c>
      <c r="H17" t="s">
        <v>179</v>
      </c>
      <c r="I17" t="s">
        <v>184</v>
      </c>
      <c r="J17" t="s">
        <v>172</v>
      </c>
      <c r="K17" t="s">
        <v>185</v>
      </c>
      <c r="L17" t="s">
        <v>186</v>
      </c>
      <c r="N17" s="3">
        <v>803.99</v>
      </c>
      <c r="O17" s="3">
        <v>36.19</v>
      </c>
      <c r="P17" s="3">
        <v>55.95</v>
      </c>
      <c r="Q17" s="3">
        <v>1.55</v>
      </c>
      <c r="R17" s="3">
        <v>1914.99</v>
      </c>
      <c r="S17" s="3">
        <v>79.36</v>
      </c>
      <c r="T17" s="3">
        <v>153.16</v>
      </c>
      <c r="U17" s="3">
        <v>1.93</v>
      </c>
      <c r="V17" s="3">
        <v>1914.99</v>
      </c>
      <c r="W17" s="3">
        <v>52.17</v>
      </c>
      <c r="X17" s="3">
        <v>94.95</v>
      </c>
      <c r="Y17" s="3">
        <v>1.82</v>
      </c>
      <c r="AJ17" s="3">
        <v>77.81</v>
      </c>
      <c r="AL17" s="3">
        <v>68.38</v>
      </c>
      <c r="AV17" s="3">
        <v>76.040000000000006</v>
      </c>
      <c r="AX17" s="3">
        <v>66.11</v>
      </c>
      <c r="CH17" s="3">
        <v>4.6900000000000004</v>
      </c>
      <c r="CI17" s="3">
        <v>7.15</v>
      </c>
      <c r="CL17" s="3">
        <v>8.5299999999999994</v>
      </c>
      <c r="CM17" s="3">
        <v>4.78</v>
      </c>
      <c r="CN17" s="3">
        <v>7.23</v>
      </c>
      <c r="CQ17" s="3">
        <v>8.64</v>
      </c>
      <c r="CR17" s="3">
        <v>6.87</v>
      </c>
      <c r="CS17" s="3">
        <v>7.49</v>
      </c>
      <c r="CT17" s="3">
        <v>8.74</v>
      </c>
      <c r="DE17" s="3">
        <v>6.81</v>
      </c>
      <c r="DF17" s="3">
        <v>7.44</v>
      </c>
      <c r="DG17" s="3">
        <v>8.6999999999999993</v>
      </c>
      <c r="DL17" s="3">
        <v>1746</v>
      </c>
      <c r="DM17" s="3">
        <v>1060</v>
      </c>
      <c r="DN17" s="3">
        <v>515</v>
      </c>
      <c r="DO17" s="3">
        <v>661</v>
      </c>
      <c r="DP17" s="3">
        <v>447</v>
      </c>
      <c r="DQ17" s="3">
        <v>249</v>
      </c>
      <c r="DR17" s="3">
        <f t="shared" si="2"/>
        <v>2.6414523449319214</v>
      </c>
      <c r="DS17" s="3">
        <f t="shared" si="2"/>
        <v>2.3713646532438477</v>
      </c>
      <c r="DT17" s="3">
        <f t="shared" si="2"/>
        <v>2.0682730923694779</v>
      </c>
      <c r="FZ17" s="3">
        <f t="shared" si="3"/>
        <v>1107</v>
      </c>
      <c r="GA17" s="3">
        <f t="shared" si="4"/>
        <v>452.33333333333331</v>
      </c>
      <c r="GB17" s="3">
        <f t="shared" si="5"/>
        <v>2.4473102431834932</v>
      </c>
    </row>
    <row r="18" spans="1:184" x14ac:dyDescent="0.25">
      <c r="A18">
        <v>5</v>
      </c>
      <c r="B18" t="s">
        <v>183</v>
      </c>
      <c r="C18">
        <v>2013</v>
      </c>
      <c r="D18" t="s">
        <v>283</v>
      </c>
      <c r="E18" t="s">
        <v>284</v>
      </c>
      <c r="F18" t="s">
        <v>284</v>
      </c>
      <c r="G18" s="2">
        <v>15</v>
      </c>
      <c r="H18" t="s">
        <v>179</v>
      </c>
      <c r="I18" t="s">
        <v>184</v>
      </c>
      <c r="J18" t="s">
        <v>172</v>
      </c>
      <c r="K18" t="s">
        <v>185</v>
      </c>
      <c r="L18" t="s">
        <v>186</v>
      </c>
      <c r="N18" s="3">
        <f>O18*21+44</f>
        <v>857</v>
      </c>
      <c r="O18" s="3">
        <f>813/21</f>
        <v>38.714285714285715</v>
      </c>
      <c r="P18" s="3">
        <f>1196/21</f>
        <v>56.952380952380949</v>
      </c>
      <c r="Q18" s="3">
        <v>1.47</v>
      </c>
      <c r="R18" s="3">
        <f>N18+S18*14</f>
        <v>2085</v>
      </c>
      <c r="S18" s="3">
        <f>1228/14</f>
        <v>87.714285714285708</v>
      </c>
      <c r="T18" s="3">
        <f>2266/14</f>
        <v>161.85714285714286</v>
      </c>
      <c r="U18" s="3">
        <v>1.85</v>
      </c>
      <c r="V18" s="3">
        <f>R18</f>
        <v>2085</v>
      </c>
      <c r="W18" s="3">
        <f>1996/35</f>
        <v>57.028571428571432</v>
      </c>
      <c r="X18" s="3">
        <f>3462/35</f>
        <v>98.914285714285711</v>
      </c>
      <c r="Y18" s="3">
        <v>1.73</v>
      </c>
      <c r="AJ18" s="3">
        <v>80.81</v>
      </c>
      <c r="AL18" s="3">
        <v>71.959999999999994</v>
      </c>
      <c r="AV18" s="3">
        <v>78.44</v>
      </c>
      <c r="AX18" s="3">
        <v>69.08</v>
      </c>
      <c r="CH18" s="3">
        <v>4.25</v>
      </c>
      <c r="CI18" s="3">
        <v>6.96</v>
      </c>
      <c r="CL18" s="3">
        <v>8.23</v>
      </c>
      <c r="CM18" s="3">
        <v>4.29</v>
      </c>
      <c r="CN18" s="3">
        <v>7.03</v>
      </c>
      <c r="CQ18" s="3">
        <v>8.35</v>
      </c>
      <c r="CR18" s="3">
        <v>6.55</v>
      </c>
      <c r="CS18" s="3">
        <v>7.29</v>
      </c>
      <c r="CT18" s="3">
        <v>8.49</v>
      </c>
      <c r="DE18" s="3">
        <v>6.55</v>
      </c>
      <c r="DF18" s="3">
        <v>7.29</v>
      </c>
      <c r="DG18" s="3">
        <v>8.49</v>
      </c>
      <c r="DL18" s="3">
        <v>1933</v>
      </c>
      <c r="DM18" s="3">
        <v>1164</v>
      </c>
      <c r="DN18" s="3">
        <v>584</v>
      </c>
      <c r="DO18" s="3">
        <v>632</v>
      </c>
      <c r="DP18" s="3">
        <v>414</v>
      </c>
      <c r="DQ18" s="3">
        <v>225</v>
      </c>
      <c r="DR18" s="3">
        <f t="shared" si="2"/>
        <v>3.0585443037974684</v>
      </c>
      <c r="DS18" s="3">
        <f t="shared" si="2"/>
        <v>2.8115942028985508</v>
      </c>
      <c r="DT18" s="3">
        <f t="shared" si="2"/>
        <v>2.5955555555555554</v>
      </c>
      <c r="FZ18" s="3">
        <f t="shared" si="3"/>
        <v>1227</v>
      </c>
      <c r="GA18" s="3">
        <f t="shared" si="4"/>
        <v>423.66666666666669</v>
      </c>
      <c r="GB18" s="3">
        <f t="shared" si="5"/>
        <v>2.8961447678992918</v>
      </c>
    </row>
    <row r="19" spans="1:184" x14ac:dyDescent="0.25">
      <c r="A19">
        <v>5</v>
      </c>
      <c r="B19" t="s">
        <v>183</v>
      </c>
      <c r="C19">
        <v>2013</v>
      </c>
      <c r="D19" t="s">
        <v>188</v>
      </c>
      <c r="E19" t="s">
        <v>175</v>
      </c>
      <c r="F19" t="s">
        <v>176</v>
      </c>
      <c r="G19" s="2">
        <v>40</v>
      </c>
      <c r="H19" t="s">
        <v>179</v>
      </c>
      <c r="I19" t="s">
        <v>184</v>
      </c>
      <c r="J19" t="s">
        <v>172</v>
      </c>
      <c r="K19" t="s">
        <v>185</v>
      </c>
      <c r="L19" t="s">
        <v>186</v>
      </c>
      <c r="N19" s="3">
        <v>821</v>
      </c>
      <c r="O19" s="3">
        <v>37</v>
      </c>
      <c r="P19" s="3">
        <v>56.52</v>
      </c>
      <c r="Q19" s="3">
        <v>1.53</v>
      </c>
      <c r="R19" s="3">
        <v>1983</v>
      </c>
      <c r="S19" s="3">
        <v>83</v>
      </c>
      <c r="T19" s="3">
        <v>156.04</v>
      </c>
      <c r="U19" s="3">
        <v>1.88</v>
      </c>
      <c r="V19" s="3">
        <v>1983</v>
      </c>
      <c r="W19" s="3">
        <v>54.09</v>
      </c>
      <c r="X19" s="3">
        <v>96.27</v>
      </c>
      <c r="Y19" s="3">
        <v>1.78</v>
      </c>
      <c r="AJ19" s="3">
        <v>78.73</v>
      </c>
      <c r="AL19" s="3">
        <v>69.27</v>
      </c>
      <c r="AV19" s="3">
        <v>76.75</v>
      </c>
      <c r="AX19" s="3">
        <v>67.06</v>
      </c>
      <c r="CH19" s="3">
        <v>4.42</v>
      </c>
      <c r="CI19" s="3">
        <v>7.1</v>
      </c>
      <c r="CL19" s="3">
        <v>8.48</v>
      </c>
      <c r="CM19" s="3">
        <v>4.49</v>
      </c>
      <c r="CN19" s="3">
        <v>7.12</v>
      </c>
      <c r="CQ19" s="3">
        <v>8.49</v>
      </c>
      <c r="CR19" s="3">
        <v>6.79</v>
      </c>
      <c r="CS19" s="3">
        <v>7.41</v>
      </c>
      <c r="CT19" s="3">
        <v>8.61</v>
      </c>
      <c r="DE19" s="3">
        <v>6.62</v>
      </c>
      <c r="DF19" s="3">
        <v>7.35</v>
      </c>
      <c r="DG19" s="3">
        <v>8.5299999999999994</v>
      </c>
      <c r="DL19" s="3">
        <v>1863</v>
      </c>
      <c r="DM19" s="3">
        <v>1120</v>
      </c>
      <c r="DN19" s="3">
        <v>547</v>
      </c>
      <c r="DO19" s="3">
        <v>639</v>
      </c>
      <c r="DP19" s="3">
        <v>434</v>
      </c>
      <c r="DQ19" s="3">
        <v>234</v>
      </c>
      <c r="DR19" s="3">
        <f t="shared" si="2"/>
        <v>2.915492957746479</v>
      </c>
      <c r="DS19" s="3">
        <f t="shared" si="2"/>
        <v>2.5806451612903225</v>
      </c>
      <c r="DT19" s="3">
        <f t="shared" si="2"/>
        <v>2.3376068376068377</v>
      </c>
      <c r="FZ19" s="3">
        <f t="shared" si="3"/>
        <v>1176.6666666666667</v>
      </c>
      <c r="GA19" s="3">
        <f t="shared" si="4"/>
        <v>435.66666666666669</v>
      </c>
      <c r="GB19" s="3">
        <f t="shared" si="5"/>
        <v>2.700841622035195</v>
      </c>
    </row>
    <row r="20" spans="1:184" x14ac:dyDescent="0.25">
      <c r="A20">
        <v>5</v>
      </c>
      <c r="B20" t="s">
        <v>183</v>
      </c>
      <c r="C20">
        <v>2013</v>
      </c>
      <c r="D20" t="s">
        <v>188</v>
      </c>
      <c r="E20" t="s">
        <v>175</v>
      </c>
      <c r="F20" t="s">
        <v>176</v>
      </c>
      <c r="G20" s="2">
        <v>60</v>
      </c>
      <c r="H20" t="s">
        <v>179</v>
      </c>
      <c r="I20" t="s">
        <v>184</v>
      </c>
      <c r="J20" t="s">
        <v>172</v>
      </c>
      <c r="K20" t="s">
        <v>185</v>
      </c>
      <c r="L20" t="s">
        <v>186</v>
      </c>
      <c r="N20" s="3">
        <v>836.96</v>
      </c>
      <c r="O20" s="3">
        <v>37.76</v>
      </c>
      <c r="P20" s="3">
        <v>56.71</v>
      </c>
      <c r="Q20" s="3">
        <v>1.5</v>
      </c>
      <c r="R20" s="3">
        <v>2043.96</v>
      </c>
      <c r="S20" s="3">
        <v>86.21</v>
      </c>
      <c r="T20" s="3">
        <v>158.63</v>
      </c>
      <c r="U20" s="3">
        <v>1.84</v>
      </c>
      <c r="V20" s="3">
        <v>2043.96</v>
      </c>
      <c r="W20" s="3">
        <v>55.86</v>
      </c>
      <c r="X20" s="3">
        <v>97.19</v>
      </c>
      <c r="Y20" s="3">
        <v>1.74</v>
      </c>
      <c r="AJ20" s="3">
        <v>79.8</v>
      </c>
      <c r="AL20" s="3">
        <v>70.42</v>
      </c>
      <c r="AV20" s="3">
        <v>77.97</v>
      </c>
      <c r="AX20" s="3">
        <v>68.73</v>
      </c>
      <c r="CH20" s="3">
        <v>4.34</v>
      </c>
      <c r="CI20" s="3">
        <v>7.03</v>
      </c>
      <c r="CL20" s="3">
        <v>8.3000000000000007</v>
      </c>
      <c r="CM20" s="3">
        <v>4.42</v>
      </c>
      <c r="CN20" s="3">
        <v>7.09</v>
      </c>
      <c r="CQ20" s="3">
        <v>8.39</v>
      </c>
      <c r="CR20" s="3">
        <v>6.61</v>
      </c>
      <c r="CS20" s="3">
        <v>7.39</v>
      </c>
      <c r="CT20" s="3">
        <v>8.5399999999999991</v>
      </c>
      <c r="DE20" s="3">
        <v>6.47</v>
      </c>
      <c r="DF20" s="3">
        <v>7.25</v>
      </c>
      <c r="DG20" s="3">
        <v>8.4600000000000009</v>
      </c>
      <c r="DL20" s="3">
        <v>1897</v>
      </c>
      <c r="DM20" s="3">
        <v>1185</v>
      </c>
      <c r="DN20" s="3">
        <v>572</v>
      </c>
      <c r="DO20" s="3">
        <v>628</v>
      </c>
      <c r="DP20" s="3">
        <v>412</v>
      </c>
      <c r="DQ20" s="3">
        <v>214</v>
      </c>
      <c r="DR20" s="3">
        <f t="shared" si="2"/>
        <v>3.0207006369426752</v>
      </c>
      <c r="DS20" s="3">
        <f t="shared" si="2"/>
        <v>2.8762135922330097</v>
      </c>
      <c r="DT20" s="3">
        <f t="shared" si="2"/>
        <v>2.6728971962616823</v>
      </c>
      <c r="FZ20" s="3">
        <f t="shared" si="3"/>
        <v>1218</v>
      </c>
      <c r="GA20" s="3">
        <f t="shared" si="4"/>
        <v>418</v>
      </c>
      <c r="GB20" s="3">
        <f t="shared" si="5"/>
        <v>2.9138755980861246</v>
      </c>
    </row>
    <row r="21" spans="1:184" x14ac:dyDescent="0.25">
      <c r="A21">
        <v>6</v>
      </c>
      <c r="B21" t="s">
        <v>189</v>
      </c>
      <c r="C21">
        <v>2017</v>
      </c>
      <c r="D21" t="s">
        <v>169</v>
      </c>
      <c r="E21" t="s">
        <v>169</v>
      </c>
      <c r="F21" t="s">
        <v>169</v>
      </c>
      <c r="G21" s="2">
        <v>0</v>
      </c>
      <c r="H21" t="s">
        <v>179</v>
      </c>
      <c r="I21" t="s">
        <v>184</v>
      </c>
      <c r="J21" t="s">
        <v>172</v>
      </c>
      <c r="K21" t="s">
        <v>185</v>
      </c>
      <c r="L21" t="s">
        <v>186</v>
      </c>
      <c r="N21" s="3">
        <v>774.33</v>
      </c>
      <c r="O21" s="3">
        <v>34.909999999999997</v>
      </c>
      <c r="P21" s="3">
        <v>48.73</v>
      </c>
      <c r="Q21" s="3">
        <v>1.41</v>
      </c>
      <c r="R21" s="3">
        <v>1771.22</v>
      </c>
      <c r="S21" s="3">
        <v>71.209999999999994</v>
      </c>
      <c r="T21" s="3">
        <v>129.56</v>
      </c>
      <c r="U21" s="3">
        <v>1.82</v>
      </c>
      <c r="V21" s="3">
        <v>1771.22</v>
      </c>
      <c r="W21" s="3">
        <v>49.43</v>
      </c>
      <c r="X21" s="3">
        <v>81.06</v>
      </c>
      <c r="Y21" s="3">
        <v>1.64</v>
      </c>
      <c r="AB21" s="3">
        <v>3.12</v>
      </c>
      <c r="AC21" s="3">
        <v>261.39</v>
      </c>
      <c r="AD21" s="3">
        <v>256.08999999999997</v>
      </c>
      <c r="AE21" s="3">
        <v>2.97</v>
      </c>
      <c r="AF21" s="3">
        <v>288.05</v>
      </c>
      <c r="AG21" s="3">
        <v>281.63</v>
      </c>
      <c r="BO21" s="3">
        <v>4.46</v>
      </c>
      <c r="BP21" s="3">
        <v>3.57</v>
      </c>
      <c r="BQ21" s="3">
        <v>0.89</v>
      </c>
      <c r="BR21" s="3">
        <f>BP21/BQ21</f>
        <v>4.0112359550561791</v>
      </c>
      <c r="BS21" s="3">
        <v>106.96</v>
      </c>
      <c r="BU21" s="3">
        <v>135.79</v>
      </c>
      <c r="BV21" s="3">
        <v>0.33</v>
      </c>
      <c r="BW21" s="3">
        <v>9.2899999999999991</v>
      </c>
      <c r="BX21" s="3">
        <v>5.22</v>
      </c>
      <c r="BY21" s="3">
        <v>3.61</v>
      </c>
      <c r="BZ21" s="3">
        <v>1.61</v>
      </c>
      <c r="CA21" s="3">
        <f>BY21/BZ21</f>
        <v>2.2422360248447202</v>
      </c>
      <c r="CB21" s="3">
        <v>108.22</v>
      </c>
      <c r="CD21" s="3">
        <v>133.56</v>
      </c>
      <c r="CE21" s="3">
        <v>0.51</v>
      </c>
      <c r="CF21" s="3">
        <v>8.3699999999999992</v>
      </c>
      <c r="CR21" s="3">
        <v>7</v>
      </c>
      <c r="CS21" s="3">
        <v>6.9</v>
      </c>
      <c r="CT21" s="3">
        <v>5.2</v>
      </c>
      <c r="DE21" s="3">
        <v>7.1</v>
      </c>
      <c r="DF21" s="3">
        <v>8.5</v>
      </c>
      <c r="DG21" s="3">
        <v>6.4</v>
      </c>
      <c r="DN21" s="3">
        <v>602</v>
      </c>
      <c r="DQ21" s="3">
        <v>86</v>
      </c>
      <c r="DT21" s="3">
        <f>DN21/DQ21</f>
        <v>7</v>
      </c>
      <c r="EY21" s="3">
        <v>19.100000000000001</v>
      </c>
      <c r="EZ21" s="3">
        <v>200.78</v>
      </c>
      <c r="FF21" s="3">
        <v>17.27</v>
      </c>
      <c r="FG21" s="3">
        <v>207.33</v>
      </c>
      <c r="FZ21" s="3">
        <f t="shared" si="3"/>
        <v>602</v>
      </c>
      <c r="GA21" s="3">
        <f t="shared" si="4"/>
        <v>86</v>
      </c>
      <c r="GB21" s="3">
        <f t="shared" si="5"/>
        <v>7</v>
      </c>
    </row>
    <row r="22" spans="1:184" x14ac:dyDescent="0.25">
      <c r="A22">
        <v>6</v>
      </c>
      <c r="B22" t="s">
        <v>189</v>
      </c>
      <c r="C22">
        <v>2017</v>
      </c>
      <c r="D22" t="s">
        <v>190</v>
      </c>
      <c r="E22" t="s">
        <v>175</v>
      </c>
      <c r="F22" t="s">
        <v>176</v>
      </c>
      <c r="G22" s="2">
        <v>70</v>
      </c>
      <c r="H22" t="s">
        <v>179</v>
      </c>
      <c r="I22" t="s">
        <v>184</v>
      </c>
      <c r="J22" t="s">
        <v>172</v>
      </c>
      <c r="K22" t="s">
        <v>185</v>
      </c>
      <c r="L22" t="s">
        <v>186</v>
      </c>
      <c r="N22" s="3">
        <v>818.5</v>
      </c>
      <c r="O22" s="3">
        <v>37.04</v>
      </c>
      <c r="P22" s="3">
        <v>48.78</v>
      </c>
      <c r="Q22" s="3">
        <v>1.33</v>
      </c>
      <c r="R22" s="3">
        <v>1823.91</v>
      </c>
      <c r="S22" s="3">
        <v>71.819999999999993</v>
      </c>
      <c r="T22" s="3">
        <v>128.08000000000001</v>
      </c>
      <c r="U22" s="3">
        <v>1.78</v>
      </c>
      <c r="V22" s="3">
        <v>1823.91</v>
      </c>
      <c r="W22" s="3">
        <v>50.95</v>
      </c>
      <c r="X22" s="3">
        <v>80.5</v>
      </c>
      <c r="Y22" s="3">
        <v>1.58</v>
      </c>
      <c r="AB22" s="3">
        <v>3.3</v>
      </c>
      <c r="AC22" s="3">
        <v>293.06</v>
      </c>
      <c r="AD22" s="3">
        <v>282.18</v>
      </c>
      <c r="AE22" s="3">
        <v>3.07</v>
      </c>
      <c r="AF22" s="3">
        <v>330.18</v>
      </c>
      <c r="AG22" s="3">
        <v>322.83</v>
      </c>
      <c r="BO22" s="3">
        <v>5.13</v>
      </c>
      <c r="BP22" s="3">
        <v>3.62</v>
      </c>
      <c r="BQ22" s="3">
        <v>1.51</v>
      </c>
      <c r="BR22" s="3">
        <f>BP22/BQ22</f>
        <v>2.3973509933774837</v>
      </c>
      <c r="BS22" s="3">
        <v>113.03</v>
      </c>
      <c r="BU22" s="3">
        <v>137.22999999999999</v>
      </c>
      <c r="BV22" s="3">
        <v>0.33</v>
      </c>
      <c r="BW22" s="3">
        <v>9.2799999999999994</v>
      </c>
      <c r="BX22" s="3">
        <v>5.7</v>
      </c>
      <c r="BY22" s="3">
        <v>3.73</v>
      </c>
      <c r="BZ22" s="3">
        <v>1.97</v>
      </c>
      <c r="CA22" s="3">
        <f>BY22/BZ22</f>
        <v>1.8934010152284264</v>
      </c>
      <c r="CB22" s="3">
        <v>129.93</v>
      </c>
      <c r="CD22" s="3">
        <v>130.41</v>
      </c>
      <c r="CE22" s="3">
        <v>0.48</v>
      </c>
      <c r="CF22" s="3">
        <v>6.6</v>
      </c>
      <c r="CR22" s="3">
        <v>5.5</v>
      </c>
      <c r="CS22" s="3">
        <v>6</v>
      </c>
      <c r="CT22" s="3">
        <v>5.4</v>
      </c>
      <c r="DE22" s="3">
        <v>6.7</v>
      </c>
      <c r="DF22" s="3">
        <v>8.3000000000000007</v>
      </c>
      <c r="DG22" s="3">
        <v>6.3</v>
      </c>
      <c r="DN22" s="3">
        <v>730</v>
      </c>
      <c r="DQ22" s="3">
        <v>132</v>
      </c>
      <c r="DT22" s="3">
        <f>DN22/DQ22</f>
        <v>5.5303030303030303</v>
      </c>
      <c r="EY22" s="3">
        <v>18.52</v>
      </c>
      <c r="EZ22" s="3">
        <v>209</v>
      </c>
      <c r="FF22" s="3">
        <v>16.71</v>
      </c>
      <c r="FG22" s="3">
        <v>208.77</v>
      </c>
      <c r="FZ22" s="3">
        <f t="shared" si="3"/>
        <v>730</v>
      </c>
      <c r="GA22" s="3">
        <f t="shared" si="4"/>
        <v>132</v>
      </c>
      <c r="GB22" s="3">
        <f t="shared" si="5"/>
        <v>5.5303030303030303</v>
      </c>
    </row>
    <row r="23" spans="1:184" x14ac:dyDescent="0.25">
      <c r="A23">
        <v>6</v>
      </c>
      <c r="B23" t="s">
        <v>189</v>
      </c>
      <c r="C23">
        <v>2017</v>
      </c>
      <c r="D23" t="s">
        <v>190</v>
      </c>
      <c r="E23" t="s">
        <v>175</v>
      </c>
      <c r="F23" t="s">
        <v>176</v>
      </c>
      <c r="G23" s="2">
        <v>90</v>
      </c>
      <c r="H23" t="s">
        <v>179</v>
      </c>
      <c r="I23" t="s">
        <v>184</v>
      </c>
      <c r="J23" t="s">
        <v>172</v>
      </c>
      <c r="K23" t="s">
        <v>185</v>
      </c>
      <c r="L23" t="s">
        <v>186</v>
      </c>
      <c r="N23" s="3">
        <v>813.66</v>
      </c>
      <c r="O23" s="3">
        <v>36.75</v>
      </c>
      <c r="P23" s="3">
        <v>48.42</v>
      </c>
      <c r="Q23" s="3">
        <v>1.33</v>
      </c>
      <c r="R23" s="3">
        <v>1871.84</v>
      </c>
      <c r="S23" s="3">
        <v>75.58</v>
      </c>
      <c r="T23" s="3">
        <v>128.66</v>
      </c>
      <c r="U23" s="3">
        <v>1.7</v>
      </c>
      <c r="V23" s="3">
        <v>1871.84</v>
      </c>
      <c r="W23" s="3">
        <v>52.28</v>
      </c>
      <c r="X23" s="3">
        <v>80.52</v>
      </c>
      <c r="Y23" s="3">
        <v>1.54</v>
      </c>
      <c r="AB23" s="3">
        <v>3.3</v>
      </c>
      <c r="AC23" s="3">
        <v>291.60000000000002</v>
      </c>
      <c r="AD23" s="3">
        <v>303.58999999999997</v>
      </c>
      <c r="AE23" s="3">
        <v>3.15</v>
      </c>
      <c r="AF23" s="3">
        <v>347.58</v>
      </c>
      <c r="AG23" s="3">
        <v>339.87</v>
      </c>
      <c r="BO23" s="3">
        <v>4.4000000000000004</v>
      </c>
      <c r="BP23" s="3">
        <v>3.14</v>
      </c>
      <c r="BQ23" s="3">
        <v>1.26</v>
      </c>
      <c r="BR23" s="3">
        <f>BP23/BQ23</f>
        <v>2.4920634920634921</v>
      </c>
      <c r="BS23" s="3">
        <v>88.83</v>
      </c>
      <c r="BU23" s="3">
        <v>132.84</v>
      </c>
      <c r="BV23" s="3">
        <v>0.36</v>
      </c>
      <c r="BW23" s="3">
        <v>6.74</v>
      </c>
      <c r="BX23" s="3">
        <v>5.39</v>
      </c>
      <c r="BY23" s="3">
        <v>3.29</v>
      </c>
      <c r="BZ23" s="3">
        <v>2.1</v>
      </c>
      <c r="CA23" s="3">
        <f>BY23/BZ23</f>
        <v>1.5666666666666667</v>
      </c>
      <c r="CB23" s="3">
        <v>113.58</v>
      </c>
      <c r="CD23" s="3">
        <v>130.01</v>
      </c>
      <c r="CE23" s="3">
        <v>0.46</v>
      </c>
      <c r="CF23" s="3">
        <v>6.12</v>
      </c>
      <c r="CR23" s="3">
        <v>5.5</v>
      </c>
      <c r="CS23" s="3">
        <v>5.9</v>
      </c>
      <c r="CT23" s="3">
        <v>5.9</v>
      </c>
      <c r="DE23" s="3">
        <v>6.3</v>
      </c>
      <c r="DF23" s="3">
        <v>8</v>
      </c>
      <c r="DG23" s="3">
        <v>6.6</v>
      </c>
      <c r="DN23" s="3">
        <v>1030</v>
      </c>
      <c r="DQ23" s="3">
        <v>169</v>
      </c>
      <c r="DT23" s="3">
        <f>DN23/DQ23</f>
        <v>6.0946745562130173</v>
      </c>
      <c r="EY23" s="3">
        <v>22.5</v>
      </c>
      <c r="EZ23" s="3">
        <v>206.33</v>
      </c>
      <c r="FF23" s="3">
        <v>13.9</v>
      </c>
      <c r="FG23" s="3">
        <v>204.18</v>
      </c>
      <c r="FZ23" s="3">
        <f t="shared" si="3"/>
        <v>1030</v>
      </c>
      <c r="GA23" s="3">
        <f t="shared" si="4"/>
        <v>169</v>
      </c>
      <c r="GB23" s="3">
        <f t="shared" si="5"/>
        <v>6.0946745562130173</v>
      </c>
    </row>
    <row r="24" spans="1:184" x14ac:dyDescent="0.25">
      <c r="A24">
        <v>6</v>
      </c>
      <c r="B24" t="s">
        <v>189</v>
      </c>
      <c r="C24">
        <v>2017</v>
      </c>
      <c r="D24" t="s">
        <v>190</v>
      </c>
      <c r="E24" t="s">
        <v>175</v>
      </c>
      <c r="F24" t="s">
        <v>176</v>
      </c>
      <c r="G24" s="2">
        <v>120</v>
      </c>
      <c r="H24" t="s">
        <v>179</v>
      </c>
      <c r="I24" t="s">
        <v>184</v>
      </c>
      <c r="J24" t="s">
        <v>172</v>
      </c>
      <c r="K24" t="s">
        <v>185</v>
      </c>
      <c r="L24" t="s">
        <v>186</v>
      </c>
      <c r="N24" s="3">
        <v>814.5</v>
      </c>
      <c r="O24" s="3">
        <v>36.83</v>
      </c>
      <c r="P24" s="3">
        <v>49.12</v>
      </c>
      <c r="Q24" s="3">
        <v>1.35</v>
      </c>
      <c r="R24" s="3">
        <v>1828.14</v>
      </c>
      <c r="S24" s="3">
        <v>72.400000000000006</v>
      </c>
      <c r="T24" s="3">
        <v>129.28</v>
      </c>
      <c r="U24" s="3">
        <v>1.79</v>
      </c>
      <c r="V24" s="3">
        <v>1828.14</v>
      </c>
      <c r="W24" s="3">
        <v>51.06</v>
      </c>
      <c r="X24" s="3">
        <v>81.180000000000007</v>
      </c>
      <c r="Y24" s="3">
        <v>1.59</v>
      </c>
      <c r="AB24" s="3">
        <v>3.26</v>
      </c>
      <c r="AC24" s="3">
        <v>283.16000000000003</v>
      </c>
      <c r="AD24" s="3">
        <v>308.10000000000002</v>
      </c>
      <c r="AE24" s="3">
        <v>3.05</v>
      </c>
      <c r="AF24" s="3">
        <v>329.01</v>
      </c>
      <c r="AG24" s="3">
        <v>321.63</v>
      </c>
      <c r="BO24" s="3">
        <v>4.9800000000000004</v>
      </c>
      <c r="BP24" s="3">
        <v>3.27</v>
      </c>
      <c r="BQ24" s="3">
        <v>1.71</v>
      </c>
      <c r="BR24" s="3">
        <f>BP24/BQ24</f>
        <v>1.9122807017543859</v>
      </c>
      <c r="BS24" s="3">
        <v>118.34</v>
      </c>
      <c r="BU24" s="3">
        <v>136.22</v>
      </c>
      <c r="BV24" s="3">
        <v>0.34</v>
      </c>
      <c r="BW24" s="3">
        <v>5.62</v>
      </c>
      <c r="BX24" s="3">
        <v>6.77</v>
      </c>
      <c r="BY24" s="3">
        <v>3.82</v>
      </c>
      <c r="BZ24" s="3">
        <v>2.69</v>
      </c>
      <c r="CA24" s="3">
        <f>BY24/BZ24</f>
        <v>1.4200743494423791</v>
      </c>
      <c r="CB24" s="3">
        <v>145.41</v>
      </c>
      <c r="CD24" s="3">
        <v>139.32</v>
      </c>
      <c r="CE24" s="3">
        <v>0.49</v>
      </c>
      <c r="CF24" s="3">
        <v>6.35</v>
      </c>
      <c r="CR24" s="3">
        <v>7.3</v>
      </c>
      <c r="CS24" s="3">
        <v>6.3</v>
      </c>
      <c r="CT24" s="3">
        <v>4.4000000000000004</v>
      </c>
      <c r="DE24" s="3">
        <v>7.9</v>
      </c>
      <c r="DF24" s="3">
        <v>8.4</v>
      </c>
      <c r="DG24" s="3">
        <v>5.4</v>
      </c>
      <c r="DN24" s="3">
        <v>624</v>
      </c>
      <c r="DQ24" s="3">
        <v>116</v>
      </c>
      <c r="DT24" s="3">
        <f>DN24/DQ24</f>
        <v>5.3793103448275863</v>
      </c>
      <c r="EY24" s="3">
        <v>22.26</v>
      </c>
      <c r="EZ24" s="3">
        <v>208.93</v>
      </c>
      <c r="FF24" s="3">
        <v>16.32</v>
      </c>
      <c r="FG24" s="3">
        <v>206.66</v>
      </c>
      <c r="FZ24" s="3">
        <f t="shared" si="3"/>
        <v>624</v>
      </c>
      <c r="GA24" s="3">
        <f t="shared" si="4"/>
        <v>116</v>
      </c>
      <c r="GB24" s="3">
        <f t="shared" si="5"/>
        <v>5.3793103448275863</v>
      </c>
    </row>
    <row r="25" spans="1:184" x14ac:dyDescent="0.25">
      <c r="A25">
        <v>7</v>
      </c>
      <c r="B25" t="s">
        <v>193</v>
      </c>
      <c r="C25">
        <v>2019</v>
      </c>
      <c r="D25" t="s">
        <v>169</v>
      </c>
      <c r="E25" t="s">
        <v>169</v>
      </c>
      <c r="F25" t="s">
        <v>169</v>
      </c>
      <c r="G25" s="2">
        <v>0</v>
      </c>
      <c r="H25" t="s">
        <v>170</v>
      </c>
      <c r="I25" t="s">
        <v>171</v>
      </c>
      <c r="J25" t="s">
        <v>172</v>
      </c>
      <c r="K25" t="s">
        <v>173</v>
      </c>
      <c r="L25" t="s">
        <v>174</v>
      </c>
      <c r="N25" s="3">
        <v>704.95</v>
      </c>
      <c r="O25" s="3">
        <v>31.46</v>
      </c>
      <c r="P25" s="3">
        <v>51.38</v>
      </c>
      <c r="Q25" s="3">
        <v>1.63</v>
      </c>
      <c r="R25" s="3">
        <v>2109.0100000000002</v>
      </c>
      <c r="S25" s="3">
        <v>66.86</v>
      </c>
      <c r="T25" s="3">
        <v>135.81</v>
      </c>
      <c r="U25" s="3">
        <v>2.0299999999999998</v>
      </c>
      <c r="V25" s="3">
        <v>2109.0100000000002</v>
      </c>
      <c r="W25" s="3">
        <v>49.6</v>
      </c>
      <c r="X25" s="3">
        <v>94.34</v>
      </c>
      <c r="Y25" s="3">
        <v>1.9</v>
      </c>
      <c r="CL25" s="3">
        <v>6.69</v>
      </c>
      <c r="CO25" s="3">
        <v>6.16</v>
      </c>
      <c r="CQ25" s="3">
        <v>6.96</v>
      </c>
      <c r="CY25" s="3">
        <v>6.38</v>
      </c>
      <c r="DB25" s="3">
        <v>5.84</v>
      </c>
      <c r="DD25" s="3">
        <v>6.89</v>
      </c>
      <c r="DL25" s="3">
        <v>1298.57</v>
      </c>
      <c r="DO25" s="3">
        <v>161.69</v>
      </c>
      <c r="DR25" s="3">
        <f>DL25/DO25</f>
        <v>8.0312326056033143</v>
      </c>
      <c r="EB25" s="3">
        <v>1.014</v>
      </c>
      <c r="EC25" s="3">
        <v>0.79800000000000004</v>
      </c>
      <c r="ED25" s="3">
        <v>7.8849999999999998</v>
      </c>
      <c r="EE25" s="3">
        <v>1.4710000000000001</v>
      </c>
      <c r="EF25" s="3">
        <v>0.20100000000000001</v>
      </c>
      <c r="EG25" s="3">
        <v>1.0820000000000001</v>
      </c>
      <c r="EH25" s="3">
        <v>0.64500000000000002</v>
      </c>
      <c r="EI25" s="3">
        <v>7.9610000000000003</v>
      </c>
      <c r="EJ25" s="3">
        <v>1.641</v>
      </c>
      <c r="EK25" s="3">
        <v>0.19800000000000001</v>
      </c>
      <c r="FA25" s="3">
        <v>5.69</v>
      </c>
      <c r="FB25" s="3">
        <v>5.08</v>
      </c>
      <c r="FC25" s="3">
        <v>1.66</v>
      </c>
      <c r="FD25" s="3">
        <v>2.54</v>
      </c>
      <c r="FE25" s="3">
        <v>60.87</v>
      </c>
      <c r="FH25" s="3">
        <v>6.82</v>
      </c>
      <c r="FJ25" s="3">
        <v>5.9</v>
      </c>
      <c r="FK25" s="3">
        <v>1.1299999999999999</v>
      </c>
      <c r="FL25" s="3">
        <v>1.1499999999999999</v>
      </c>
      <c r="FM25" s="3">
        <v>71.16</v>
      </c>
      <c r="FP25" s="3">
        <v>1.37</v>
      </c>
      <c r="FQ25" s="3">
        <v>6.76</v>
      </c>
      <c r="FR25" s="3">
        <v>267.89</v>
      </c>
      <c r="FS25" s="3">
        <v>2256.6999999999998</v>
      </c>
      <c r="FT25" s="3">
        <v>1.1399999999999999</v>
      </c>
      <c r="FU25" s="3">
        <v>6.36</v>
      </c>
      <c r="FV25" s="3">
        <v>248.61</v>
      </c>
      <c r="FW25" s="3">
        <v>2305.4</v>
      </c>
      <c r="FZ25" s="3">
        <f t="shared" si="3"/>
        <v>1298.57</v>
      </c>
      <c r="GA25" s="3">
        <f t="shared" si="4"/>
        <v>161.69</v>
      </c>
      <c r="GB25" s="3">
        <f t="shared" si="5"/>
        <v>8.0312326056033143</v>
      </c>
    </row>
    <row r="26" spans="1:184" x14ac:dyDescent="0.25">
      <c r="A26">
        <v>7</v>
      </c>
      <c r="B26" t="s">
        <v>193</v>
      </c>
      <c r="C26">
        <v>2019</v>
      </c>
      <c r="D26" t="s">
        <v>285</v>
      </c>
      <c r="E26" t="s">
        <v>284</v>
      </c>
      <c r="F26" t="s">
        <v>284</v>
      </c>
      <c r="G26" s="2">
        <v>10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N26" s="3">
        <f>O26*21+44.29</f>
        <v>753.88</v>
      </c>
      <c r="O26" s="3">
        <v>33.79</v>
      </c>
      <c r="P26" s="3">
        <v>48.7</v>
      </c>
      <c r="Q26" s="3">
        <v>1.63</v>
      </c>
      <c r="R26" s="3">
        <f>N26+S26*21</f>
        <v>2401.75</v>
      </c>
      <c r="S26" s="3">
        <v>78.47</v>
      </c>
      <c r="T26" s="3">
        <v>137.68</v>
      </c>
      <c r="U26" s="3">
        <v>1.75</v>
      </c>
      <c r="V26" s="3">
        <f>R26</f>
        <v>2401.75</v>
      </c>
      <c r="W26" s="3">
        <v>56.72</v>
      </c>
      <c r="X26" s="3">
        <v>94.12</v>
      </c>
      <c r="Y26" s="3">
        <v>1.66</v>
      </c>
      <c r="CL26" s="3">
        <v>5.72</v>
      </c>
      <c r="CO26" s="3">
        <v>6.05</v>
      </c>
      <c r="CQ26" s="3">
        <v>6.53</v>
      </c>
      <c r="CY26" s="3">
        <v>5.72</v>
      </c>
      <c r="DB26" s="3">
        <v>5.74</v>
      </c>
      <c r="DD26" s="3">
        <v>6.59</v>
      </c>
      <c r="DL26" s="3">
        <v>1478.52</v>
      </c>
      <c r="DO26" s="3">
        <v>120.53</v>
      </c>
      <c r="DR26" s="3">
        <f>DL26/DO26</f>
        <v>12.266821538206255</v>
      </c>
      <c r="EB26" s="3">
        <v>1.0489999999999999</v>
      </c>
      <c r="EC26" s="3">
        <v>0.84799999999999998</v>
      </c>
      <c r="ED26" s="3">
        <v>8.4740000000000002</v>
      </c>
      <c r="EE26" s="3">
        <v>1.8740000000000001</v>
      </c>
      <c r="EF26" s="3">
        <v>0.216</v>
      </c>
      <c r="EG26" s="3">
        <v>1.0840000000000001</v>
      </c>
      <c r="EH26" s="3">
        <v>0.75600000000000001</v>
      </c>
      <c r="EI26" s="3">
        <v>9.1679999999999993</v>
      </c>
      <c r="EJ26" s="3">
        <v>1.83</v>
      </c>
      <c r="EK26" s="3">
        <v>0.222</v>
      </c>
      <c r="FA26" s="3">
        <v>5.6</v>
      </c>
      <c r="FB26" s="3">
        <v>5.04</v>
      </c>
      <c r="FC26" s="3">
        <v>1.0900000000000001</v>
      </c>
      <c r="FD26" s="3">
        <v>2.57</v>
      </c>
      <c r="FE26" s="3">
        <v>61.38</v>
      </c>
      <c r="FH26" s="3">
        <v>6.03</v>
      </c>
      <c r="FJ26" s="3">
        <v>5.55</v>
      </c>
      <c r="FK26" s="3">
        <v>1.2</v>
      </c>
      <c r="FL26" s="3">
        <v>1.34</v>
      </c>
      <c r="FM26" s="3">
        <v>78.099999999999994</v>
      </c>
      <c r="FP26" s="3">
        <v>1.39</v>
      </c>
      <c r="FQ26" s="3">
        <v>7.5</v>
      </c>
      <c r="FR26" s="3">
        <v>277.43</v>
      </c>
      <c r="FS26" s="3">
        <v>2490.5</v>
      </c>
      <c r="FT26" s="3">
        <v>1.35</v>
      </c>
      <c r="FU26" s="3">
        <v>7.77</v>
      </c>
      <c r="FV26" s="3">
        <v>256.14999999999998</v>
      </c>
      <c r="FW26" s="3">
        <v>3112.5</v>
      </c>
      <c r="FZ26" s="3">
        <f t="shared" si="3"/>
        <v>1478.52</v>
      </c>
      <c r="GA26" s="3">
        <f t="shared" si="4"/>
        <v>120.53</v>
      </c>
      <c r="GB26" s="3">
        <f t="shared" si="5"/>
        <v>12.266821538206255</v>
      </c>
    </row>
    <row r="27" spans="1:184" x14ac:dyDescent="0.25">
      <c r="A27">
        <v>7</v>
      </c>
      <c r="B27" t="s">
        <v>193</v>
      </c>
      <c r="C27">
        <v>2019</v>
      </c>
      <c r="D27" t="s">
        <v>194</v>
      </c>
      <c r="E27" t="s">
        <v>175</v>
      </c>
      <c r="F27" t="s">
        <v>176</v>
      </c>
      <c r="G27" s="2">
        <v>100</v>
      </c>
      <c r="H27" t="s">
        <v>170</v>
      </c>
      <c r="I27" t="s">
        <v>171</v>
      </c>
      <c r="J27" t="s">
        <v>172</v>
      </c>
      <c r="K27" t="s">
        <v>173</v>
      </c>
      <c r="L27" t="s">
        <v>174</v>
      </c>
      <c r="N27" s="3">
        <v>717.97</v>
      </c>
      <c r="O27" s="3">
        <v>32.08</v>
      </c>
      <c r="P27" s="3">
        <v>46.7</v>
      </c>
      <c r="Q27" s="3">
        <v>1.44</v>
      </c>
      <c r="R27" s="3">
        <v>2245.5100000000002</v>
      </c>
      <c r="S27" s="3">
        <v>72.739999999999995</v>
      </c>
      <c r="T27" s="3">
        <v>130.54</v>
      </c>
      <c r="U27" s="3">
        <v>1.79</v>
      </c>
      <c r="V27" s="3">
        <v>2245.5100000000002</v>
      </c>
      <c r="W27" s="3">
        <v>52.93</v>
      </c>
      <c r="X27" s="3">
        <v>89.33</v>
      </c>
      <c r="Y27" s="3">
        <v>1.69</v>
      </c>
      <c r="CL27" s="3">
        <v>6.3</v>
      </c>
      <c r="CO27" s="3">
        <v>6.15</v>
      </c>
      <c r="CQ27" s="3">
        <v>6.52</v>
      </c>
      <c r="CY27" s="3">
        <v>6.13</v>
      </c>
      <c r="DB27" s="3">
        <v>5.77</v>
      </c>
      <c r="DD27" s="3">
        <v>6.85</v>
      </c>
      <c r="DL27" s="3">
        <v>1395.26</v>
      </c>
      <c r="DO27" s="3">
        <v>115.83</v>
      </c>
      <c r="DR27" s="3">
        <f>DL27/DO27</f>
        <v>12.04575671242338</v>
      </c>
      <c r="EB27" s="3">
        <v>1.153</v>
      </c>
      <c r="EC27" s="3">
        <v>0.86899999999999999</v>
      </c>
      <c r="ED27" s="3">
        <v>8.1839999999999993</v>
      </c>
      <c r="EE27" s="3">
        <v>1.677</v>
      </c>
      <c r="EF27" s="3">
        <v>0.22600000000000001</v>
      </c>
      <c r="EG27" s="3">
        <v>1.1839999999999999</v>
      </c>
      <c r="EH27" s="3">
        <v>0.86099999999999999</v>
      </c>
      <c r="EI27" s="3">
        <v>9.9109999999999996</v>
      </c>
      <c r="EJ27" s="3">
        <v>1.865</v>
      </c>
      <c r="EK27" s="3">
        <v>0.23100000000000001</v>
      </c>
      <c r="FA27" s="3">
        <v>6.05</v>
      </c>
      <c r="FB27" s="3">
        <v>5.0599999999999996</v>
      </c>
      <c r="FC27" s="3">
        <v>1.1399999999999999</v>
      </c>
      <c r="FD27" s="3">
        <v>2.35</v>
      </c>
      <c r="FE27" s="3">
        <v>65.97</v>
      </c>
      <c r="FH27" s="3">
        <v>6.34</v>
      </c>
      <c r="FJ27" s="3">
        <v>5.59</v>
      </c>
      <c r="FK27" s="3">
        <v>1.08</v>
      </c>
      <c r="FL27" s="3">
        <v>1.24</v>
      </c>
      <c r="FM27" s="3">
        <v>75.17</v>
      </c>
      <c r="FP27" s="3">
        <v>1.45</v>
      </c>
      <c r="FQ27" s="3">
        <v>7.42</v>
      </c>
      <c r="FR27" s="3">
        <v>298.35000000000002</v>
      </c>
      <c r="FS27" s="3">
        <v>2416.6999999999998</v>
      </c>
      <c r="FT27" s="3">
        <v>1.21</v>
      </c>
      <c r="FU27" s="3">
        <v>6.72</v>
      </c>
      <c r="FV27" s="3">
        <v>271.41000000000003</v>
      </c>
      <c r="FW27" s="3">
        <v>2707</v>
      </c>
      <c r="FZ27" s="3">
        <f t="shared" si="3"/>
        <v>1395.26</v>
      </c>
      <c r="GA27" s="3">
        <f t="shared" si="4"/>
        <v>115.83</v>
      </c>
      <c r="GB27" s="3">
        <f t="shared" si="5"/>
        <v>12.04575671242338</v>
      </c>
    </row>
    <row r="28" spans="1:184" x14ac:dyDescent="0.25">
      <c r="A28">
        <v>7</v>
      </c>
      <c r="B28" t="s">
        <v>193</v>
      </c>
      <c r="C28">
        <v>2019</v>
      </c>
      <c r="D28" t="s">
        <v>194</v>
      </c>
      <c r="E28" t="s">
        <v>175</v>
      </c>
      <c r="F28" t="s">
        <v>176</v>
      </c>
      <c r="G28" s="2">
        <v>200</v>
      </c>
      <c r="H28" t="s">
        <v>170</v>
      </c>
      <c r="I28" t="s">
        <v>171</v>
      </c>
      <c r="J28" t="s">
        <v>172</v>
      </c>
      <c r="K28" t="s">
        <v>173</v>
      </c>
      <c r="L28" t="s">
        <v>174</v>
      </c>
      <c r="N28" s="3">
        <v>709.99</v>
      </c>
      <c r="O28" s="3">
        <v>31.7</v>
      </c>
      <c r="P28" s="3">
        <v>45.64</v>
      </c>
      <c r="Q28" s="3">
        <v>1.44</v>
      </c>
      <c r="R28" s="3">
        <v>2352.4</v>
      </c>
      <c r="S28" s="3">
        <v>78.209999999999994</v>
      </c>
      <c r="T28" s="3">
        <v>139.1</v>
      </c>
      <c r="U28" s="3">
        <v>1.78</v>
      </c>
      <c r="V28" s="3">
        <v>2352.4</v>
      </c>
      <c r="W28" s="3">
        <v>55.82</v>
      </c>
      <c r="X28" s="3">
        <v>93.35</v>
      </c>
      <c r="Y28" s="3">
        <v>1.67</v>
      </c>
      <c r="CL28" s="3">
        <v>5.52</v>
      </c>
      <c r="CO28" s="3">
        <v>6.08</v>
      </c>
      <c r="CQ28" s="3">
        <v>6.58</v>
      </c>
      <c r="CY28" s="3">
        <v>5.97</v>
      </c>
      <c r="DB28" s="3">
        <v>5.72</v>
      </c>
      <c r="DD28" s="3">
        <v>6.54</v>
      </c>
      <c r="DL28" s="3">
        <v>1559.02</v>
      </c>
      <c r="DO28" s="3">
        <v>116.13</v>
      </c>
      <c r="DR28" s="3">
        <f>DL28/DO28</f>
        <v>13.424782571256351</v>
      </c>
      <c r="EB28" s="3">
        <v>1.0589999999999999</v>
      </c>
      <c r="EC28" s="3">
        <v>0.86899999999999999</v>
      </c>
      <c r="ED28" s="3">
        <v>8.4510000000000005</v>
      </c>
      <c r="EE28" s="3">
        <v>1.7050000000000001</v>
      </c>
      <c r="EF28" s="3">
        <v>0.22600000000000001</v>
      </c>
      <c r="EG28" s="3">
        <v>1.117</v>
      </c>
      <c r="EH28" s="3">
        <v>0.93799999999999994</v>
      </c>
      <c r="EI28" s="3">
        <v>9.5150000000000006</v>
      </c>
      <c r="EJ28" s="3">
        <v>1.675</v>
      </c>
      <c r="EK28" s="3">
        <v>0.22900000000000001</v>
      </c>
      <c r="FA28" s="3">
        <v>5.93</v>
      </c>
      <c r="FB28" s="3">
        <v>4.66</v>
      </c>
      <c r="FC28" s="3">
        <v>0.96</v>
      </c>
      <c r="FD28" s="3">
        <v>2.5</v>
      </c>
      <c r="FE28" s="3">
        <v>62.44</v>
      </c>
      <c r="FH28" s="3">
        <v>6.47</v>
      </c>
      <c r="FJ28" s="3">
        <v>5.66</v>
      </c>
      <c r="FK28" s="3">
        <v>1.1100000000000001</v>
      </c>
      <c r="FL28" s="3">
        <v>1.34</v>
      </c>
      <c r="FM28" s="3">
        <v>77.34</v>
      </c>
      <c r="FP28" s="3">
        <v>1.47</v>
      </c>
      <c r="FQ28" s="3">
        <v>7.71</v>
      </c>
      <c r="FR28" s="3">
        <v>296.36</v>
      </c>
      <c r="FS28" s="3">
        <v>2375.3000000000002</v>
      </c>
      <c r="FT28" s="3">
        <v>1.23</v>
      </c>
      <c r="FU28" s="3">
        <v>6.65</v>
      </c>
      <c r="FV28" s="3">
        <v>272.32</v>
      </c>
      <c r="FW28" s="3">
        <v>3493.3</v>
      </c>
      <c r="FZ28" s="3">
        <f t="shared" si="3"/>
        <v>1559.02</v>
      </c>
      <c r="GA28" s="3">
        <f t="shared" si="4"/>
        <v>116.13</v>
      </c>
      <c r="GB28" s="3">
        <f t="shared" si="5"/>
        <v>13.424782571256351</v>
      </c>
    </row>
    <row r="29" spans="1:184" x14ac:dyDescent="0.25">
      <c r="A29">
        <v>8</v>
      </c>
      <c r="B29" t="s">
        <v>198</v>
      </c>
      <c r="C29">
        <v>2019</v>
      </c>
      <c r="D29" t="s">
        <v>169</v>
      </c>
      <c r="E29" t="s">
        <v>169</v>
      </c>
      <c r="F29" t="s">
        <v>169</v>
      </c>
      <c r="G29" s="2">
        <v>0</v>
      </c>
      <c r="H29" t="s">
        <v>196</v>
      </c>
      <c r="I29" t="s">
        <v>171</v>
      </c>
      <c r="J29" t="s">
        <v>199</v>
      </c>
      <c r="K29" t="s">
        <v>200</v>
      </c>
      <c r="L29" t="s">
        <v>201</v>
      </c>
      <c r="N29" s="3">
        <v>1472.66</v>
      </c>
      <c r="O29" s="3">
        <v>59.64</v>
      </c>
      <c r="P29" s="3">
        <v>94.38</v>
      </c>
      <c r="Q29" s="3">
        <v>1.58</v>
      </c>
      <c r="V29" s="3">
        <v>1472.66</v>
      </c>
      <c r="W29" s="3">
        <v>59.64</v>
      </c>
      <c r="X29" s="3">
        <v>94.38</v>
      </c>
      <c r="Y29" s="3">
        <v>1.58</v>
      </c>
      <c r="CI29" s="3">
        <v>2.1</v>
      </c>
      <c r="CJ29" s="3">
        <v>4.05</v>
      </c>
      <c r="CK29" s="3">
        <v>6.84</v>
      </c>
      <c r="CV29" s="3">
        <v>1.7</v>
      </c>
      <c r="CW29" s="3">
        <v>4.5</v>
      </c>
      <c r="CX29" s="3">
        <v>7.13</v>
      </c>
      <c r="DM29" s="3">
        <v>827</v>
      </c>
      <c r="DP29" s="3">
        <v>201</v>
      </c>
      <c r="DS29" s="3">
        <f>DM29/DP29</f>
        <v>4.1144278606965177</v>
      </c>
      <c r="FZ29" s="3">
        <f t="shared" si="3"/>
        <v>827</v>
      </c>
      <c r="GA29" s="3">
        <f t="shared" si="4"/>
        <v>201</v>
      </c>
      <c r="GB29" s="3">
        <f t="shared" si="5"/>
        <v>4.1144278606965177</v>
      </c>
    </row>
    <row r="30" spans="1:184" x14ac:dyDescent="0.25">
      <c r="A30">
        <v>8</v>
      </c>
      <c r="B30" t="s">
        <v>198</v>
      </c>
      <c r="C30">
        <v>2019</v>
      </c>
      <c r="D30" t="s">
        <v>286</v>
      </c>
      <c r="E30" t="s">
        <v>284</v>
      </c>
      <c r="F30" t="s">
        <v>284</v>
      </c>
      <c r="G30" s="2">
        <v>45</v>
      </c>
      <c r="H30" t="s">
        <v>196</v>
      </c>
      <c r="I30" t="s">
        <v>171</v>
      </c>
      <c r="J30" t="s">
        <v>199</v>
      </c>
      <c r="K30" t="s">
        <v>200</v>
      </c>
      <c r="L30" t="s">
        <v>201</v>
      </c>
      <c r="N30" s="3">
        <f>41.3+O30*24</f>
        <v>1671.3799999999999</v>
      </c>
      <c r="O30" s="3">
        <v>67.92</v>
      </c>
      <c r="P30" s="3">
        <v>100.5</v>
      </c>
      <c r="Q30" s="3">
        <v>1.48</v>
      </c>
      <c r="V30" s="3">
        <f>N30</f>
        <v>1671.3799999999999</v>
      </c>
      <c r="W30" s="3">
        <v>67.92</v>
      </c>
      <c r="X30" s="3">
        <v>100.5</v>
      </c>
      <c r="Y30" s="3">
        <v>1.48</v>
      </c>
      <c r="CI30" s="3">
        <v>1.35</v>
      </c>
      <c r="CJ30" s="3">
        <v>4.04</v>
      </c>
      <c r="CK30" s="3">
        <v>5.36</v>
      </c>
      <c r="CV30" s="3">
        <v>1.32</v>
      </c>
      <c r="CW30" s="3">
        <v>3.21</v>
      </c>
      <c r="CX30" s="3">
        <v>6.21</v>
      </c>
      <c r="DM30" s="3">
        <v>1175</v>
      </c>
      <c r="DP30" s="3">
        <v>180</v>
      </c>
      <c r="DS30" s="3">
        <f>DM30/DP30</f>
        <v>6.5277777777777777</v>
      </c>
      <c r="FZ30" s="3">
        <f t="shared" si="3"/>
        <v>1175</v>
      </c>
      <c r="GA30" s="3">
        <f t="shared" si="4"/>
        <v>180</v>
      </c>
      <c r="GB30" s="3">
        <f t="shared" si="5"/>
        <v>6.5277777777777777</v>
      </c>
    </row>
    <row r="31" spans="1:184" x14ac:dyDescent="0.25">
      <c r="A31">
        <v>8</v>
      </c>
      <c r="B31" t="s">
        <v>198</v>
      </c>
      <c r="C31">
        <v>2019</v>
      </c>
      <c r="D31" t="s">
        <v>202</v>
      </c>
      <c r="E31" t="s">
        <v>175</v>
      </c>
      <c r="F31" t="s">
        <v>176</v>
      </c>
      <c r="G31" s="2">
        <v>20</v>
      </c>
      <c r="H31" t="s">
        <v>196</v>
      </c>
      <c r="I31" t="s">
        <v>171</v>
      </c>
      <c r="J31" t="s">
        <v>199</v>
      </c>
      <c r="K31" t="s">
        <v>200</v>
      </c>
      <c r="L31" t="s">
        <v>201</v>
      </c>
      <c r="N31" s="3">
        <v>1604.18</v>
      </c>
      <c r="O31" s="3">
        <v>65.12</v>
      </c>
      <c r="P31" s="3">
        <v>92.62</v>
      </c>
      <c r="Q31" s="3">
        <v>1.42</v>
      </c>
      <c r="V31" s="3">
        <v>1604.18</v>
      </c>
      <c r="W31" s="3">
        <v>65.12</v>
      </c>
      <c r="X31" s="3">
        <v>92.62</v>
      </c>
      <c r="Y31" s="3">
        <v>1.42</v>
      </c>
      <c r="CI31" s="3">
        <v>1.67</v>
      </c>
      <c r="CJ31" s="3">
        <v>4.03</v>
      </c>
      <c r="CK31" s="3">
        <v>5.36</v>
      </c>
      <c r="CV31" s="3">
        <v>1.67</v>
      </c>
      <c r="CW31" s="3">
        <v>4.13</v>
      </c>
      <c r="CX31" s="3">
        <v>8.51</v>
      </c>
      <c r="DM31" s="3">
        <v>1167</v>
      </c>
      <c r="DP31" s="3">
        <v>171</v>
      </c>
      <c r="DS31" s="3">
        <f>DM31/DP31</f>
        <v>6.8245614035087723</v>
      </c>
      <c r="FZ31" s="3">
        <f t="shared" si="3"/>
        <v>1167</v>
      </c>
      <c r="GA31" s="3">
        <f t="shared" si="4"/>
        <v>171</v>
      </c>
      <c r="GB31" s="3">
        <f t="shared" si="5"/>
        <v>6.8245614035087723</v>
      </c>
    </row>
    <row r="32" spans="1:184" x14ac:dyDescent="0.25">
      <c r="A32">
        <v>9</v>
      </c>
      <c r="B32" t="s">
        <v>203</v>
      </c>
      <c r="C32">
        <v>2018</v>
      </c>
      <c r="D32" t="s">
        <v>169</v>
      </c>
      <c r="E32" t="s">
        <v>169</v>
      </c>
      <c r="F32" t="s">
        <v>169</v>
      </c>
      <c r="G32" s="2">
        <v>0</v>
      </c>
      <c r="H32" t="s">
        <v>179</v>
      </c>
      <c r="I32" t="s">
        <v>171</v>
      </c>
      <c r="J32" t="s">
        <v>204</v>
      </c>
      <c r="K32" t="s">
        <v>205</v>
      </c>
      <c r="L32" t="s">
        <v>206</v>
      </c>
      <c r="N32" s="3">
        <v>1001</v>
      </c>
      <c r="O32" s="3">
        <v>64</v>
      </c>
      <c r="P32" s="3">
        <v>90.88</v>
      </c>
      <c r="Q32" s="3">
        <v>1.42</v>
      </c>
      <c r="R32" s="3">
        <v>2120</v>
      </c>
      <c r="S32" s="3">
        <v>93.67</v>
      </c>
      <c r="T32" s="3">
        <v>195.33</v>
      </c>
      <c r="U32" s="3">
        <v>2.09</v>
      </c>
      <c r="V32" s="3">
        <v>2120</v>
      </c>
      <c r="W32" s="3">
        <v>63</v>
      </c>
      <c r="X32" s="3">
        <v>104.58</v>
      </c>
      <c r="Y32" s="3">
        <v>1.66</v>
      </c>
      <c r="AA32" s="3">
        <f>AVERAGE(5.3,6.2)</f>
        <v>5.75</v>
      </c>
      <c r="BK32" s="3">
        <v>1.36</v>
      </c>
      <c r="BM32" s="3">
        <v>2.14</v>
      </c>
    </row>
    <row r="33" spans="1:185" x14ac:dyDescent="0.25">
      <c r="A33">
        <v>9</v>
      </c>
      <c r="B33" t="s">
        <v>203</v>
      </c>
      <c r="C33">
        <v>2018</v>
      </c>
      <c r="D33" t="s">
        <v>190</v>
      </c>
      <c r="E33" t="s">
        <v>175</v>
      </c>
      <c r="F33" t="s">
        <v>176</v>
      </c>
      <c r="G33" s="2">
        <v>40</v>
      </c>
      <c r="H33" t="s">
        <v>179</v>
      </c>
      <c r="I33" t="s">
        <v>171</v>
      </c>
      <c r="J33" t="s">
        <v>204</v>
      </c>
      <c r="K33" t="s">
        <v>205</v>
      </c>
      <c r="L33" t="s">
        <v>206</v>
      </c>
      <c r="N33" s="3">
        <v>928.9</v>
      </c>
      <c r="O33" s="3">
        <v>55</v>
      </c>
      <c r="P33" s="3">
        <v>84.7</v>
      </c>
      <c r="Q33" s="3">
        <v>1.54</v>
      </c>
      <c r="R33" s="3">
        <v>2079</v>
      </c>
      <c r="S33" s="3">
        <v>103.25</v>
      </c>
      <c r="T33" s="3">
        <v>206.67</v>
      </c>
      <c r="U33" s="3">
        <v>2</v>
      </c>
      <c r="V33" s="3">
        <v>2079</v>
      </c>
      <c r="W33" s="3">
        <v>61.76</v>
      </c>
      <c r="X33" s="3">
        <v>101.28</v>
      </c>
      <c r="Y33" s="3">
        <v>1.64</v>
      </c>
      <c r="AA33" s="3">
        <f>AVERAGE(5.8,7.3)</f>
        <v>6.55</v>
      </c>
      <c r="BK33" s="3">
        <v>1.26</v>
      </c>
      <c r="BM33" s="3">
        <v>2.15</v>
      </c>
    </row>
    <row r="34" spans="1:185" x14ac:dyDescent="0.25">
      <c r="A34">
        <v>10</v>
      </c>
      <c r="B34" t="s">
        <v>207</v>
      </c>
      <c r="C34">
        <v>2017</v>
      </c>
      <c r="D34" t="s">
        <v>169</v>
      </c>
      <c r="E34" t="s">
        <v>169</v>
      </c>
      <c r="F34" t="s">
        <v>169</v>
      </c>
      <c r="G34" s="2">
        <v>0</v>
      </c>
      <c r="H34" t="s">
        <v>208</v>
      </c>
      <c r="I34" t="s">
        <v>184</v>
      </c>
      <c r="J34" t="s">
        <v>199</v>
      </c>
      <c r="K34" t="s">
        <v>209</v>
      </c>
      <c r="L34" t="s">
        <v>174</v>
      </c>
      <c r="N34" s="3">
        <v>1143.02</v>
      </c>
      <c r="O34" s="3">
        <v>39.36</v>
      </c>
      <c r="P34" s="3">
        <v>58.17</v>
      </c>
      <c r="Q34" s="3">
        <v>1.48</v>
      </c>
      <c r="R34" s="3">
        <v>2099.4</v>
      </c>
      <c r="S34" s="3">
        <v>68.31</v>
      </c>
      <c r="T34" s="3">
        <v>163.76</v>
      </c>
      <c r="U34" s="3">
        <v>2.4</v>
      </c>
      <c r="V34" s="3">
        <v>2099.4</v>
      </c>
      <c r="W34" s="3">
        <v>49.01</v>
      </c>
      <c r="X34" s="3">
        <v>93.36</v>
      </c>
      <c r="Y34" s="3">
        <v>1.9</v>
      </c>
      <c r="CH34" s="3">
        <v>3.25</v>
      </c>
      <c r="CY34" s="3">
        <v>4.8899999999999997</v>
      </c>
      <c r="CZ34" s="3">
        <v>3.25</v>
      </c>
      <c r="FT34" s="3">
        <v>8.42</v>
      </c>
      <c r="FV34" s="3">
        <v>19.399999999999999</v>
      </c>
    </row>
    <row r="35" spans="1:185" x14ac:dyDescent="0.25">
      <c r="A35">
        <v>10</v>
      </c>
      <c r="B35" t="s">
        <v>207</v>
      </c>
      <c r="C35">
        <v>2017</v>
      </c>
      <c r="D35" t="s">
        <v>284</v>
      </c>
      <c r="E35" t="s">
        <v>284</v>
      </c>
      <c r="F35" t="s">
        <v>284</v>
      </c>
      <c r="G35" s="2">
        <v>200</v>
      </c>
      <c r="H35" t="s">
        <v>208</v>
      </c>
      <c r="I35" t="s">
        <v>184</v>
      </c>
      <c r="J35" t="s">
        <v>199</v>
      </c>
      <c r="K35" t="s">
        <v>209</v>
      </c>
      <c r="L35" t="s">
        <v>174</v>
      </c>
      <c r="N35" s="3">
        <f>40.9+O35*28</f>
        <v>1177.2600000000002</v>
      </c>
      <c r="O35" s="3">
        <f>(206.91+929.45)/28</f>
        <v>40.58428571428572</v>
      </c>
      <c r="P35" s="3">
        <f>(1386.42+241.75)/28</f>
        <v>58.148928571428577</v>
      </c>
      <c r="Q35" s="3">
        <f>P35/O35</f>
        <v>1.4327941849413917</v>
      </c>
      <c r="R35" s="3">
        <f>N35+S35*15</f>
        <v>2185.5</v>
      </c>
      <c r="S35" s="3">
        <f>(2144.6-929.45-206.91)/15</f>
        <v>67.215999999999994</v>
      </c>
      <c r="T35" s="3">
        <f>(3924.08-241.75-1386.42)/15</f>
        <v>153.06066666666666</v>
      </c>
      <c r="U35" s="3">
        <f>T35/S35</f>
        <v>2.2771463143695945</v>
      </c>
      <c r="V35" s="3">
        <f>R35</f>
        <v>2185.5</v>
      </c>
      <c r="W35" s="3">
        <f>2144.6/42</f>
        <v>51.061904761904756</v>
      </c>
      <c r="X35" s="3">
        <f>3924.08/42</f>
        <v>93.430476190476185</v>
      </c>
      <c r="Y35" s="3">
        <v>1.83</v>
      </c>
      <c r="CH35" s="3">
        <v>1.91</v>
      </c>
      <c r="CY35" s="3">
        <v>4.76</v>
      </c>
      <c r="CZ35" s="3">
        <v>1.91</v>
      </c>
      <c r="FT35" s="3">
        <v>9.3800000000000008</v>
      </c>
      <c r="FV35" s="3">
        <v>19.27</v>
      </c>
    </row>
    <row r="36" spans="1:185" x14ac:dyDescent="0.25">
      <c r="A36">
        <v>10</v>
      </c>
      <c r="B36" t="s">
        <v>207</v>
      </c>
      <c r="C36">
        <v>2017</v>
      </c>
      <c r="D36" t="s">
        <v>3</v>
      </c>
      <c r="E36" t="s">
        <v>175</v>
      </c>
      <c r="F36" t="s">
        <v>176</v>
      </c>
      <c r="G36" s="2">
        <v>250</v>
      </c>
      <c r="H36" t="s">
        <v>208</v>
      </c>
      <c r="I36" t="s">
        <v>184</v>
      </c>
      <c r="J36" t="s">
        <v>199</v>
      </c>
      <c r="K36" t="s">
        <v>209</v>
      </c>
      <c r="L36" t="s">
        <v>174</v>
      </c>
      <c r="N36" s="3">
        <v>1247.73</v>
      </c>
      <c r="O36" s="3">
        <v>43.1</v>
      </c>
      <c r="P36" s="3">
        <v>59.12</v>
      </c>
      <c r="Q36" s="3">
        <v>1.37</v>
      </c>
      <c r="R36" s="3">
        <v>2319.63</v>
      </c>
      <c r="S36" s="3">
        <v>76.56</v>
      </c>
      <c r="T36" s="3">
        <v>165.91</v>
      </c>
      <c r="U36" s="3">
        <v>2.17</v>
      </c>
      <c r="V36" s="3">
        <v>2319.63</v>
      </c>
      <c r="W36" s="3">
        <v>54.25</v>
      </c>
      <c r="X36" s="3">
        <v>94.72</v>
      </c>
      <c r="Y36" s="3">
        <v>1.75</v>
      </c>
      <c r="CH36" s="3">
        <v>1.92</v>
      </c>
      <c r="CY36" s="3">
        <v>5.15</v>
      </c>
      <c r="CZ36" s="3">
        <v>1.92</v>
      </c>
      <c r="FT36" s="3">
        <v>10.54</v>
      </c>
      <c r="FV36" s="3">
        <v>23.67</v>
      </c>
    </row>
    <row r="37" spans="1:185" x14ac:dyDescent="0.25">
      <c r="A37">
        <v>11</v>
      </c>
      <c r="B37" t="s">
        <v>210</v>
      </c>
      <c r="C37">
        <v>2015</v>
      </c>
      <c r="D37" t="s">
        <v>169</v>
      </c>
      <c r="E37" t="s">
        <v>169</v>
      </c>
      <c r="F37" t="s">
        <v>169</v>
      </c>
      <c r="G37" s="2">
        <v>0</v>
      </c>
      <c r="H37" t="s">
        <v>170</v>
      </c>
      <c r="I37" t="s">
        <v>184</v>
      </c>
      <c r="J37" t="s">
        <v>172</v>
      </c>
      <c r="K37" t="s">
        <v>211</v>
      </c>
      <c r="L37" t="s">
        <v>212</v>
      </c>
      <c r="N37" s="3">
        <v>834.82</v>
      </c>
      <c r="O37" s="3">
        <v>37.799999999999997</v>
      </c>
      <c r="P37" s="3">
        <v>49.17</v>
      </c>
      <c r="Q37" s="3">
        <v>1.3</v>
      </c>
      <c r="R37" s="3">
        <v>1260.42</v>
      </c>
      <c r="S37" s="3">
        <v>60.8</v>
      </c>
      <c r="T37" s="3">
        <v>109.9</v>
      </c>
      <c r="U37" s="3">
        <v>1.81</v>
      </c>
      <c r="V37" s="3">
        <v>1260.42</v>
      </c>
      <c r="W37" s="3">
        <v>43.55</v>
      </c>
      <c r="X37" s="3">
        <v>64.349999999999994</v>
      </c>
      <c r="Y37" s="3">
        <v>1.48</v>
      </c>
      <c r="DL37" s="3">
        <v>880.2</v>
      </c>
      <c r="DM37" s="3">
        <v>776.4</v>
      </c>
      <c r="DN37" s="3">
        <v>576</v>
      </c>
      <c r="DO37" s="3">
        <v>197.1</v>
      </c>
      <c r="DP37" s="3">
        <v>180.1</v>
      </c>
      <c r="DQ37" s="3">
        <v>146.69999999999999</v>
      </c>
      <c r="DR37" s="3">
        <f t="shared" ref="DR37:DT40" si="6">DL37/DO37</f>
        <v>4.4657534246575343</v>
      </c>
      <c r="DS37" s="3">
        <f t="shared" si="6"/>
        <v>4.31093836757357</v>
      </c>
      <c r="DT37" s="3">
        <f t="shared" si="6"/>
        <v>3.9263803680981599</v>
      </c>
      <c r="FZ37" s="3">
        <f>AVERAGE(DL37:DN37)</f>
        <v>744.19999999999993</v>
      </c>
      <c r="GA37" s="3">
        <f>AVERAGE(DO37:DQ37)</f>
        <v>174.63333333333333</v>
      </c>
      <c r="GB37" s="3">
        <f>FZ37/GA37</f>
        <v>4.261500286314182</v>
      </c>
    </row>
    <row r="38" spans="1:185" x14ac:dyDescent="0.25">
      <c r="A38">
        <v>11</v>
      </c>
      <c r="B38" t="s">
        <v>210</v>
      </c>
      <c r="C38">
        <v>2015</v>
      </c>
      <c r="D38" t="s">
        <v>213</v>
      </c>
      <c r="E38" t="s">
        <v>175</v>
      </c>
      <c r="F38" t="s">
        <v>177</v>
      </c>
      <c r="G38" s="2">
        <v>2.88</v>
      </c>
      <c r="H38" t="s">
        <v>170</v>
      </c>
      <c r="I38" t="s">
        <v>184</v>
      </c>
      <c r="J38" t="s">
        <v>172</v>
      </c>
      <c r="K38" t="s">
        <v>211</v>
      </c>
      <c r="L38" t="s">
        <v>212</v>
      </c>
      <c r="N38" s="3">
        <v>846.02</v>
      </c>
      <c r="O38" s="3">
        <v>38.33</v>
      </c>
      <c r="P38" s="3">
        <v>50.6</v>
      </c>
      <c r="Q38" s="3">
        <v>1.32</v>
      </c>
      <c r="R38" s="3">
        <v>1315.72</v>
      </c>
      <c r="S38" s="3">
        <v>67.099999999999994</v>
      </c>
      <c r="T38" s="3">
        <v>113.8</v>
      </c>
      <c r="U38" s="3">
        <v>1.7</v>
      </c>
      <c r="V38" s="3">
        <v>1315.72</v>
      </c>
      <c r="W38" s="3">
        <v>45.53</v>
      </c>
      <c r="X38" s="3">
        <v>66.400000000000006</v>
      </c>
      <c r="Y38" s="3">
        <v>1.46</v>
      </c>
      <c r="DL38" s="3">
        <v>906.6</v>
      </c>
      <c r="DM38" s="3">
        <v>873.6</v>
      </c>
      <c r="DN38" s="3">
        <v>608.70000000000005</v>
      </c>
      <c r="DO38" s="3">
        <v>177.8</v>
      </c>
      <c r="DP38" s="3">
        <v>146.5</v>
      </c>
      <c r="DQ38" s="3">
        <v>130.4</v>
      </c>
      <c r="DR38" s="3">
        <f t="shared" si="6"/>
        <v>5.0989876265466814</v>
      </c>
      <c r="DS38" s="3">
        <f t="shared" si="6"/>
        <v>5.9631399317406144</v>
      </c>
      <c r="DT38" s="3">
        <f t="shared" si="6"/>
        <v>4.6679447852760738</v>
      </c>
      <c r="FZ38" s="3">
        <f>AVERAGE(DL38:DN38)</f>
        <v>796.30000000000007</v>
      </c>
      <c r="GA38" s="3">
        <f>AVERAGE(DO38:DQ38)</f>
        <v>151.56666666666669</v>
      </c>
      <c r="GB38" s="3">
        <f>FZ38/GA38</f>
        <v>5.2537937101385523</v>
      </c>
    </row>
    <row r="39" spans="1:185" x14ac:dyDescent="0.25">
      <c r="A39">
        <v>11</v>
      </c>
      <c r="B39" t="s">
        <v>210</v>
      </c>
      <c r="C39">
        <v>2015</v>
      </c>
      <c r="D39" t="s">
        <v>213</v>
      </c>
      <c r="E39" t="s">
        <v>175</v>
      </c>
      <c r="F39" t="s">
        <v>177</v>
      </c>
      <c r="G39" s="2">
        <v>5.76</v>
      </c>
      <c r="H39" t="s">
        <v>170</v>
      </c>
      <c r="I39" t="s">
        <v>184</v>
      </c>
      <c r="J39" t="s">
        <v>172</v>
      </c>
      <c r="K39" t="s">
        <v>211</v>
      </c>
      <c r="L39" t="s">
        <v>212</v>
      </c>
      <c r="N39" s="3">
        <v>851.62</v>
      </c>
      <c r="O39" s="3">
        <v>38.6</v>
      </c>
      <c r="P39" s="3">
        <v>51.13</v>
      </c>
      <c r="Q39" s="3">
        <v>1.32</v>
      </c>
      <c r="R39" s="3">
        <v>1329.72</v>
      </c>
      <c r="S39" s="3">
        <v>68.3</v>
      </c>
      <c r="T39" s="3">
        <v>113.2</v>
      </c>
      <c r="U39" s="3">
        <v>1.66</v>
      </c>
      <c r="V39" s="3">
        <v>1329.72</v>
      </c>
      <c r="W39" s="3">
        <v>46.03</v>
      </c>
      <c r="X39" s="3">
        <v>66.650000000000006</v>
      </c>
      <c r="Y39" s="3">
        <v>1.45</v>
      </c>
      <c r="DL39" s="3">
        <v>1016.3</v>
      </c>
      <c r="DM39" s="3">
        <v>9032</v>
      </c>
      <c r="DN39" s="3">
        <v>624.1</v>
      </c>
      <c r="DO39" s="3">
        <v>192.4</v>
      </c>
      <c r="DP39" s="3">
        <v>168.7</v>
      </c>
      <c r="DQ39" s="3">
        <v>136.1</v>
      </c>
      <c r="DR39" s="3">
        <f t="shared" si="6"/>
        <v>5.2822245322245323</v>
      </c>
      <c r="DS39" s="3">
        <f t="shared" si="6"/>
        <v>53.538826318909308</v>
      </c>
      <c r="DT39" s="3">
        <f t="shared" si="6"/>
        <v>4.5855988243938288</v>
      </c>
      <c r="FZ39" s="3">
        <f>AVERAGE(DL39:DN39)</f>
        <v>3557.4666666666667</v>
      </c>
      <c r="GA39" s="3">
        <f>AVERAGE(DO39:DQ39)</f>
        <v>165.73333333333335</v>
      </c>
      <c r="GB39" s="3">
        <f>FZ39/GA39</f>
        <v>21.465004022526145</v>
      </c>
    </row>
    <row r="40" spans="1:185" x14ac:dyDescent="0.25">
      <c r="A40">
        <v>11</v>
      </c>
      <c r="B40" t="s">
        <v>210</v>
      </c>
      <c r="C40">
        <v>2015</v>
      </c>
      <c r="D40" t="s">
        <v>213</v>
      </c>
      <c r="E40" t="s">
        <v>175</v>
      </c>
      <c r="F40" t="s">
        <v>177</v>
      </c>
      <c r="G40" s="2">
        <v>11.52</v>
      </c>
      <c r="H40" t="s">
        <v>170</v>
      </c>
      <c r="I40" t="s">
        <v>184</v>
      </c>
      <c r="J40" t="s">
        <v>172</v>
      </c>
      <c r="K40" t="s">
        <v>211</v>
      </c>
      <c r="L40" t="s">
        <v>212</v>
      </c>
      <c r="N40" s="3">
        <v>829.22</v>
      </c>
      <c r="O40" s="3">
        <v>37.53</v>
      </c>
      <c r="P40" s="3">
        <v>49.13</v>
      </c>
      <c r="Q40" s="3">
        <v>1.31</v>
      </c>
      <c r="R40" s="3">
        <v>1298.92</v>
      </c>
      <c r="S40" s="3">
        <v>67.099999999999994</v>
      </c>
      <c r="T40" s="3">
        <v>109.1</v>
      </c>
      <c r="U40" s="3">
        <v>1.63</v>
      </c>
      <c r="V40" s="3">
        <v>1298.92</v>
      </c>
      <c r="W40" s="3">
        <v>44.93</v>
      </c>
      <c r="X40" s="3">
        <v>64.13</v>
      </c>
      <c r="Y40" s="3">
        <v>1.43</v>
      </c>
      <c r="DL40" s="3">
        <v>1104</v>
      </c>
      <c r="DM40" s="3">
        <v>918.8</v>
      </c>
      <c r="DN40" s="3">
        <v>651.4</v>
      </c>
      <c r="DO40" s="3">
        <v>186.8</v>
      </c>
      <c r="DP40" s="3">
        <v>174.8</v>
      </c>
      <c r="DQ40" s="3">
        <v>123.6</v>
      </c>
      <c r="DR40" s="3">
        <f t="shared" si="6"/>
        <v>5.9100642398286931</v>
      </c>
      <c r="DS40" s="3">
        <f t="shared" si="6"/>
        <v>5.2562929061784889</v>
      </c>
      <c r="DT40" s="3">
        <f t="shared" si="6"/>
        <v>5.2702265372168284</v>
      </c>
    </row>
    <row r="41" spans="1:185" x14ac:dyDescent="0.25">
      <c r="A41">
        <v>12</v>
      </c>
      <c r="B41" t="s">
        <v>214</v>
      </c>
      <c r="C41">
        <v>2016</v>
      </c>
      <c r="D41" t="s">
        <v>169</v>
      </c>
      <c r="E41" t="s">
        <v>169</v>
      </c>
      <c r="F41" t="s">
        <v>169</v>
      </c>
      <c r="G41" s="2">
        <v>0</v>
      </c>
      <c r="H41" t="s">
        <v>179</v>
      </c>
      <c r="I41" t="s">
        <v>171</v>
      </c>
      <c r="J41" t="s">
        <v>201</v>
      </c>
      <c r="K41" t="s">
        <v>215</v>
      </c>
      <c r="L41" t="s">
        <v>186</v>
      </c>
      <c r="V41" s="3">
        <f>44+35*W41</f>
        <v>1892</v>
      </c>
      <c r="W41" s="3">
        <v>52.8</v>
      </c>
      <c r="X41" s="3">
        <v>81.099999999999994</v>
      </c>
      <c r="Y41" s="3">
        <v>1.44</v>
      </c>
      <c r="CH41" s="3">
        <v>5</v>
      </c>
      <c r="CI41" s="3">
        <v>2.62</v>
      </c>
      <c r="CJ41" s="3">
        <v>4.76</v>
      </c>
      <c r="CK41" s="3">
        <v>7.15</v>
      </c>
      <c r="CL41" s="3">
        <v>7.15</v>
      </c>
      <c r="CU41" s="3">
        <v>5</v>
      </c>
      <c r="CV41" s="3">
        <v>2.62</v>
      </c>
      <c r="CW41" s="3">
        <v>4.76</v>
      </c>
      <c r="CX41" s="3">
        <v>7.15</v>
      </c>
      <c r="CY41" s="3">
        <v>7.15</v>
      </c>
    </row>
    <row r="42" spans="1:185" x14ac:dyDescent="0.25">
      <c r="A42">
        <v>12</v>
      </c>
      <c r="B42" t="s">
        <v>214</v>
      </c>
      <c r="C42">
        <v>2016</v>
      </c>
      <c r="D42" t="s">
        <v>287</v>
      </c>
      <c r="E42" t="s">
        <v>284</v>
      </c>
      <c r="F42" t="s">
        <v>284</v>
      </c>
      <c r="G42" s="2">
        <v>44</v>
      </c>
      <c r="H42" t="s">
        <v>179</v>
      </c>
      <c r="I42" t="s">
        <v>171</v>
      </c>
      <c r="J42" t="s">
        <v>201</v>
      </c>
      <c r="K42" t="s">
        <v>215</v>
      </c>
      <c r="L42" t="s">
        <v>186</v>
      </c>
      <c r="V42" s="3">
        <f>44+W42*35</f>
        <v>1552.5</v>
      </c>
      <c r="W42" s="3">
        <v>43.1</v>
      </c>
      <c r="X42" s="3">
        <v>75.099999999999994</v>
      </c>
      <c r="Y42" s="3">
        <v>1.62</v>
      </c>
      <c r="CH42" s="3">
        <v>5.17</v>
      </c>
      <c r="CI42" s="3">
        <v>2.67</v>
      </c>
      <c r="CJ42" s="3">
        <v>4.97</v>
      </c>
      <c r="CK42" s="3">
        <v>7.17</v>
      </c>
      <c r="CL42" s="3">
        <v>6.67</v>
      </c>
      <c r="CU42" s="3">
        <f>CU41*0.95</f>
        <v>4.75</v>
      </c>
      <c r="CV42" s="3">
        <f>CV41*0.95</f>
        <v>2.4889999999999999</v>
      </c>
      <c r="CW42" s="3">
        <f>CW41*0.95</f>
        <v>4.5219999999999994</v>
      </c>
      <c r="CX42" s="3">
        <f>CX41*0.95</f>
        <v>6.7925000000000004</v>
      </c>
    </row>
    <row r="43" spans="1:185" x14ac:dyDescent="0.25">
      <c r="A43">
        <v>12</v>
      </c>
      <c r="B43" t="s">
        <v>214</v>
      </c>
      <c r="C43">
        <v>2016</v>
      </c>
      <c r="D43" t="s">
        <v>190</v>
      </c>
      <c r="E43" t="s">
        <v>175</v>
      </c>
      <c r="F43" t="s">
        <v>176</v>
      </c>
      <c r="G43" s="2">
        <v>100</v>
      </c>
      <c r="H43" t="s">
        <v>179</v>
      </c>
      <c r="I43" t="s">
        <v>171</v>
      </c>
      <c r="J43" t="s">
        <v>201</v>
      </c>
      <c r="K43" t="s">
        <v>215</v>
      </c>
      <c r="L43" t="s">
        <v>186</v>
      </c>
      <c r="V43" s="3">
        <f>44+35*W43</f>
        <v>1874.5</v>
      </c>
      <c r="W43" s="3">
        <v>52.3</v>
      </c>
      <c r="X43" s="3">
        <v>80.900000000000006</v>
      </c>
      <c r="Y43" s="3">
        <v>1.45</v>
      </c>
      <c r="CH43" s="3">
        <v>4.67</v>
      </c>
      <c r="CI43" s="3">
        <v>2.52</v>
      </c>
      <c r="CJ43" s="3">
        <v>4.67</v>
      </c>
      <c r="CK43" s="3">
        <v>7.2</v>
      </c>
      <c r="CL43" s="3">
        <v>7.17</v>
      </c>
      <c r="CU43" s="3">
        <v>4.82</v>
      </c>
      <c r="CV43" s="3">
        <v>2.66</v>
      </c>
      <c r="CW43" s="3">
        <v>4.4000000000000004</v>
      </c>
      <c r="CX43" s="3">
        <v>7.01</v>
      </c>
      <c r="CY43" s="3">
        <v>7.04</v>
      </c>
    </row>
    <row r="44" spans="1:185" x14ac:dyDescent="0.25">
      <c r="A44">
        <v>13</v>
      </c>
      <c r="B44" t="s">
        <v>210</v>
      </c>
      <c r="C44">
        <v>2009</v>
      </c>
      <c r="D44" t="s">
        <v>169</v>
      </c>
      <c r="E44" t="s">
        <v>169</v>
      </c>
      <c r="F44" t="s">
        <v>169</v>
      </c>
      <c r="G44" s="2">
        <v>0</v>
      </c>
      <c r="H44" t="s">
        <v>216</v>
      </c>
      <c r="I44" t="s">
        <v>184</v>
      </c>
      <c r="J44" t="s">
        <v>184</v>
      </c>
      <c r="K44" t="s">
        <v>184</v>
      </c>
      <c r="L44" t="s">
        <v>174</v>
      </c>
      <c r="V44" s="3">
        <f>41+W44*49</f>
        <v>584.9</v>
      </c>
      <c r="W44" s="3">
        <v>11.1</v>
      </c>
      <c r="X44" s="3">
        <v>28.85</v>
      </c>
      <c r="Y44" s="3">
        <v>2.6</v>
      </c>
      <c r="DU44" s="3">
        <v>204</v>
      </c>
      <c r="DV44" s="3">
        <v>245</v>
      </c>
      <c r="DW44" s="3">
        <v>279</v>
      </c>
      <c r="GC44" s="3">
        <f>AVERAGE(DU44:DW44)</f>
        <v>242.66666666666666</v>
      </c>
    </row>
    <row r="45" spans="1:185" x14ac:dyDescent="0.25">
      <c r="A45">
        <v>13</v>
      </c>
      <c r="B45" t="s">
        <v>210</v>
      </c>
      <c r="C45">
        <v>2009</v>
      </c>
      <c r="D45" t="s">
        <v>217</v>
      </c>
      <c r="E45" t="s">
        <v>175</v>
      </c>
      <c r="F45" t="s">
        <v>218</v>
      </c>
      <c r="G45" s="2">
        <v>0.1</v>
      </c>
      <c r="H45" t="s">
        <v>216</v>
      </c>
      <c r="I45" t="s">
        <v>184</v>
      </c>
      <c r="J45" t="s">
        <v>184</v>
      </c>
      <c r="K45" t="s">
        <v>184</v>
      </c>
      <c r="L45" t="s">
        <v>174</v>
      </c>
      <c r="V45" s="3">
        <f>41+W45*49</f>
        <v>802.45999999999992</v>
      </c>
      <c r="W45" s="3">
        <v>15.54</v>
      </c>
      <c r="X45" s="3">
        <v>29.82</v>
      </c>
      <c r="Y45" s="3">
        <v>2.7</v>
      </c>
      <c r="DU45" s="3">
        <v>248</v>
      </c>
      <c r="DV45" s="3">
        <v>292</v>
      </c>
      <c r="DW45" s="3">
        <v>335</v>
      </c>
      <c r="GC45" s="3">
        <f>AVERAGE(DU45:DW45)</f>
        <v>291.66666666666669</v>
      </c>
    </row>
    <row r="46" spans="1:185" x14ac:dyDescent="0.25">
      <c r="A46">
        <v>14</v>
      </c>
      <c r="B46" t="s">
        <v>219</v>
      </c>
      <c r="C46">
        <v>2012</v>
      </c>
      <c r="D46" t="s">
        <v>169</v>
      </c>
      <c r="E46" t="s">
        <v>169</v>
      </c>
      <c r="F46" t="s">
        <v>169</v>
      </c>
      <c r="G46" s="2">
        <v>0</v>
      </c>
      <c r="H46" t="s">
        <v>220</v>
      </c>
      <c r="I46" t="s">
        <v>171</v>
      </c>
      <c r="J46" t="s">
        <v>204</v>
      </c>
      <c r="K46" t="s">
        <v>221</v>
      </c>
      <c r="L46" t="s">
        <v>222</v>
      </c>
      <c r="N46" s="3">
        <v>542</v>
      </c>
      <c r="O46" s="3">
        <v>21.4</v>
      </c>
      <c r="P46" s="3">
        <v>41.3</v>
      </c>
      <c r="Q46" s="3">
        <v>1.93</v>
      </c>
      <c r="R46" s="3">
        <v>1530.4</v>
      </c>
      <c r="S46" s="3">
        <v>70.599999999999994</v>
      </c>
      <c r="T46" s="3">
        <v>165</v>
      </c>
      <c r="U46" s="3">
        <v>2.34</v>
      </c>
      <c r="V46" s="3">
        <f>R46</f>
        <v>1530.4</v>
      </c>
      <c r="W46" s="3">
        <f t="shared" ref="W46:X50" si="7">AVERAGE(O46,S46)</f>
        <v>46</v>
      </c>
      <c r="X46" s="3">
        <f t="shared" si="7"/>
        <v>103.15</v>
      </c>
      <c r="Y46" s="3">
        <f t="shared" ref="Y46:Y53" si="8">X46/W46</f>
        <v>2.2423913043478261</v>
      </c>
      <c r="AL46" s="3">
        <v>48</v>
      </c>
      <c r="AO46" s="3">
        <f>0.24*1000*12.1</f>
        <v>2904</v>
      </c>
      <c r="AR46" s="3">
        <v>86.4</v>
      </c>
      <c r="AX46" s="3">
        <v>62.6</v>
      </c>
      <c r="AZ46" s="3">
        <f>0.24*1000*12.5</f>
        <v>3000</v>
      </c>
      <c r="BB46" s="3">
        <v>88.1</v>
      </c>
      <c r="DL46" s="3">
        <v>452</v>
      </c>
      <c r="DN46" s="3">
        <v>345</v>
      </c>
      <c r="DO46" s="3">
        <v>90</v>
      </c>
      <c r="DQ46" s="3">
        <v>143</v>
      </c>
      <c r="DR46" s="3">
        <f>DL46/DO46</f>
        <v>5.0222222222222221</v>
      </c>
      <c r="DT46" s="3">
        <f>DN46/DQ46</f>
        <v>2.4125874125874125</v>
      </c>
      <c r="FZ46" s="3">
        <f>AVERAGE(DL46:DN46)</f>
        <v>398.5</v>
      </c>
      <c r="GA46" s="3">
        <f>AVERAGE(DO46:DQ46)</f>
        <v>116.5</v>
      </c>
      <c r="GB46" s="3">
        <f>FZ46/GA46</f>
        <v>3.4206008583690988</v>
      </c>
    </row>
    <row r="47" spans="1:185" x14ac:dyDescent="0.25">
      <c r="A47">
        <v>14</v>
      </c>
      <c r="B47" t="s">
        <v>219</v>
      </c>
      <c r="C47">
        <v>2012</v>
      </c>
      <c r="D47" t="s">
        <v>223</v>
      </c>
      <c r="E47" t="s">
        <v>175</v>
      </c>
      <c r="F47" t="s">
        <v>176</v>
      </c>
      <c r="G47" s="2">
        <v>2</v>
      </c>
      <c r="H47" t="s">
        <v>220</v>
      </c>
      <c r="I47" t="s">
        <v>171</v>
      </c>
      <c r="J47" t="s">
        <v>204</v>
      </c>
      <c r="K47" t="s">
        <v>221</v>
      </c>
      <c r="L47" t="s">
        <v>222</v>
      </c>
      <c r="N47" s="3">
        <v>545.5</v>
      </c>
      <c r="O47" s="3">
        <v>21.5</v>
      </c>
      <c r="P47" s="3">
        <v>39.4</v>
      </c>
      <c r="Q47" s="3">
        <v>1.83</v>
      </c>
      <c r="R47" s="3">
        <v>1554.9</v>
      </c>
      <c r="S47" s="3">
        <v>72.099999999999994</v>
      </c>
      <c r="T47" s="3">
        <v>168</v>
      </c>
      <c r="U47" s="3">
        <v>2.33</v>
      </c>
      <c r="V47" s="3">
        <f>R47</f>
        <v>1554.9</v>
      </c>
      <c r="W47" s="3">
        <f t="shared" si="7"/>
        <v>46.8</v>
      </c>
      <c r="X47" s="3">
        <f t="shared" si="7"/>
        <v>103.7</v>
      </c>
      <c r="Y47" s="3">
        <f t="shared" si="8"/>
        <v>2.2158119658119659</v>
      </c>
      <c r="AL47" s="3">
        <v>49.9</v>
      </c>
      <c r="AO47" s="3">
        <f>0.24*1000*12.4</f>
        <v>2976</v>
      </c>
      <c r="AR47" s="3">
        <v>87.4</v>
      </c>
      <c r="AX47" s="3">
        <v>64.099999999999994</v>
      </c>
      <c r="AZ47" s="3">
        <f>0.24*1000*12.6</f>
        <v>3024</v>
      </c>
      <c r="BB47" s="3">
        <v>90.2</v>
      </c>
      <c r="DL47" s="3">
        <v>466</v>
      </c>
      <c r="DN47" s="3">
        <v>438</v>
      </c>
      <c r="DO47" s="3">
        <v>83</v>
      </c>
      <c r="DQ47" s="3">
        <v>94</v>
      </c>
      <c r="DR47" s="3">
        <f>DL47/DO47</f>
        <v>5.6144578313253009</v>
      </c>
      <c r="DT47" s="3">
        <f>DN47/DQ47</f>
        <v>4.6595744680851068</v>
      </c>
      <c r="FZ47" s="3">
        <f>AVERAGE(DL47:DN47)</f>
        <v>452</v>
      </c>
      <c r="GA47" s="3">
        <f>AVERAGE(DO47:DQ47)</f>
        <v>88.5</v>
      </c>
      <c r="GB47" s="3">
        <f>FZ47/GA47</f>
        <v>5.1073446327683616</v>
      </c>
    </row>
    <row r="48" spans="1:185" x14ac:dyDescent="0.25">
      <c r="A48">
        <v>14</v>
      </c>
      <c r="B48" t="s">
        <v>219</v>
      </c>
      <c r="C48">
        <v>2012</v>
      </c>
      <c r="D48" t="s">
        <v>223</v>
      </c>
      <c r="E48" t="s">
        <v>175</v>
      </c>
      <c r="F48" t="s">
        <v>176</v>
      </c>
      <c r="G48" s="2">
        <v>4</v>
      </c>
      <c r="H48" t="s">
        <v>220</v>
      </c>
      <c r="I48" t="s">
        <v>171</v>
      </c>
      <c r="J48" t="s">
        <v>204</v>
      </c>
      <c r="K48" t="s">
        <v>221</v>
      </c>
      <c r="L48" t="s">
        <v>222</v>
      </c>
      <c r="N48" s="3">
        <v>551.5</v>
      </c>
      <c r="O48" s="3">
        <v>21.9</v>
      </c>
      <c r="P48" s="3">
        <v>38.9</v>
      </c>
      <c r="Q48" s="3">
        <v>1.78</v>
      </c>
      <c r="R48" s="3">
        <v>1602.9</v>
      </c>
      <c r="S48" s="3">
        <v>75.099999999999994</v>
      </c>
      <c r="T48" s="3">
        <v>173</v>
      </c>
      <c r="U48" s="3">
        <v>2.2999999999999998</v>
      </c>
      <c r="V48" s="3">
        <f>R48</f>
        <v>1602.9</v>
      </c>
      <c r="W48" s="3">
        <f t="shared" si="7"/>
        <v>48.5</v>
      </c>
      <c r="X48" s="3">
        <f t="shared" si="7"/>
        <v>105.95</v>
      </c>
      <c r="Y48" s="3">
        <f t="shared" si="8"/>
        <v>2.184536082474227</v>
      </c>
      <c r="AL48" s="3">
        <v>50.6</v>
      </c>
      <c r="AO48" s="3">
        <f>0.24*1000*12.7</f>
        <v>3048</v>
      </c>
      <c r="AR48" s="3">
        <v>88.5</v>
      </c>
      <c r="AX48" s="3">
        <v>71.2</v>
      </c>
      <c r="AZ48" s="3">
        <f>0.24*1000*13</f>
        <v>3120</v>
      </c>
      <c r="BB48" s="3">
        <v>92.6</v>
      </c>
      <c r="DL48" s="3">
        <v>492</v>
      </c>
      <c r="DN48" s="3">
        <v>499</v>
      </c>
      <c r="DO48" s="3">
        <v>64</v>
      </c>
      <c r="DQ48" s="3">
        <v>65</v>
      </c>
      <c r="DR48" s="3">
        <f>DL48/DO48</f>
        <v>7.6875</v>
      </c>
      <c r="DT48" s="3">
        <f>DN48/DQ48</f>
        <v>7.6769230769230772</v>
      </c>
      <c r="FZ48" s="3">
        <f>AVERAGE(DL48:DN48)</f>
        <v>495.5</v>
      </c>
      <c r="GA48" s="3">
        <f>AVERAGE(DO48:DQ48)</f>
        <v>64.5</v>
      </c>
      <c r="GB48" s="3">
        <f>FZ48/GA48</f>
        <v>7.6821705426356592</v>
      </c>
    </row>
    <row r="49" spans="1:184" x14ac:dyDescent="0.25">
      <c r="A49">
        <v>14</v>
      </c>
      <c r="B49" t="s">
        <v>219</v>
      </c>
      <c r="C49">
        <v>2012</v>
      </c>
      <c r="D49" t="s">
        <v>223</v>
      </c>
      <c r="E49" t="s">
        <v>175</v>
      </c>
      <c r="F49" t="s">
        <v>176</v>
      </c>
      <c r="G49" s="2">
        <v>6</v>
      </c>
      <c r="H49" t="s">
        <v>220</v>
      </c>
      <c r="I49" t="s">
        <v>171</v>
      </c>
      <c r="J49" t="s">
        <v>204</v>
      </c>
      <c r="K49" t="s">
        <v>221</v>
      </c>
      <c r="L49" t="s">
        <v>222</v>
      </c>
      <c r="N49" s="3">
        <v>545</v>
      </c>
      <c r="O49" s="3">
        <v>21.6</v>
      </c>
      <c r="P49" s="3">
        <v>34.700000000000003</v>
      </c>
      <c r="Q49" s="3">
        <v>1.61</v>
      </c>
      <c r="R49" s="3">
        <v>1544.6</v>
      </c>
      <c r="S49" s="3">
        <v>71.400000000000006</v>
      </c>
      <c r="T49" s="3">
        <v>165</v>
      </c>
      <c r="U49" s="3">
        <v>2.31</v>
      </c>
      <c r="V49" s="3">
        <f>R49</f>
        <v>1544.6</v>
      </c>
      <c r="W49" s="3">
        <f t="shared" si="7"/>
        <v>46.5</v>
      </c>
      <c r="X49" s="3">
        <f t="shared" si="7"/>
        <v>99.85</v>
      </c>
      <c r="Y49" s="3">
        <f t="shared" si="8"/>
        <v>2.1473118279569889</v>
      </c>
      <c r="AL49" s="3">
        <v>52.6</v>
      </c>
      <c r="AO49" s="3">
        <f>0.24*1000*13.3</f>
        <v>3192</v>
      </c>
      <c r="AR49" s="3">
        <v>89.3</v>
      </c>
      <c r="AX49" s="3">
        <v>75</v>
      </c>
      <c r="AZ49" s="3">
        <f>0.24*1000*13.3</f>
        <v>3192</v>
      </c>
      <c r="BB49" s="3">
        <v>92.2</v>
      </c>
      <c r="DL49" s="3">
        <v>512</v>
      </c>
      <c r="DN49" s="3">
        <v>508</v>
      </c>
      <c r="DO49" s="3">
        <v>66</v>
      </c>
      <c r="DQ49" s="3">
        <v>64</v>
      </c>
      <c r="DR49" s="3">
        <f>DL49/DO49</f>
        <v>7.7575757575757578</v>
      </c>
      <c r="DT49" s="3">
        <f>DN49/DQ49</f>
        <v>7.9375</v>
      </c>
      <c r="FZ49" s="3">
        <f>AVERAGE(DL49:DN49)</f>
        <v>510</v>
      </c>
      <c r="GA49" s="3">
        <f>AVERAGE(DO49:DQ49)</f>
        <v>65</v>
      </c>
      <c r="GB49" s="3">
        <f>FZ49/GA49</f>
        <v>7.8461538461538458</v>
      </c>
    </row>
    <row r="50" spans="1:184" x14ac:dyDescent="0.25">
      <c r="A50">
        <v>14</v>
      </c>
      <c r="B50" t="s">
        <v>219</v>
      </c>
      <c r="C50">
        <v>2012</v>
      </c>
      <c r="D50" t="s">
        <v>223</v>
      </c>
      <c r="E50" t="s">
        <v>175</v>
      </c>
      <c r="F50" t="s">
        <v>176</v>
      </c>
      <c r="G50" s="2">
        <v>8</v>
      </c>
      <c r="H50" t="s">
        <v>220</v>
      </c>
      <c r="I50" t="s">
        <v>171</v>
      </c>
      <c r="J50" t="s">
        <v>204</v>
      </c>
      <c r="K50" t="s">
        <v>221</v>
      </c>
      <c r="L50" t="s">
        <v>222</v>
      </c>
      <c r="N50" s="3">
        <v>534</v>
      </c>
      <c r="O50" s="3">
        <v>20.8</v>
      </c>
      <c r="P50" s="3">
        <v>35.4</v>
      </c>
      <c r="Q50" s="3">
        <v>1.7</v>
      </c>
      <c r="R50" s="3">
        <v>1505.6</v>
      </c>
      <c r="S50" s="3">
        <v>69.400000000000006</v>
      </c>
      <c r="T50" s="3">
        <v>163</v>
      </c>
      <c r="U50" s="3">
        <v>2.35</v>
      </c>
      <c r="V50" s="3">
        <f>R50</f>
        <v>1505.6</v>
      </c>
      <c r="W50" s="3">
        <f t="shared" si="7"/>
        <v>45.1</v>
      </c>
      <c r="X50" s="3">
        <f t="shared" si="7"/>
        <v>99.2</v>
      </c>
      <c r="Y50" s="3">
        <f t="shared" si="8"/>
        <v>2.1995565410199558</v>
      </c>
      <c r="AL50" s="3">
        <v>53</v>
      </c>
      <c r="AO50" s="3">
        <f>0.24*1000*13.4</f>
        <v>3216</v>
      </c>
      <c r="AR50" s="3">
        <v>90.4</v>
      </c>
      <c r="AX50" s="3">
        <v>77.3</v>
      </c>
      <c r="AZ50" s="3">
        <f>0.24*1000*13.5</f>
        <v>3240</v>
      </c>
      <c r="BB50" s="3">
        <v>93.3</v>
      </c>
      <c r="DL50" s="3">
        <v>516</v>
      </c>
      <c r="DN50" s="3">
        <v>506</v>
      </c>
      <c r="DO50" s="3">
        <v>66</v>
      </c>
      <c r="DQ50" s="3">
        <v>62</v>
      </c>
      <c r="DR50" s="3">
        <f>DL50/DO50</f>
        <v>7.8181818181818183</v>
      </c>
      <c r="DT50" s="3">
        <f>DN50/DQ50</f>
        <v>8.1612903225806459</v>
      </c>
      <c r="FZ50" s="3">
        <f>AVERAGE(DL50:DN50)</f>
        <v>511</v>
      </c>
      <c r="GA50" s="3">
        <f>AVERAGE(DO50:DQ50)</f>
        <v>64</v>
      </c>
      <c r="GB50" s="3">
        <f>FZ50/GA50</f>
        <v>7.984375</v>
      </c>
    </row>
    <row r="51" spans="1:184" x14ac:dyDescent="0.25">
      <c r="A51">
        <v>15</v>
      </c>
      <c r="B51" t="s">
        <v>227</v>
      </c>
      <c r="C51">
        <v>2010</v>
      </c>
      <c r="D51" t="s">
        <v>169</v>
      </c>
      <c r="E51" t="s">
        <v>169</v>
      </c>
      <c r="F51" t="s">
        <v>169</v>
      </c>
      <c r="G51" s="2">
        <v>0</v>
      </c>
      <c r="H51" t="s">
        <v>170</v>
      </c>
      <c r="I51" t="s">
        <v>184</v>
      </c>
      <c r="J51" t="s">
        <v>212</v>
      </c>
      <c r="K51" t="s">
        <v>184</v>
      </c>
      <c r="L51" t="s">
        <v>212</v>
      </c>
      <c r="V51" s="3">
        <v>1265</v>
      </c>
      <c r="W51" s="3">
        <v>43.82</v>
      </c>
      <c r="X51" s="3">
        <v>64.400000000000006</v>
      </c>
      <c r="Y51" s="3">
        <f t="shared" si="8"/>
        <v>1.4696485623003197</v>
      </c>
      <c r="Z51" s="3">
        <v>8.3000000000000007</v>
      </c>
      <c r="FE51" s="3">
        <v>21.4</v>
      </c>
    </row>
    <row r="52" spans="1:184" x14ac:dyDescent="0.25">
      <c r="A52">
        <v>15</v>
      </c>
      <c r="B52" t="s">
        <v>227</v>
      </c>
      <c r="C52">
        <v>2010</v>
      </c>
      <c r="D52" t="s">
        <v>228</v>
      </c>
      <c r="E52" t="s">
        <v>175</v>
      </c>
      <c r="F52" t="s">
        <v>177</v>
      </c>
      <c r="G52" s="2">
        <v>0.5</v>
      </c>
      <c r="H52" t="s">
        <v>170</v>
      </c>
      <c r="I52" t="s">
        <v>184</v>
      </c>
      <c r="J52" t="s">
        <v>212</v>
      </c>
      <c r="K52" t="s">
        <v>184</v>
      </c>
      <c r="L52" t="s">
        <v>212</v>
      </c>
      <c r="V52" s="3">
        <v>1396</v>
      </c>
      <c r="W52" s="3">
        <v>48.5</v>
      </c>
      <c r="X52" s="3">
        <v>66.5</v>
      </c>
      <c r="Y52" s="3">
        <f t="shared" si="8"/>
        <v>1.3711340206185567</v>
      </c>
      <c r="Z52" s="3">
        <v>4.7</v>
      </c>
      <c r="FE52" s="3">
        <v>27.3</v>
      </c>
    </row>
    <row r="53" spans="1:184" x14ac:dyDescent="0.25">
      <c r="A53">
        <v>15</v>
      </c>
      <c r="B53" t="s">
        <v>227</v>
      </c>
      <c r="C53">
        <v>2010</v>
      </c>
      <c r="D53" t="s">
        <v>228</v>
      </c>
      <c r="E53" t="s">
        <v>175</v>
      </c>
      <c r="F53" t="s">
        <v>177</v>
      </c>
      <c r="G53" s="2">
        <v>1</v>
      </c>
      <c r="H53" t="s">
        <v>170</v>
      </c>
      <c r="I53" t="s">
        <v>184</v>
      </c>
      <c r="J53" t="s">
        <v>212</v>
      </c>
      <c r="K53" t="s">
        <v>184</v>
      </c>
      <c r="L53" t="s">
        <v>212</v>
      </c>
      <c r="V53" s="3">
        <v>1415</v>
      </c>
      <c r="W53" s="3">
        <v>49.18</v>
      </c>
      <c r="X53" s="3">
        <v>67.2</v>
      </c>
      <c r="Y53" s="3">
        <f t="shared" si="8"/>
        <v>1.3664091093940627</v>
      </c>
      <c r="Z53" s="3">
        <v>4.5</v>
      </c>
      <c r="FE53" s="3">
        <v>28.2</v>
      </c>
    </row>
    <row r="54" spans="1:184" x14ac:dyDescent="0.25">
      <c r="A54">
        <v>16</v>
      </c>
      <c r="B54" t="s">
        <v>229</v>
      </c>
      <c r="C54">
        <v>2010</v>
      </c>
      <c r="D54" t="s">
        <v>169</v>
      </c>
      <c r="E54" t="s">
        <v>169</v>
      </c>
      <c r="F54" t="s">
        <v>169</v>
      </c>
      <c r="G54" s="2">
        <v>0</v>
      </c>
      <c r="H54" t="s">
        <v>170</v>
      </c>
      <c r="I54" t="s">
        <v>184</v>
      </c>
      <c r="J54" t="s">
        <v>172</v>
      </c>
      <c r="K54" t="s">
        <v>184</v>
      </c>
      <c r="L54" t="s">
        <v>172</v>
      </c>
      <c r="V54" s="3">
        <v>694.15</v>
      </c>
      <c r="W54" s="3">
        <v>40.340000000000003</v>
      </c>
      <c r="X54" s="3">
        <v>59.65</v>
      </c>
      <c r="Y54" s="3">
        <v>1.44</v>
      </c>
      <c r="DL54" s="3">
        <v>983.85</v>
      </c>
      <c r="DM54" s="3">
        <v>782.83</v>
      </c>
      <c r="DO54" s="3">
        <v>110.86</v>
      </c>
      <c r="DP54" s="3">
        <v>111.28</v>
      </c>
      <c r="DR54" s="3">
        <f t="shared" ref="DR54:DS57" si="9">DL54/DO54</f>
        <v>8.8747068374526439</v>
      </c>
      <c r="DS54" s="3">
        <f t="shared" si="9"/>
        <v>7.034777138749102</v>
      </c>
      <c r="FZ54" s="3">
        <f>AVERAGE(DL54:DN54)</f>
        <v>883.34</v>
      </c>
      <c r="GA54" s="3">
        <f>AVERAGE(DO54:DQ54)</f>
        <v>111.07</v>
      </c>
      <c r="GB54" s="3">
        <f>FZ54/GA54</f>
        <v>7.9530026109660579</v>
      </c>
    </row>
    <row r="55" spans="1:184" x14ac:dyDescent="0.25">
      <c r="A55">
        <v>16</v>
      </c>
      <c r="B55" t="s">
        <v>229</v>
      </c>
      <c r="C55">
        <v>2010</v>
      </c>
      <c r="D55" t="s">
        <v>230</v>
      </c>
      <c r="E55" t="s">
        <v>175</v>
      </c>
      <c r="F55" t="s">
        <v>218</v>
      </c>
      <c r="G55" s="2">
        <v>0.33</v>
      </c>
      <c r="H55" t="s">
        <v>170</v>
      </c>
      <c r="I55" t="s">
        <v>184</v>
      </c>
      <c r="J55" t="s">
        <v>172</v>
      </c>
      <c r="K55" t="s">
        <v>184</v>
      </c>
      <c r="L55" t="s">
        <v>172</v>
      </c>
      <c r="V55" s="3">
        <v>742.55</v>
      </c>
      <c r="W55" s="3">
        <v>42.64</v>
      </c>
      <c r="X55" s="3">
        <v>60</v>
      </c>
      <c r="Y55" s="3">
        <v>1.4</v>
      </c>
      <c r="DL55" s="3">
        <v>1078.25</v>
      </c>
      <c r="DM55" s="3">
        <v>1014.94</v>
      </c>
      <c r="DO55" s="3">
        <v>125.83</v>
      </c>
      <c r="DP55" s="3">
        <v>139.05000000000001</v>
      </c>
      <c r="DR55" s="3">
        <f t="shared" si="9"/>
        <v>8.5691011682428666</v>
      </c>
      <c r="DS55" s="3">
        <f t="shared" si="9"/>
        <v>7.2991010427903626</v>
      </c>
      <c r="FZ55" s="3">
        <f>AVERAGE(DL55:DN55)</f>
        <v>1046.595</v>
      </c>
      <c r="GA55" s="3">
        <f>AVERAGE(DO55:DQ55)</f>
        <v>132.44</v>
      </c>
      <c r="GB55" s="3">
        <f>FZ55/GA55</f>
        <v>7.9024086378737541</v>
      </c>
    </row>
    <row r="56" spans="1:184" x14ac:dyDescent="0.25">
      <c r="A56">
        <v>17</v>
      </c>
      <c r="B56" t="s">
        <v>229</v>
      </c>
      <c r="C56">
        <v>2010</v>
      </c>
      <c r="D56" t="s">
        <v>169</v>
      </c>
      <c r="E56" t="s">
        <v>169</v>
      </c>
      <c r="F56" t="s">
        <v>169</v>
      </c>
      <c r="G56" s="2">
        <v>0</v>
      </c>
      <c r="H56" t="s">
        <v>170</v>
      </c>
      <c r="I56" t="s">
        <v>184</v>
      </c>
      <c r="J56" t="s">
        <v>172</v>
      </c>
      <c r="K56" t="s">
        <v>184</v>
      </c>
      <c r="L56" t="s">
        <v>172</v>
      </c>
      <c r="V56" s="3">
        <v>394.11</v>
      </c>
      <c r="W56" s="3">
        <v>15.02</v>
      </c>
      <c r="X56" s="3">
        <v>46.2</v>
      </c>
      <c r="Y56" s="3">
        <v>3.15</v>
      </c>
      <c r="DL56" s="3">
        <v>879.59</v>
      </c>
      <c r="DM56" s="3">
        <v>699.82</v>
      </c>
      <c r="DO56" s="3">
        <v>92.82</v>
      </c>
      <c r="DP56" s="3">
        <v>93.65</v>
      </c>
      <c r="DR56" s="3">
        <f t="shared" si="9"/>
        <v>9.4762982115923311</v>
      </c>
      <c r="DS56" s="3">
        <f t="shared" si="9"/>
        <v>7.4727175654030971</v>
      </c>
      <c r="FZ56" s="3">
        <f>AVERAGE(DL56:DN56)</f>
        <v>789.70500000000004</v>
      </c>
      <c r="GA56" s="3">
        <f>AVERAGE(DO56:DQ56)</f>
        <v>93.234999999999999</v>
      </c>
      <c r="GB56" s="3">
        <f>FZ56/GA56</f>
        <v>8.4700488014157784</v>
      </c>
    </row>
    <row r="57" spans="1:184" x14ac:dyDescent="0.25">
      <c r="A57">
        <v>17</v>
      </c>
      <c r="B57" t="s">
        <v>229</v>
      </c>
      <c r="C57">
        <v>2010</v>
      </c>
      <c r="D57" t="s">
        <v>230</v>
      </c>
      <c r="E57" t="s">
        <v>175</v>
      </c>
      <c r="F57" t="s">
        <v>218</v>
      </c>
      <c r="G57" s="2">
        <v>0.33</v>
      </c>
      <c r="H57" t="s">
        <v>170</v>
      </c>
      <c r="I57" t="s">
        <v>184</v>
      </c>
      <c r="J57" t="s">
        <v>172</v>
      </c>
      <c r="K57" t="s">
        <v>184</v>
      </c>
      <c r="L57" t="s">
        <v>172</v>
      </c>
      <c r="V57" s="3">
        <v>368.9</v>
      </c>
      <c r="W57" s="3">
        <v>15.22</v>
      </c>
      <c r="X57" s="3">
        <v>46.93</v>
      </c>
      <c r="Y57" s="3">
        <v>2.99</v>
      </c>
      <c r="DL57" s="3">
        <v>1008.31</v>
      </c>
      <c r="DM57" s="3">
        <v>827.15</v>
      </c>
      <c r="DO57" s="3">
        <v>114.54</v>
      </c>
      <c r="DP57" s="3">
        <v>104.69</v>
      </c>
      <c r="DR57" s="3">
        <f t="shared" si="9"/>
        <v>8.8031255456609028</v>
      </c>
      <c r="DS57" s="3">
        <f t="shared" si="9"/>
        <v>7.9009456490591266</v>
      </c>
      <c r="FZ57" s="3">
        <f>AVERAGE(DL57:DN57)</f>
        <v>917.73</v>
      </c>
      <c r="GA57" s="3">
        <f>AVERAGE(DO57:DQ57)</f>
        <v>109.61500000000001</v>
      </c>
      <c r="GB57" s="3">
        <f>FZ57/GA57</f>
        <v>8.3723030607124933</v>
      </c>
    </row>
    <row r="58" spans="1:184" x14ac:dyDescent="0.25">
      <c r="A58">
        <v>18</v>
      </c>
      <c r="B58" t="s">
        <v>231</v>
      </c>
      <c r="C58">
        <v>2010</v>
      </c>
      <c r="D58" t="s">
        <v>169</v>
      </c>
      <c r="E58" t="s">
        <v>169</v>
      </c>
      <c r="F58" t="s">
        <v>169</v>
      </c>
      <c r="G58" s="2">
        <v>0</v>
      </c>
      <c r="H58" t="s">
        <v>196</v>
      </c>
      <c r="I58" t="s">
        <v>171</v>
      </c>
      <c r="J58" t="s">
        <v>212</v>
      </c>
      <c r="K58" t="s">
        <v>184</v>
      </c>
      <c r="L58" t="s">
        <v>212</v>
      </c>
      <c r="V58" s="3">
        <v>685</v>
      </c>
      <c r="W58" s="3">
        <v>24.46</v>
      </c>
      <c r="X58" s="3">
        <v>53.16</v>
      </c>
      <c r="Y58" s="3">
        <v>2.17</v>
      </c>
      <c r="Z58" s="3">
        <v>32.06</v>
      </c>
      <c r="AA58" s="3">
        <v>1.4</v>
      </c>
    </row>
    <row r="59" spans="1:184" x14ac:dyDescent="0.25">
      <c r="A59">
        <v>18</v>
      </c>
      <c r="B59" t="s">
        <v>231</v>
      </c>
      <c r="C59">
        <v>2010</v>
      </c>
      <c r="D59" t="s">
        <v>284</v>
      </c>
      <c r="E59" t="s">
        <v>284</v>
      </c>
      <c r="F59" t="s">
        <v>284</v>
      </c>
      <c r="G59" s="2">
        <v>55</v>
      </c>
      <c r="H59" t="s">
        <v>196</v>
      </c>
      <c r="I59" t="s">
        <v>171</v>
      </c>
      <c r="J59" t="s">
        <v>212</v>
      </c>
      <c r="K59" t="s">
        <v>184</v>
      </c>
      <c r="L59" t="s">
        <v>212</v>
      </c>
      <c r="V59" s="3">
        <v>898</v>
      </c>
      <c r="W59" s="3">
        <f>V59/28</f>
        <v>32.071428571428569</v>
      </c>
      <c r="X59" s="3">
        <f>W59*Y59</f>
        <v>57.920999999999999</v>
      </c>
      <c r="Y59" s="3">
        <v>1.806</v>
      </c>
      <c r="Z59" s="3">
        <v>9.4</v>
      </c>
      <c r="AA59" s="3">
        <v>0.4</v>
      </c>
    </row>
    <row r="60" spans="1:184" x14ac:dyDescent="0.25">
      <c r="A60">
        <v>18</v>
      </c>
      <c r="B60" t="s">
        <v>231</v>
      </c>
      <c r="C60">
        <v>2010</v>
      </c>
      <c r="D60" t="s">
        <v>190</v>
      </c>
      <c r="E60" t="s">
        <v>175</v>
      </c>
      <c r="F60" t="s">
        <v>176</v>
      </c>
      <c r="G60" s="2">
        <v>200</v>
      </c>
      <c r="H60" t="s">
        <v>196</v>
      </c>
      <c r="I60" t="s">
        <v>171</v>
      </c>
      <c r="J60" t="s">
        <v>212</v>
      </c>
      <c r="K60" t="s">
        <v>184</v>
      </c>
      <c r="L60" t="s">
        <v>212</v>
      </c>
      <c r="V60" s="3">
        <v>872</v>
      </c>
      <c r="W60" s="3">
        <v>31.14</v>
      </c>
      <c r="X60" s="3">
        <v>57.68</v>
      </c>
      <c r="Y60" s="3">
        <v>1.85</v>
      </c>
      <c r="Z60" s="3">
        <v>15.84</v>
      </c>
      <c r="AA60" s="3">
        <v>0.6</v>
      </c>
    </row>
    <row r="61" spans="1:184" x14ac:dyDescent="0.25">
      <c r="A61">
        <v>19</v>
      </c>
      <c r="B61" t="s">
        <v>231</v>
      </c>
      <c r="C61">
        <v>2010</v>
      </c>
      <c r="D61" t="s">
        <v>169</v>
      </c>
      <c r="E61" t="s">
        <v>169</v>
      </c>
      <c r="F61" t="s">
        <v>169</v>
      </c>
      <c r="G61" s="2">
        <v>0</v>
      </c>
      <c r="H61" t="s">
        <v>196</v>
      </c>
      <c r="I61" t="s">
        <v>171</v>
      </c>
      <c r="J61" t="s">
        <v>212</v>
      </c>
      <c r="K61" t="s">
        <v>184</v>
      </c>
      <c r="L61" t="s">
        <v>212</v>
      </c>
      <c r="V61" s="3">
        <v>685</v>
      </c>
      <c r="W61" s="3">
        <v>24.46</v>
      </c>
      <c r="X61" s="3">
        <v>53.16</v>
      </c>
      <c r="Y61" s="3">
        <v>2.17</v>
      </c>
      <c r="Z61" s="3">
        <v>32.06</v>
      </c>
      <c r="AA61" s="3">
        <v>1.4</v>
      </c>
    </row>
    <row r="62" spans="1:184" x14ac:dyDescent="0.25">
      <c r="A62">
        <v>19</v>
      </c>
      <c r="B62" t="s">
        <v>231</v>
      </c>
      <c r="C62">
        <v>2010</v>
      </c>
      <c r="D62" t="s">
        <v>284</v>
      </c>
      <c r="E62" t="s">
        <v>284</v>
      </c>
      <c r="F62" t="s">
        <v>284</v>
      </c>
      <c r="G62" s="2">
        <v>55</v>
      </c>
      <c r="H62" t="s">
        <v>196</v>
      </c>
      <c r="I62" t="s">
        <v>171</v>
      </c>
      <c r="J62" t="s">
        <v>212</v>
      </c>
      <c r="K62" t="s">
        <v>184</v>
      </c>
      <c r="L62" t="s">
        <v>212</v>
      </c>
      <c r="V62" s="3">
        <f t="shared" ref="V62:AA62" si="10">V59</f>
        <v>898</v>
      </c>
      <c r="W62" s="3">
        <f t="shared" si="10"/>
        <v>32.071428571428569</v>
      </c>
      <c r="X62" s="3">
        <f t="shared" si="10"/>
        <v>57.920999999999999</v>
      </c>
      <c r="Y62" s="3">
        <f t="shared" si="10"/>
        <v>1.806</v>
      </c>
      <c r="Z62" s="3">
        <f t="shared" si="10"/>
        <v>9.4</v>
      </c>
      <c r="AA62" s="3">
        <f t="shared" si="10"/>
        <v>0.4</v>
      </c>
    </row>
    <row r="63" spans="1:184" x14ac:dyDescent="0.25">
      <c r="A63">
        <v>19</v>
      </c>
      <c r="B63" t="s">
        <v>231</v>
      </c>
      <c r="C63">
        <v>2010</v>
      </c>
      <c r="D63" t="s">
        <v>232</v>
      </c>
      <c r="E63" t="s">
        <v>175</v>
      </c>
      <c r="F63" t="s">
        <v>176</v>
      </c>
      <c r="G63" s="2">
        <v>200</v>
      </c>
      <c r="H63" t="s">
        <v>196</v>
      </c>
      <c r="I63" t="s">
        <v>171</v>
      </c>
      <c r="J63" t="s">
        <v>212</v>
      </c>
      <c r="K63" t="s">
        <v>184</v>
      </c>
      <c r="L63" t="s">
        <v>212</v>
      </c>
      <c r="V63" s="3">
        <v>892</v>
      </c>
      <c r="W63" s="3">
        <v>31.86</v>
      </c>
      <c r="X63" s="3">
        <v>59.22</v>
      </c>
      <c r="Y63" s="3">
        <v>1.86</v>
      </c>
      <c r="Z63" s="3">
        <v>9.0399999999999991</v>
      </c>
      <c r="AA63" s="3">
        <v>0.8</v>
      </c>
    </row>
    <row r="64" spans="1:184" x14ac:dyDescent="0.25">
      <c r="A64">
        <v>20</v>
      </c>
      <c r="B64" t="s">
        <v>233</v>
      </c>
      <c r="C64">
        <v>2018</v>
      </c>
      <c r="D64" t="s">
        <v>169</v>
      </c>
      <c r="E64" t="s">
        <v>169</v>
      </c>
      <c r="F64" t="s">
        <v>169</v>
      </c>
      <c r="G64" s="2">
        <v>0</v>
      </c>
      <c r="H64" t="s">
        <v>179</v>
      </c>
      <c r="I64" t="s">
        <v>171</v>
      </c>
      <c r="J64" t="s">
        <v>172</v>
      </c>
      <c r="K64" t="s">
        <v>184</v>
      </c>
      <c r="L64" t="s">
        <v>186</v>
      </c>
      <c r="N64" s="3">
        <v>759.94</v>
      </c>
      <c r="O64" s="3">
        <v>34.14</v>
      </c>
      <c r="P64" s="3">
        <v>54.95</v>
      </c>
      <c r="Q64" s="3">
        <v>1.5920000000000001</v>
      </c>
      <c r="V64" s="3">
        <v>1747.85</v>
      </c>
      <c r="W64" s="3">
        <v>48.71</v>
      </c>
      <c r="X64" s="3">
        <f>Y64*W64</f>
        <v>76.815669999999997</v>
      </c>
      <c r="Y64" s="3">
        <v>1.577</v>
      </c>
      <c r="Z64" s="3">
        <v>5.71</v>
      </c>
      <c r="BE64" s="3">
        <v>13.14</v>
      </c>
      <c r="BX64" s="3">
        <v>2.9929999999999999</v>
      </c>
      <c r="BY64" s="3">
        <v>1.091</v>
      </c>
      <c r="BZ64" s="3">
        <v>1.7450000000000001</v>
      </c>
      <c r="CA64" s="3">
        <v>0.624</v>
      </c>
      <c r="CB64" s="3">
        <v>127.3</v>
      </c>
      <c r="CD64" s="3">
        <v>92.61</v>
      </c>
      <c r="CE64" s="3">
        <v>0.23899999999999999</v>
      </c>
      <c r="CF64" s="3">
        <v>6.3010000000000002</v>
      </c>
      <c r="DL64" s="3">
        <v>753</v>
      </c>
      <c r="DO64" s="3">
        <v>155</v>
      </c>
      <c r="DR64" s="3">
        <f t="shared" ref="DR64:DR73" si="11">DL64/DO64</f>
        <v>4.8580645161290326</v>
      </c>
      <c r="FL64" s="3">
        <v>2.234</v>
      </c>
      <c r="FT64" s="3">
        <v>6.1559999999999997</v>
      </c>
      <c r="FZ64" s="3">
        <f t="shared" ref="FZ64:FZ73" si="12">AVERAGE(DL64:DN64)</f>
        <v>753</v>
      </c>
      <c r="GA64" s="3">
        <f t="shared" ref="GA64:GA73" si="13">AVERAGE(DO64:DQ64)</f>
        <v>155</v>
      </c>
      <c r="GB64" s="3">
        <f t="shared" ref="GB64:GB73" si="14">FZ64/GA64</f>
        <v>4.8580645161290326</v>
      </c>
    </row>
    <row r="65" spans="1:185" x14ac:dyDescent="0.25">
      <c r="A65">
        <v>20</v>
      </c>
      <c r="B65" t="s">
        <v>233</v>
      </c>
      <c r="C65">
        <v>2018</v>
      </c>
      <c r="D65" t="s">
        <v>228</v>
      </c>
      <c r="E65" t="s">
        <v>175</v>
      </c>
      <c r="F65" t="s">
        <v>176</v>
      </c>
      <c r="G65" s="2">
        <v>0.01</v>
      </c>
      <c r="H65" t="s">
        <v>179</v>
      </c>
      <c r="I65" t="s">
        <v>171</v>
      </c>
      <c r="J65" t="s">
        <v>172</v>
      </c>
      <c r="K65" t="s">
        <v>184</v>
      </c>
      <c r="L65" t="s">
        <v>186</v>
      </c>
      <c r="N65" s="3">
        <v>757</v>
      </c>
      <c r="O65" s="3">
        <v>34</v>
      </c>
      <c r="P65" s="3">
        <v>54.52</v>
      </c>
      <c r="Q65" s="3">
        <v>1.57</v>
      </c>
      <c r="V65" s="3">
        <v>1754.85</v>
      </c>
      <c r="W65" s="3">
        <v>48.91</v>
      </c>
      <c r="X65" s="3">
        <f>Y65*W65</f>
        <v>77.228889999999993</v>
      </c>
      <c r="Y65" s="3">
        <v>1.579</v>
      </c>
      <c r="Z65" s="3">
        <v>4</v>
      </c>
      <c r="BE65" s="3">
        <v>14.55</v>
      </c>
      <c r="BX65" s="3">
        <v>2.8010000000000002</v>
      </c>
      <c r="BY65" s="3">
        <v>1.0640000000000001</v>
      </c>
      <c r="BZ65" s="3">
        <v>1.58</v>
      </c>
      <c r="CA65" s="3">
        <v>0.68899999999999995</v>
      </c>
      <c r="CB65" s="3">
        <v>105.1</v>
      </c>
      <c r="CD65" s="3">
        <v>79.81</v>
      </c>
      <c r="CE65" s="3">
        <v>0.22900000000000001</v>
      </c>
      <c r="CF65" s="3">
        <v>5.7469999999999999</v>
      </c>
      <c r="DL65" s="3">
        <v>820</v>
      </c>
      <c r="DO65" s="3">
        <v>167</v>
      </c>
      <c r="DR65" s="3">
        <f t="shared" si="11"/>
        <v>4.9101796407185629</v>
      </c>
      <c r="FL65" s="3">
        <v>2.577</v>
      </c>
      <c r="FT65" s="3">
        <v>7.5129999999999999</v>
      </c>
      <c r="FZ65" s="3">
        <f t="shared" si="12"/>
        <v>820</v>
      </c>
      <c r="GA65" s="3">
        <f t="shared" si="13"/>
        <v>167</v>
      </c>
      <c r="GB65" s="3">
        <f t="shared" si="14"/>
        <v>4.9101796407185629</v>
      </c>
    </row>
    <row r="66" spans="1:185" x14ac:dyDescent="0.25">
      <c r="A66">
        <v>20</v>
      </c>
      <c r="B66" t="s">
        <v>233</v>
      </c>
      <c r="C66">
        <v>2018</v>
      </c>
      <c r="D66" t="s">
        <v>228</v>
      </c>
      <c r="E66" t="s">
        <v>175</v>
      </c>
      <c r="F66" t="s">
        <v>176</v>
      </c>
      <c r="G66" s="2">
        <v>0.05</v>
      </c>
      <c r="H66" t="s">
        <v>179</v>
      </c>
      <c r="I66" t="s">
        <v>171</v>
      </c>
      <c r="J66" t="s">
        <v>172</v>
      </c>
      <c r="K66" t="s">
        <v>184</v>
      </c>
      <c r="L66" t="s">
        <v>186</v>
      </c>
      <c r="N66" s="3">
        <v>801.94</v>
      </c>
      <c r="O66" s="3">
        <v>36.14</v>
      </c>
      <c r="P66" s="3">
        <v>55.05</v>
      </c>
      <c r="Q66" s="3">
        <v>1.526</v>
      </c>
      <c r="V66" s="3">
        <v>1776.9</v>
      </c>
      <c r="W66" s="3">
        <v>49.54</v>
      </c>
      <c r="X66" s="3">
        <f>Y66*W66</f>
        <v>77.381479999999996</v>
      </c>
      <c r="Y66" s="3">
        <v>1.5620000000000001</v>
      </c>
      <c r="Z66" s="3">
        <v>2.29</v>
      </c>
      <c r="BE66" s="3">
        <v>13.59</v>
      </c>
      <c r="BX66" s="3">
        <v>2.7930000000000001</v>
      </c>
      <c r="BY66" s="3">
        <v>1.089</v>
      </c>
      <c r="BZ66" s="3">
        <v>1.663</v>
      </c>
      <c r="CA66" s="3">
        <v>0.66300000000000003</v>
      </c>
      <c r="CB66" s="3">
        <v>121.9</v>
      </c>
      <c r="CD66" s="3">
        <v>89.4</v>
      </c>
      <c r="CE66" s="3">
        <v>0.21</v>
      </c>
      <c r="CF66" s="3">
        <v>5.9969999999999999</v>
      </c>
      <c r="DL66" s="3">
        <v>765</v>
      </c>
      <c r="DO66" s="3">
        <v>172</v>
      </c>
      <c r="DR66" s="3">
        <f t="shared" si="11"/>
        <v>4.4476744186046515</v>
      </c>
      <c r="FL66" s="3">
        <v>2.6339999999999999</v>
      </c>
      <c r="FT66" s="3">
        <v>7.2469999999999999</v>
      </c>
      <c r="FZ66" s="3">
        <f t="shared" si="12"/>
        <v>765</v>
      </c>
      <c r="GA66" s="3">
        <f t="shared" si="13"/>
        <v>172</v>
      </c>
      <c r="GB66" s="3">
        <f t="shared" si="14"/>
        <v>4.4476744186046515</v>
      </c>
    </row>
    <row r="67" spans="1:185" x14ac:dyDescent="0.25">
      <c r="A67">
        <v>20</v>
      </c>
      <c r="B67" t="s">
        <v>233</v>
      </c>
      <c r="C67">
        <v>2018</v>
      </c>
      <c r="D67" t="s">
        <v>228</v>
      </c>
      <c r="E67" t="s">
        <v>175</v>
      </c>
      <c r="F67" t="s">
        <v>176</v>
      </c>
      <c r="G67" s="2">
        <v>0.1</v>
      </c>
      <c r="H67" t="s">
        <v>179</v>
      </c>
      <c r="I67" t="s">
        <v>171</v>
      </c>
      <c r="J67" t="s">
        <v>172</v>
      </c>
      <c r="K67" t="s">
        <v>184</v>
      </c>
      <c r="L67" t="s">
        <v>186</v>
      </c>
      <c r="N67" s="3">
        <v>816.01</v>
      </c>
      <c r="O67" s="3">
        <v>36.81</v>
      </c>
      <c r="P67" s="3">
        <v>55.43</v>
      </c>
      <c r="Q67" s="3">
        <v>1.508</v>
      </c>
      <c r="V67" s="3">
        <v>1828</v>
      </c>
      <c r="W67" s="3">
        <v>51</v>
      </c>
      <c r="X67" s="3">
        <f>Y67*W67</f>
        <v>78.132000000000005</v>
      </c>
      <c r="Y67" s="3">
        <v>1.532</v>
      </c>
      <c r="Z67" s="3">
        <v>2.86</v>
      </c>
      <c r="BE67" s="3">
        <v>14.49</v>
      </c>
      <c r="BX67" s="3">
        <v>2.7839999999999998</v>
      </c>
      <c r="BY67" s="3">
        <v>1.018</v>
      </c>
      <c r="BZ67" s="3">
        <v>1.627</v>
      </c>
      <c r="CA67" s="3">
        <v>0.64600000000000002</v>
      </c>
      <c r="CB67" s="3">
        <v>108.8</v>
      </c>
      <c r="CD67" s="3">
        <v>77.7</v>
      </c>
      <c r="CE67" s="3">
        <v>0.21099999999999999</v>
      </c>
      <c r="CF67" s="3">
        <v>6.1310000000000002</v>
      </c>
      <c r="DL67" s="3">
        <v>686</v>
      </c>
      <c r="DO67" s="3">
        <v>151</v>
      </c>
      <c r="DR67" s="3">
        <f t="shared" si="11"/>
        <v>4.5430463576158937</v>
      </c>
      <c r="FL67" s="3">
        <v>2.5390000000000001</v>
      </c>
      <c r="FT67" s="3">
        <v>6.2519999999999998</v>
      </c>
      <c r="FZ67" s="3">
        <f t="shared" si="12"/>
        <v>686</v>
      </c>
      <c r="GA67" s="3">
        <f t="shared" si="13"/>
        <v>151</v>
      </c>
      <c r="GB67" s="3">
        <f t="shared" si="14"/>
        <v>4.5430463576158937</v>
      </c>
    </row>
    <row r="68" spans="1:185" x14ac:dyDescent="0.25">
      <c r="A68">
        <v>20</v>
      </c>
      <c r="B68" t="s">
        <v>233</v>
      </c>
      <c r="C68">
        <v>2018</v>
      </c>
      <c r="D68" t="s">
        <v>228</v>
      </c>
      <c r="E68" t="s">
        <v>175</v>
      </c>
      <c r="F68" t="s">
        <v>176</v>
      </c>
      <c r="G68" s="2">
        <v>0.5</v>
      </c>
      <c r="H68" t="s">
        <v>179</v>
      </c>
      <c r="I68" t="s">
        <v>171</v>
      </c>
      <c r="J68" t="s">
        <v>172</v>
      </c>
      <c r="K68" t="s">
        <v>184</v>
      </c>
      <c r="L68" t="s">
        <v>186</v>
      </c>
      <c r="N68" s="3">
        <v>801.1</v>
      </c>
      <c r="O68" s="3">
        <v>36.1</v>
      </c>
      <c r="P68" s="3">
        <v>55.24</v>
      </c>
      <c r="Q68" s="3">
        <v>1.5369999999999999</v>
      </c>
      <c r="V68" s="3">
        <v>1788.1</v>
      </c>
      <c r="W68" s="3">
        <v>49.86</v>
      </c>
      <c r="X68" s="3">
        <f>Y68*W68</f>
        <v>78.180480000000003</v>
      </c>
      <c r="Y68" s="3">
        <v>1.5680000000000001</v>
      </c>
      <c r="Z68" s="3">
        <v>2.29</v>
      </c>
      <c r="BE68" s="3">
        <v>15.67</v>
      </c>
      <c r="BX68" s="3">
        <v>2.891</v>
      </c>
      <c r="BY68" s="3">
        <v>1.103</v>
      </c>
      <c r="BZ68" s="3">
        <v>1.524</v>
      </c>
      <c r="CA68" s="3">
        <v>0.73199999999999998</v>
      </c>
      <c r="CB68" s="3">
        <v>133.5</v>
      </c>
      <c r="CD68" s="3">
        <v>92.28</v>
      </c>
      <c r="CE68" s="3">
        <v>0.223</v>
      </c>
      <c r="CF68" s="3">
        <v>6.359</v>
      </c>
      <c r="DL68" s="3">
        <v>610</v>
      </c>
      <c r="DO68" s="3">
        <v>152</v>
      </c>
      <c r="DR68" s="3">
        <f t="shared" si="11"/>
        <v>4.0131578947368425</v>
      </c>
      <c r="FL68" s="3">
        <v>2.2989999999999999</v>
      </c>
      <c r="FT68" s="3">
        <v>6.1680000000000001</v>
      </c>
      <c r="FZ68" s="3">
        <f t="shared" si="12"/>
        <v>610</v>
      </c>
      <c r="GA68" s="3">
        <f t="shared" si="13"/>
        <v>152</v>
      </c>
      <c r="GB68" s="3">
        <f t="shared" si="14"/>
        <v>4.0131578947368425</v>
      </c>
    </row>
    <row r="69" spans="1:185" x14ac:dyDescent="0.25">
      <c r="A69">
        <v>21</v>
      </c>
      <c r="B69" t="s">
        <v>234</v>
      </c>
      <c r="C69">
        <v>2019</v>
      </c>
      <c r="D69" t="s">
        <v>169</v>
      </c>
      <c r="E69" t="s">
        <v>169</v>
      </c>
      <c r="F69" t="s">
        <v>169</v>
      </c>
      <c r="G69" s="2">
        <v>0</v>
      </c>
      <c r="H69" t="s">
        <v>179</v>
      </c>
      <c r="I69" t="s">
        <v>184</v>
      </c>
      <c r="J69" t="s">
        <v>201</v>
      </c>
      <c r="K69" t="s">
        <v>215</v>
      </c>
      <c r="L69" t="s">
        <v>186</v>
      </c>
      <c r="N69" s="3">
        <v>791.82</v>
      </c>
      <c r="O69" s="3">
        <v>31.2</v>
      </c>
      <c r="P69" s="3">
        <v>50.68</v>
      </c>
      <c r="Q69" s="3">
        <v>1.62</v>
      </c>
      <c r="R69" s="3">
        <v>1315.96</v>
      </c>
      <c r="S69" s="3">
        <v>60.66</v>
      </c>
      <c r="T69" s="3">
        <v>142.80000000000001</v>
      </c>
      <c r="U69" s="3">
        <v>2.35</v>
      </c>
      <c r="V69" s="3">
        <v>1315.96</v>
      </c>
      <c r="W69" s="3">
        <v>39.78</v>
      </c>
      <c r="X69" s="3">
        <v>78.099999999999994</v>
      </c>
      <c r="Y69" s="3">
        <v>1.96</v>
      </c>
      <c r="BE69" s="3">
        <v>21.76</v>
      </c>
      <c r="BI69" s="3">
        <v>2.31</v>
      </c>
      <c r="BJ69" s="3">
        <v>2.35</v>
      </c>
      <c r="CQ69" s="3">
        <v>9.3000000000000007</v>
      </c>
      <c r="CW69" s="3">
        <v>6.58</v>
      </c>
      <c r="CX69" s="3">
        <v>7.35</v>
      </c>
      <c r="CY69" s="3">
        <v>9.3000000000000007</v>
      </c>
      <c r="DL69" s="3">
        <v>1160</v>
      </c>
      <c r="DO69" s="3">
        <v>191.24</v>
      </c>
      <c r="DR69" s="3">
        <f t="shared" si="11"/>
        <v>6.0656766366868853</v>
      </c>
      <c r="FZ69" s="3">
        <f t="shared" si="12"/>
        <v>1160</v>
      </c>
      <c r="GA69" s="3">
        <f t="shared" si="13"/>
        <v>191.24</v>
      </c>
      <c r="GB69" s="3">
        <f t="shared" si="14"/>
        <v>6.0656766366868853</v>
      </c>
    </row>
    <row r="70" spans="1:185" x14ac:dyDescent="0.25">
      <c r="A70">
        <v>21</v>
      </c>
      <c r="B70" t="s">
        <v>234</v>
      </c>
      <c r="C70">
        <v>2019</v>
      </c>
      <c r="D70" t="s">
        <v>283</v>
      </c>
      <c r="E70" t="s">
        <v>284</v>
      </c>
      <c r="F70" t="s">
        <v>284</v>
      </c>
      <c r="G70" s="2">
        <v>10</v>
      </c>
      <c r="H70" t="s">
        <v>179</v>
      </c>
      <c r="I70" t="s">
        <v>184</v>
      </c>
      <c r="J70" t="s">
        <v>201</v>
      </c>
      <c r="K70" t="s">
        <v>215</v>
      </c>
      <c r="L70" t="s">
        <v>186</v>
      </c>
      <c r="N70" s="3">
        <f>O69*24-N69+(24*O70)</f>
        <v>665.93999999999994</v>
      </c>
      <c r="O70" s="3">
        <f>AVERAGE(17.94,41.14)</f>
        <v>29.54</v>
      </c>
      <c r="P70" s="3">
        <f>AVERAGE(24.55,73.84)</f>
        <v>49.195</v>
      </c>
      <c r="Q70" s="3">
        <f>AVERAGE(1.36,1.78)</f>
        <v>1.57</v>
      </c>
      <c r="R70" s="3">
        <f>49.14*32</f>
        <v>1572.48</v>
      </c>
      <c r="S70" s="3">
        <f>AVERAGE(61.32)</f>
        <v>61.32</v>
      </c>
      <c r="T70" s="3">
        <v>135.69999999999999</v>
      </c>
      <c r="U70" s="3">
        <v>2.2200000000000002</v>
      </c>
      <c r="V70" s="3">
        <f>R70</f>
        <v>1572.48</v>
      </c>
      <c r="W70" s="3">
        <f>AVERAGE(61.32,40.14)</f>
        <v>50.730000000000004</v>
      </c>
      <c r="X70" s="3">
        <f>AVERAGE(24.55,73.84)</f>
        <v>49.195</v>
      </c>
      <c r="Y70" s="3">
        <f>AVERAGE(2.22,1.94)</f>
        <v>2.08</v>
      </c>
      <c r="BE70" s="3">
        <v>22.26</v>
      </c>
      <c r="BI70" s="3">
        <v>2.1</v>
      </c>
      <c r="BJ70" s="3">
        <v>2.25</v>
      </c>
      <c r="CW70" s="3">
        <v>6.15</v>
      </c>
      <c r="CX70" s="3">
        <v>7.46</v>
      </c>
      <c r="CY70" s="3">
        <v>9.27</v>
      </c>
      <c r="DL70" s="3">
        <v>1181</v>
      </c>
      <c r="DO70" s="3">
        <v>196.79</v>
      </c>
      <c r="DR70" s="3">
        <f t="shared" si="11"/>
        <v>6.0013212053458007</v>
      </c>
      <c r="FZ70" s="3">
        <f t="shared" si="12"/>
        <v>1181</v>
      </c>
      <c r="GA70" s="3">
        <f t="shared" si="13"/>
        <v>196.79</v>
      </c>
      <c r="GB70" s="3">
        <f t="shared" si="14"/>
        <v>6.0013212053458007</v>
      </c>
    </row>
    <row r="71" spans="1:185" x14ac:dyDescent="0.25">
      <c r="A71">
        <v>21</v>
      </c>
      <c r="B71" t="s">
        <v>234</v>
      </c>
      <c r="C71">
        <v>2019</v>
      </c>
      <c r="D71" t="s">
        <v>235</v>
      </c>
      <c r="E71" t="s">
        <v>175</v>
      </c>
      <c r="F71" t="s">
        <v>176</v>
      </c>
      <c r="G71" s="2">
        <v>50</v>
      </c>
      <c r="H71" t="s">
        <v>179</v>
      </c>
      <c r="I71" t="s">
        <v>184</v>
      </c>
      <c r="J71" t="s">
        <v>201</v>
      </c>
      <c r="K71" t="s">
        <v>215</v>
      </c>
      <c r="L71" t="s">
        <v>186</v>
      </c>
      <c r="N71" s="3">
        <v>789.3</v>
      </c>
      <c r="O71" s="3">
        <v>31.1</v>
      </c>
      <c r="P71" s="3">
        <v>50.19</v>
      </c>
      <c r="Q71" s="3">
        <v>1.61</v>
      </c>
      <c r="R71" s="3">
        <v>1329.4</v>
      </c>
      <c r="S71" s="3">
        <v>62.32</v>
      </c>
      <c r="T71" s="3">
        <v>138.9</v>
      </c>
      <c r="U71" s="3">
        <v>2.23</v>
      </c>
      <c r="V71" s="3">
        <v>1329.4</v>
      </c>
      <c r="W71" s="3">
        <v>40.200000000000003</v>
      </c>
      <c r="X71" s="3">
        <v>77.23</v>
      </c>
      <c r="Y71" s="3">
        <v>1.92</v>
      </c>
      <c r="BE71" s="3">
        <v>23.34</v>
      </c>
      <c r="BI71" s="3">
        <v>2.0299999999999998</v>
      </c>
      <c r="BJ71" s="3">
        <v>2.36</v>
      </c>
      <c r="CQ71" s="3">
        <v>8.9700000000000006</v>
      </c>
      <c r="CW71" s="3">
        <v>6.49</v>
      </c>
      <c r="CX71" s="3">
        <v>7.52</v>
      </c>
      <c r="CY71" s="3">
        <v>8.9700000000000006</v>
      </c>
      <c r="DL71" s="3">
        <v>1176</v>
      </c>
      <c r="DO71" s="3">
        <v>188.22</v>
      </c>
      <c r="DR71" s="3">
        <f t="shared" si="11"/>
        <v>6.2480076506216129</v>
      </c>
      <c r="FZ71" s="3">
        <f t="shared" si="12"/>
        <v>1176</v>
      </c>
      <c r="GA71" s="3">
        <f t="shared" si="13"/>
        <v>188.22</v>
      </c>
      <c r="GB71" s="3">
        <f t="shared" si="14"/>
        <v>6.2480076506216129</v>
      </c>
    </row>
    <row r="72" spans="1:185" x14ac:dyDescent="0.25">
      <c r="A72">
        <v>21</v>
      </c>
      <c r="B72" t="s">
        <v>234</v>
      </c>
      <c r="C72">
        <v>2019</v>
      </c>
      <c r="D72" t="s">
        <v>235</v>
      </c>
      <c r="E72" t="s">
        <v>175</v>
      </c>
      <c r="F72" t="s">
        <v>176</v>
      </c>
      <c r="G72" s="2">
        <v>100</v>
      </c>
      <c r="H72" t="s">
        <v>179</v>
      </c>
      <c r="I72" t="s">
        <v>184</v>
      </c>
      <c r="J72" t="s">
        <v>201</v>
      </c>
      <c r="K72" t="s">
        <v>215</v>
      </c>
      <c r="L72" t="s">
        <v>186</v>
      </c>
      <c r="N72" s="3">
        <v>780.8</v>
      </c>
      <c r="O72" s="3">
        <v>30.74</v>
      </c>
      <c r="P72" s="3">
        <v>48.68</v>
      </c>
      <c r="Q72" s="3">
        <v>1.58</v>
      </c>
      <c r="R72" s="3">
        <v>1430.52</v>
      </c>
      <c r="S72" s="3">
        <v>67.66</v>
      </c>
      <c r="T72" s="3">
        <v>133.5</v>
      </c>
      <c r="U72" s="3">
        <v>1.97</v>
      </c>
      <c r="V72" s="3">
        <v>1430.52</v>
      </c>
      <c r="W72" s="3">
        <v>43.36</v>
      </c>
      <c r="X72" s="3">
        <v>74.56</v>
      </c>
      <c r="Y72" s="3">
        <v>1.72</v>
      </c>
      <c r="BE72" s="3">
        <v>23.09</v>
      </c>
      <c r="BI72" s="3">
        <v>2.14</v>
      </c>
      <c r="BJ72" s="3">
        <v>2.2599999999999998</v>
      </c>
      <c r="CQ72" s="3">
        <v>9.17</v>
      </c>
      <c r="CW72" s="3">
        <v>6.23</v>
      </c>
      <c r="CX72" s="3">
        <v>7.74</v>
      </c>
      <c r="CY72" s="3">
        <v>9.17</v>
      </c>
      <c r="DL72" s="3">
        <v>1193</v>
      </c>
      <c r="DO72" s="3">
        <v>190.41</v>
      </c>
      <c r="DR72" s="3">
        <f t="shared" si="11"/>
        <v>6.2654272359644976</v>
      </c>
      <c r="FZ72" s="3">
        <f t="shared" si="12"/>
        <v>1193</v>
      </c>
      <c r="GA72" s="3">
        <f t="shared" si="13"/>
        <v>190.41</v>
      </c>
      <c r="GB72" s="3">
        <f t="shared" si="14"/>
        <v>6.2654272359644976</v>
      </c>
    </row>
    <row r="73" spans="1:185" x14ac:dyDescent="0.25">
      <c r="A73">
        <v>21</v>
      </c>
      <c r="B73" t="s">
        <v>234</v>
      </c>
      <c r="C73">
        <v>2019</v>
      </c>
      <c r="D73" t="s">
        <v>235</v>
      </c>
      <c r="E73" t="s">
        <v>175</v>
      </c>
      <c r="F73" t="s">
        <v>176</v>
      </c>
      <c r="G73" s="2">
        <v>150</v>
      </c>
      <c r="H73" t="s">
        <v>179</v>
      </c>
      <c r="I73" t="s">
        <v>184</v>
      </c>
      <c r="J73" t="s">
        <v>201</v>
      </c>
      <c r="K73" t="s">
        <v>215</v>
      </c>
      <c r="L73" t="s">
        <v>186</v>
      </c>
      <c r="N73" s="3">
        <v>776.6</v>
      </c>
      <c r="O73" s="3">
        <v>30.57</v>
      </c>
      <c r="P73" s="3">
        <v>48.21</v>
      </c>
      <c r="Q73" s="3">
        <v>1.58</v>
      </c>
      <c r="R73" s="3">
        <v>1326.52</v>
      </c>
      <c r="S73" s="3">
        <v>62.76</v>
      </c>
      <c r="T73" s="3">
        <v>132.9</v>
      </c>
      <c r="U73" s="3">
        <v>2.12</v>
      </c>
      <c r="V73" s="3">
        <v>1326.52</v>
      </c>
      <c r="W73" s="3">
        <v>40.11</v>
      </c>
      <c r="X73" s="3">
        <v>74.040000000000006</v>
      </c>
      <c r="Y73" s="3">
        <v>1.85</v>
      </c>
      <c r="BE73" s="3">
        <v>21.61</v>
      </c>
      <c r="BI73" s="3">
        <v>2.08</v>
      </c>
      <c r="BJ73" s="3">
        <v>2.23</v>
      </c>
      <c r="CQ73" s="3">
        <v>9.31</v>
      </c>
      <c r="CW73" s="3">
        <v>6.11</v>
      </c>
      <c r="CX73" s="3">
        <v>7.47</v>
      </c>
      <c r="CY73" s="3">
        <v>9.31</v>
      </c>
      <c r="DL73" s="3">
        <v>1180</v>
      </c>
      <c r="DO73" s="3">
        <v>187.08</v>
      </c>
      <c r="DR73" s="3">
        <f t="shared" si="11"/>
        <v>6.3074620483215735</v>
      </c>
      <c r="FZ73" s="3">
        <f t="shared" si="12"/>
        <v>1180</v>
      </c>
      <c r="GA73" s="3">
        <f t="shared" si="13"/>
        <v>187.08</v>
      </c>
      <c r="GB73" s="3">
        <f t="shared" si="14"/>
        <v>6.3074620483215735</v>
      </c>
    </row>
    <row r="74" spans="1:185" x14ac:dyDescent="0.25">
      <c r="A74">
        <v>22</v>
      </c>
      <c r="B74" t="s">
        <v>236</v>
      </c>
      <c r="C74">
        <v>2009</v>
      </c>
      <c r="D74" t="s">
        <v>169</v>
      </c>
      <c r="E74" t="s">
        <v>169</v>
      </c>
      <c r="F74" t="s">
        <v>169</v>
      </c>
      <c r="G74" s="2">
        <v>0</v>
      </c>
      <c r="H74" t="s">
        <v>170</v>
      </c>
      <c r="I74" t="s">
        <v>184</v>
      </c>
      <c r="J74" t="s">
        <v>212</v>
      </c>
      <c r="K74" t="s">
        <v>237</v>
      </c>
      <c r="L74" t="s">
        <v>238</v>
      </c>
      <c r="N74" s="3">
        <v>936.56</v>
      </c>
      <c r="O74" s="3">
        <v>32.020000000000003</v>
      </c>
      <c r="P74" s="3">
        <v>63.89</v>
      </c>
      <c r="Q74" s="3">
        <v>2</v>
      </c>
      <c r="R74" s="3">
        <v>2352.8000000000002</v>
      </c>
      <c r="S74" s="3">
        <v>67.44</v>
      </c>
      <c r="T74" s="3">
        <v>162.52000000000001</v>
      </c>
      <c r="U74" s="3">
        <v>2.41</v>
      </c>
      <c r="V74" s="3">
        <v>2352.8000000000002</v>
      </c>
      <c r="W74" s="3">
        <f>(V74-40)/49</f>
        <v>47.2</v>
      </c>
      <c r="X74" s="3">
        <v>106.16</v>
      </c>
      <c r="Y74" s="3">
        <v>2.25</v>
      </c>
      <c r="DR74" s="3">
        <v>1.48</v>
      </c>
      <c r="DS74" s="3">
        <v>2.4900000000000002</v>
      </c>
      <c r="DT74" s="3">
        <v>2.56</v>
      </c>
      <c r="DU74" s="3">
        <v>133.19999999999999</v>
      </c>
      <c r="DV74" s="3">
        <v>193.8</v>
      </c>
      <c r="DW74" s="3">
        <v>184.7</v>
      </c>
      <c r="GC74" s="3">
        <f>AVERAGE(DU74:DW74)</f>
        <v>170.56666666666666</v>
      </c>
    </row>
    <row r="75" spans="1:185" x14ac:dyDescent="0.25">
      <c r="A75">
        <v>22</v>
      </c>
      <c r="B75" t="s">
        <v>236</v>
      </c>
      <c r="C75">
        <v>2009</v>
      </c>
      <c r="D75" t="s">
        <v>288</v>
      </c>
      <c r="E75" t="s">
        <v>284</v>
      </c>
      <c r="F75" t="s">
        <v>284</v>
      </c>
      <c r="G75" s="2">
        <v>3.2</v>
      </c>
      <c r="H75" t="s">
        <v>170</v>
      </c>
      <c r="I75" t="s">
        <v>184</v>
      </c>
      <c r="J75" t="s">
        <v>212</v>
      </c>
      <c r="K75" t="s">
        <v>237</v>
      </c>
      <c r="L75" t="s">
        <v>238</v>
      </c>
      <c r="N75" s="3">
        <f>O75*28+40</f>
        <v>939.92000000000007</v>
      </c>
      <c r="O75" s="3">
        <v>32.14</v>
      </c>
      <c r="P75" s="3">
        <v>64.36</v>
      </c>
      <c r="Q75" s="3">
        <v>2</v>
      </c>
      <c r="R75" s="3">
        <f>N75+S75*21</f>
        <v>2370.86</v>
      </c>
      <c r="S75" s="3">
        <v>68.14</v>
      </c>
      <c r="T75" s="3">
        <v>162.76</v>
      </c>
      <c r="U75" s="3">
        <v>2.39</v>
      </c>
      <c r="V75" s="3">
        <f>R75</f>
        <v>2370.86</v>
      </c>
      <c r="W75" s="3">
        <f>AVERAGE(S75,O75)</f>
        <v>50.14</v>
      </c>
      <c r="X75" s="3">
        <f>AVERAGE(T75,P75)</f>
        <v>113.56</v>
      </c>
      <c r="Y75" s="3">
        <f>AVERAGE(U75,Q75)</f>
        <v>2.1950000000000003</v>
      </c>
      <c r="DR75" s="3">
        <v>1.94</v>
      </c>
      <c r="DS75" s="3">
        <v>2.2799999999999998</v>
      </c>
      <c r="DT75" s="3">
        <v>2.35</v>
      </c>
      <c r="DU75" s="3">
        <v>90.7</v>
      </c>
      <c r="DV75" s="3">
        <v>159.80000000000001</v>
      </c>
      <c r="DW75" s="3">
        <v>148.9</v>
      </c>
      <c r="GC75" s="3">
        <f>AVERAGE(DU75:DW75)</f>
        <v>133.13333333333333</v>
      </c>
    </row>
    <row r="76" spans="1:185" x14ac:dyDescent="0.25">
      <c r="A76">
        <v>22</v>
      </c>
      <c r="B76" t="s">
        <v>236</v>
      </c>
      <c r="C76">
        <v>2009</v>
      </c>
      <c r="D76" t="s">
        <v>192</v>
      </c>
      <c r="E76" t="s">
        <v>175</v>
      </c>
      <c r="F76" t="s">
        <v>176</v>
      </c>
      <c r="G76" s="2">
        <v>80</v>
      </c>
      <c r="H76" t="s">
        <v>170</v>
      </c>
      <c r="I76" t="s">
        <v>184</v>
      </c>
      <c r="J76" t="s">
        <v>212</v>
      </c>
      <c r="K76" t="s">
        <v>237</v>
      </c>
      <c r="L76" t="s">
        <v>238</v>
      </c>
      <c r="N76" s="3">
        <v>956.44</v>
      </c>
      <c r="O76" s="3">
        <v>32.729999999999997</v>
      </c>
      <c r="P76" s="3">
        <v>63.39</v>
      </c>
      <c r="Q76" s="3">
        <v>1.94</v>
      </c>
      <c r="R76" s="3">
        <v>2381.08</v>
      </c>
      <c r="S76" s="3">
        <v>67.84</v>
      </c>
      <c r="T76" s="3">
        <v>159.47999999999999</v>
      </c>
      <c r="U76" s="3">
        <v>2.35</v>
      </c>
      <c r="V76" s="3">
        <v>2381.08</v>
      </c>
      <c r="W76" s="3">
        <f>(V76-40)/49</f>
        <v>47.777142857142856</v>
      </c>
      <c r="X76" s="3">
        <v>104.57</v>
      </c>
      <c r="Y76" s="3">
        <v>2.19</v>
      </c>
      <c r="DR76" s="3">
        <v>2.5299999999999998</v>
      </c>
      <c r="DS76" s="3">
        <v>2.52</v>
      </c>
      <c r="DT76" s="3">
        <v>2.57</v>
      </c>
      <c r="DU76" s="3">
        <v>107.2</v>
      </c>
      <c r="DV76" s="3">
        <v>179.6</v>
      </c>
      <c r="DW76" s="3">
        <v>134.30000000000001</v>
      </c>
      <c r="GC76" s="3">
        <f>AVERAGE(DU76:DW76)</f>
        <v>140.36666666666667</v>
      </c>
    </row>
    <row r="77" spans="1:185" x14ac:dyDescent="0.25">
      <c r="A77">
        <v>22</v>
      </c>
      <c r="B77" t="s">
        <v>236</v>
      </c>
      <c r="C77">
        <v>2009</v>
      </c>
      <c r="D77" t="s">
        <v>192</v>
      </c>
      <c r="E77" t="s">
        <v>175</v>
      </c>
      <c r="F77" t="s">
        <v>176</v>
      </c>
      <c r="G77" s="2">
        <v>120</v>
      </c>
      <c r="H77" t="s">
        <v>170</v>
      </c>
      <c r="I77" t="s">
        <v>184</v>
      </c>
      <c r="J77" t="s">
        <v>212</v>
      </c>
      <c r="K77" t="s">
        <v>237</v>
      </c>
      <c r="L77" t="s">
        <v>238</v>
      </c>
      <c r="N77" s="3">
        <v>957</v>
      </c>
      <c r="O77" s="3">
        <v>32.75</v>
      </c>
      <c r="P77" s="3">
        <v>62.93</v>
      </c>
      <c r="Q77" s="3">
        <v>1.92</v>
      </c>
      <c r="R77" s="3">
        <v>2422.8000000000002</v>
      </c>
      <c r="S77" s="3">
        <v>69.8</v>
      </c>
      <c r="T77" s="3">
        <v>161.06</v>
      </c>
      <c r="U77" s="3">
        <v>2.31</v>
      </c>
      <c r="V77" s="3">
        <v>2422.8000000000002</v>
      </c>
      <c r="W77" s="3">
        <f>(V77-40)/49</f>
        <v>48.628571428571433</v>
      </c>
      <c r="X77" s="3">
        <v>104.99</v>
      </c>
      <c r="Y77" s="3">
        <v>2.16</v>
      </c>
      <c r="DR77" s="3">
        <v>3.43</v>
      </c>
      <c r="DS77" s="3">
        <v>2.86</v>
      </c>
      <c r="DT77" s="3">
        <v>3.06</v>
      </c>
      <c r="DU77" s="3">
        <v>125.3</v>
      </c>
      <c r="DV77" s="3">
        <v>161</v>
      </c>
      <c r="DW77" s="3">
        <v>129.30000000000001</v>
      </c>
      <c r="GC77" s="3">
        <f>AVERAGE(DU77:DW77)</f>
        <v>138.53333333333333</v>
      </c>
    </row>
    <row r="78" spans="1:185" x14ac:dyDescent="0.25">
      <c r="A78">
        <v>22</v>
      </c>
      <c r="B78" t="s">
        <v>236</v>
      </c>
      <c r="C78">
        <v>2009</v>
      </c>
      <c r="D78" t="s">
        <v>192</v>
      </c>
      <c r="E78" t="s">
        <v>175</v>
      </c>
      <c r="F78" t="s">
        <v>176</v>
      </c>
      <c r="G78" s="2">
        <v>200</v>
      </c>
      <c r="H78" t="s">
        <v>170</v>
      </c>
      <c r="I78" t="s">
        <v>184</v>
      </c>
      <c r="J78" t="s">
        <v>212</v>
      </c>
      <c r="K78" t="s">
        <v>237</v>
      </c>
      <c r="L78" t="s">
        <v>238</v>
      </c>
      <c r="N78" s="3">
        <v>939.92</v>
      </c>
      <c r="O78" s="3">
        <v>32.14</v>
      </c>
      <c r="P78" s="3">
        <v>63.45</v>
      </c>
      <c r="Q78" s="3">
        <v>1.97</v>
      </c>
      <c r="R78" s="3">
        <v>2417.9</v>
      </c>
      <c r="S78" s="3">
        <v>70.38</v>
      </c>
      <c r="T78" s="3">
        <v>160.68</v>
      </c>
      <c r="U78" s="3">
        <v>2.2799999999999998</v>
      </c>
      <c r="V78" s="3">
        <v>2417.9</v>
      </c>
      <c r="W78" s="3">
        <f>(V78-40)/49</f>
        <v>48.528571428571432</v>
      </c>
      <c r="X78" s="3">
        <v>105.12</v>
      </c>
      <c r="Y78" s="3">
        <v>2.17</v>
      </c>
      <c r="DR78" s="3">
        <v>2.39</v>
      </c>
      <c r="DS78" s="3">
        <v>2.39</v>
      </c>
      <c r="DT78" s="3">
        <v>2.5499999999999998</v>
      </c>
      <c r="DU78" s="3">
        <v>122.4</v>
      </c>
      <c r="DV78" s="3">
        <v>141.5</v>
      </c>
      <c r="DW78" s="3">
        <v>128.19999999999999</v>
      </c>
      <c r="GC78" s="3">
        <f>AVERAGE(DU78:DW78)</f>
        <v>130.69999999999999</v>
      </c>
    </row>
    <row r="79" spans="1:185" x14ac:dyDescent="0.25">
      <c r="A79">
        <v>23</v>
      </c>
      <c r="B79" t="s">
        <v>240</v>
      </c>
      <c r="C79">
        <v>2010</v>
      </c>
      <c r="D79" t="s">
        <v>169</v>
      </c>
      <c r="E79" t="s">
        <v>169</v>
      </c>
      <c r="F79" t="s">
        <v>169</v>
      </c>
      <c r="G79" s="2">
        <v>0</v>
      </c>
      <c r="H79" t="s">
        <v>170</v>
      </c>
      <c r="I79" t="s">
        <v>171</v>
      </c>
      <c r="J79" t="s">
        <v>225</v>
      </c>
      <c r="K79" t="s">
        <v>241</v>
      </c>
      <c r="L79" t="s">
        <v>212</v>
      </c>
      <c r="V79" s="3">
        <v>971.8</v>
      </c>
      <c r="W79" s="3">
        <v>45.39</v>
      </c>
      <c r="X79" s="3">
        <v>78.89</v>
      </c>
      <c r="Y79" s="3">
        <v>1.74</v>
      </c>
      <c r="CI79" s="3">
        <v>0.7</v>
      </c>
      <c r="CO79" s="3">
        <v>5.0999999999999996</v>
      </c>
      <c r="CP79" s="3">
        <v>6.99</v>
      </c>
      <c r="DB79" s="3">
        <v>4.99</v>
      </c>
      <c r="DC79" s="3">
        <v>6.63</v>
      </c>
    </row>
    <row r="80" spans="1:185" x14ac:dyDescent="0.25">
      <c r="A80">
        <v>23</v>
      </c>
      <c r="B80" t="s">
        <v>240</v>
      </c>
      <c r="C80">
        <v>2010</v>
      </c>
      <c r="D80" t="s">
        <v>190</v>
      </c>
      <c r="E80" t="s">
        <v>175</v>
      </c>
      <c r="F80" t="s">
        <v>176</v>
      </c>
      <c r="G80" s="2">
        <v>40</v>
      </c>
      <c r="H80" t="s">
        <v>170</v>
      </c>
      <c r="I80" t="s">
        <v>171</v>
      </c>
      <c r="J80" t="s">
        <v>225</v>
      </c>
      <c r="K80" t="s">
        <v>241</v>
      </c>
      <c r="L80" t="s">
        <v>212</v>
      </c>
      <c r="V80" s="3">
        <v>982.9</v>
      </c>
      <c r="W80" s="3">
        <v>45.97</v>
      </c>
      <c r="X80" s="3">
        <v>78.239999999999995</v>
      </c>
      <c r="Y80" s="3">
        <v>1.7</v>
      </c>
      <c r="CI80" s="3">
        <v>0.51</v>
      </c>
      <c r="CO80" s="3">
        <v>4.71</v>
      </c>
      <c r="CP80" s="3">
        <v>6.79</v>
      </c>
      <c r="DB80" s="3">
        <v>4.5</v>
      </c>
      <c r="DC80" s="3">
        <v>6.37</v>
      </c>
    </row>
    <row r="81" spans="1:184" x14ac:dyDescent="0.25">
      <c r="A81">
        <v>24</v>
      </c>
      <c r="B81" t="s">
        <v>240</v>
      </c>
      <c r="C81">
        <v>2010</v>
      </c>
      <c r="D81" t="s">
        <v>169</v>
      </c>
      <c r="E81" t="s">
        <v>169</v>
      </c>
      <c r="F81" t="s">
        <v>169</v>
      </c>
      <c r="G81" s="2">
        <v>0</v>
      </c>
      <c r="H81" t="s">
        <v>170</v>
      </c>
      <c r="I81" t="s">
        <v>171</v>
      </c>
      <c r="J81" t="s">
        <v>225</v>
      </c>
      <c r="K81" t="s">
        <v>241</v>
      </c>
      <c r="L81" t="s">
        <v>212</v>
      </c>
      <c r="V81" s="3">
        <v>917.6</v>
      </c>
      <c r="W81" s="3">
        <v>41.13</v>
      </c>
      <c r="X81" s="3">
        <v>74.91</v>
      </c>
      <c r="Y81" s="3">
        <v>1.82</v>
      </c>
      <c r="CI81" s="3">
        <v>4.79</v>
      </c>
      <c r="CO81" s="3">
        <v>5.0999999999999996</v>
      </c>
      <c r="CP81" s="3">
        <v>6.99</v>
      </c>
      <c r="DB81" s="3">
        <v>4.99</v>
      </c>
      <c r="DC81" s="3">
        <v>6.63</v>
      </c>
    </row>
    <row r="82" spans="1:184" x14ac:dyDescent="0.25">
      <c r="A82">
        <v>24</v>
      </c>
      <c r="B82" t="s">
        <v>240</v>
      </c>
      <c r="C82">
        <v>2010</v>
      </c>
      <c r="D82" t="s">
        <v>190</v>
      </c>
      <c r="E82" t="s">
        <v>175</v>
      </c>
      <c r="F82" t="s">
        <v>176</v>
      </c>
      <c r="G82" s="2">
        <v>40</v>
      </c>
      <c r="H82" t="s">
        <v>170</v>
      </c>
      <c r="I82" t="s">
        <v>171</v>
      </c>
      <c r="J82" t="s">
        <v>225</v>
      </c>
      <c r="K82" t="s">
        <v>241</v>
      </c>
      <c r="L82" t="s">
        <v>212</v>
      </c>
      <c r="V82" s="3">
        <v>951.3</v>
      </c>
      <c r="W82" s="3">
        <v>44.51</v>
      </c>
      <c r="X82" s="3">
        <v>76.569999999999993</v>
      </c>
      <c r="Y82" s="3">
        <v>1.72</v>
      </c>
      <c r="CI82" s="3">
        <v>3.67</v>
      </c>
      <c r="CO82" s="3">
        <v>6.38</v>
      </c>
      <c r="CP82" s="3">
        <v>7.48</v>
      </c>
      <c r="DB82" s="3">
        <v>5.56</v>
      </c>
      <c r="DC82" s="3">
        <v>7.13</v>
      </c>
    </row>
    <row r="83" spans="1:184" x14ac:dyDescent="0.25">
      <c r="A83">
        <v>25</v>
      </c>
      <c r="B83" t="s">
        <v>249</v>
      </c>
      <c r="C83">
        <v>2016</v>
      </c>
      <c r="D83" t="s">
        <v>169</v>
      </c>
      <c r="E83" t="s">
        <v>169</v>
      </c>
      <c r="F83" t="s">
        <v>169</v>
      </c>
      <c r="G83" s="2">
        <v>0</v>
      </c>
      <c r="H83" t="s">
        <v>179</v>
      </c>
      <c r="I83" t="s">
        <v>171</v>
      </c>
      <c r="J83" t="s">
        <v>212</v>
      </c>
      <c r="K83" t="s">
        <v>221</v>
      </c>
      <c r="L83" t="s">
        <v>174</v>
      </c>
      <c r="N83" s="3">
        <v>1152.92</v>
      </c>
      <c r="O83" s="3">
        <v>39.64</v>
      </c>
      <c r="P83" s="3">
        <v>57.71</v>
      </c>
      <c r="Q83" s="3">
        <v>1.46</v>
      </c>
      <c r="R83" s="3">
        <v>2228.92</v>
      </c>
      <c r="S83" s="3">
        <v>76.86</v>
      </c>
      <c r="T83" s="3">
        <v>160.29</v>
      </c>
      <c r="U83" s="3">
        <v>2.09</v>
      </c>
      <c r="V83" s="3">
        <v>2228.92</v>
      </c>
      <c r="W83" s="3">
        <v>52.05</v>
      </c>
      <c r="X83" s="3">
        <v>109</v>
      </c>
      <c r="Y83" s="3">
        <v>2.09</v>
      </c>
      <c r="AV83" s="3">
        <v>70.64</v>
      </c>
      <c r="AW83" s="3">
        <v>71.5</v>
      </c>
      <c r="AX83" s="3">
        <v>62.74</v>
      </c>
      <c r="BB83" s="3">
        <v>70.319999999999993</v>
      </c>
      <c r="CY83" s="3">
        <v>8.19</v>
      </c>
      <c r="DD83" s="3">
        <v>8.49</v>
      </c>
      <c r="DL83" s="3">
        <v>1857.61</v>
      </c>
      <c r="DM83" s="3">
        <v>1740.43</v>
      </c>
      <c r="DN83" s="3">
        <v>1582.25</v>
      </c>
      <c r="DO83" s="3">
        <v>199.36</v>
      </c>
      <c r="DP83" s="3">
        <v>193.5</v>
      </c>
      <c r="DQ83" s="3">
        <v>172</v>
      </c>
      <c r="DR83" s="3">
        <f t="shared" ref="DR83:DT87" si="15">DL83/DO83</f>
        <v>9.3178671749598703</v>
      </c>
      <c r="DS83" s="3">
        <f t="shared" si="15"/>
        <v>8.9944702842377264</v>
      </c>
      <c r="DT83" s="3">
        <f t="shared" si="15"/>
        <v>9.1991279069767433</v>
      </c>
      <c r="FZ83" s="3">
        <f>AVERAGE(DL83:DN83)</f>
        <v>1726.7633333333333</v>
      </c>
      <c r="GA83" s="3">
        <f>AVERAGE(DO83:DQ83)</f>
        <v>188.28666666666666</v>
      </c>
      <c r="GB83" s="3">
        <f>FZ83/GA83</f>
        <v>9.1709273094218045</v>
      </c>
    </row>
    <row r="84" spans="1:184" x14ac:dyDescent="0.25">
      <c r="A84">
        <v>25</v>
      </c>
      <c r="B84" t="s">
        <v>249</v>
      </c>
      <c r="C84">
        <v>2016</v>
      </c>
      <c r="D84" t="s">
        <v>250</v>
      </c>
      <c r="E84" t="s">
        <v>175</v>
      </c>
      <c r="F84" t="s">
        <v>176</v>
      </c>
      <c r="G84" s="2">
        <v>100</v>
      </c>
      <c r="H84" t="s">
        <v>179</v>
      </c>
      <c r="I84" t="s">
        <v>171</v>
      </c>
      <c r="J84" t="s">
        <v>212</v>
      </c>
      <c r="K84" t="s">
        <v>221</v>
      </c>
      <c r="L84" t="s">
        <v>174</v>
      </c>
      <c r="N84" s="3">
        <v>1164.1199999999999</v>
      </c>
      <c r="O84" s="3">
        <v>40.04</v>
      </c>
      <c r="P84" s="3">
        <v>58.36</v>
      </c>
      <c r="Q84" s="3">
        <v>1.46</v>
      </c>
      <c r="R84" s="3">
        <v>2240.12</v>
      </c>
      <c r="S84" s="3">
        <v>76.86</v>
      </c>
      <c r="T84" s="3">
        <v>159.93</v>
      </c>
      <c r="U84" s="3">
        <v>2.08</v>
      </c>
      <c r="V84" s="3">
        <v>2240.12</v>
      </c>
      <c r="W84" s="3">
        <v>52.31</v>
      </c>
      <c r="X84" s="3">
        <v>109.15</v>
      </c>
      <c r="Y84" s="3">
        <v>2.09</v>
      </c>
      <c r="AV84" s="3">
        <v>74.5</v>
      </c>
      <c r="AW84" s="3">
        <v>71.7</v>
      </c>
      <c r="AX84" s="3">
        <v>74.86</v>
      </c>
      <c r="BB84" s="3">
        <v>65.66</v>
      </c>
      <c r="CY84" s="3">
        <v>7.94</v>
      </c>
      <c r="DD84" s="3">
        <v>8.1199999999999992</v>
      </c>
      <c r="DL84" s="3">
        <v>1861.5</v>
      </c>
      <c r="DM84" s="3">
        <v>1748.35</v>
      </c>
      <c r="DN84" s="3">
        <v>1630.83</v>
      </c>
      <c r="DO84" s="3">
        <v>191.6</v>
      </c>
      <c r="DP84" s="3">
        <v>187.25</v>
      </c>
      <c r="DQ84" s="3">
        <v>175.5</v>
      </c>
      <c r="DR84" s="3">
        <f t="shared" si="15"/>
        <v>9.7155532359081427</v>
      </c>
      <c r="DS84" s="3">
        <f t="shared" si="15"/>
        <v>9.3369826435246992</v>
      </c>
      <c r="DT84" s="3">
        <f t="shared" si="15"/>
        <v>9.2924786324786322</v>
      </c>
      <c r="FZ84" s="3">
        <f>AVERAGE(DL84:DN84)</f>
        <v>1746.8933333333334</v>
      </c>
      <c r="GA84" s="3">
        <f>AVERAGE(DO84:DQ84)</f>
        <v>184.78333333333333</v>
      </c>
      <c r="GB84" s="3">
        <f>FZ84/GA84</f>
        <v>9.4537386127897545</v>
      </c>
    </row>
    <row r="85" spans="1:184" x14ac:dyDescent="0.25">
      <c r="A85">
        <v>25</v>
      </c>
      <c r="B85" t="s">
        <v>249</v>
      </c>
      <c r="C85">
        <v>2016</v>
      </c>
      <c r="D85" t="s">
        <v>250</v>
      </c>
      <c r="E85" t="s">
        <v>175</v>
      </c>
      <c r="F85" t="s">
        <v>176</v>
      </c>
      <c r="G85" s="2">
        <v>150</v>
      </c>
      <c r="H85" t="s">
        <v>179</v>
      </c>
      <c r="I85" t="s">
        <v>171</v>
      </c>
      <c r="J85" t="s">
        <v>212</v>
      </c>
      <c r="K85" t="s">
        <v>221</v>
      </c>
      <c r="L85" t="s">
        <v>174</v>
      </c>
      <c r="N85" s="3">
        <v>1164.96</v>
      </c>
      <c r="O85" s="3">
        <v>40.07</v>
      </c>
      <c r="P85" s="3">
        <v>57.36</v>
      </c>
      <c r="Q85" s="3">
        <v>1.43</v>
      </c>
      <c r="R85" s="3">
        <v>2267.96</v>
      </c>
      <c r="S85" s="3">
        <v>78.790000000000006</v>
      </c>
      <c r="T85" s="3">
        <v>162.71</v>
      </c>
      <c r="U85" s="3">
        <v>2.06</v>
      </c>
      <c r="V85" s="3">
        <v>2267.96</v>
      </c>
      <c r="W85" s="3">
        <v>52.98</v>
      </c>
      <c r="X85" s="3">
        <v>110.04</v>
      </c>
      <c r="Y85" s="3">
        <v>2.08</v>
      </c>
      <c r="AV85" s="3">
        <v>71.900000000000006</v>
      </c>
      <c r="AW85" s="3">
        <v>71.900000000000006</v>
      </c>
      <c r="AX85" s="3">
        <v>67.8</v>
      </c>
      <c r="BB85" s="3">
        <v>61.5</v>
      </c>
      <c r="CY85" s="3">
        <v>7.3</v>
      </c>
      <c r="DD85" s="3">
        <v>7.83</v>
      </c>
      <c r="DL85" s="3">
        <v>1867.5</v>
      </c>
      <c r="DM85" s="3">
        <v>1833.25</v>
      </c>
      <c r="DN85" s="3">
        <v>1583</v>
      </c>
      <c r="DO85" s="3">
        <v>185.5</v>
      </c>
      <c r="DP85" s="3">
        <v>181.5</v>
      </c>
      <c r="DQ85" s="3">
        <v>171.25</v>
      </c>
      <c r="DR85" s="3">
        <f t="shared" si="15"/>
        <v>10.067385444743936</v>
      </c>
      <c r="DS85" s="3">
        <f t="shared" si="15"/>
        <v>10.100550964187327</v>
      </c>
      <c r="DT85" s="3">
        <f t="shared" si="15"/>
        <v>9.2437956204379557</v>
      </c>
      <c r="FZ85" s="3">
        <f>AVERAGE(DL85:DN85)</f>
        <v>1761.25</v>
      </c>
      <c r="GA85" s="3">
        <f>AVERAGE(DO85:DQ85)</f>
        <v>179.41666666666666</v>
      </c>
      <c r="GB85" s="3">
        <f>FZ85/GA85</f>
        <v>9.8165350673478873</v>
      </c>
    </row>
    <row r="86" spans="1:184" x14ac:dyDescent="0.25">
      <c r="A86">
        <v>25</v>
      </c>
      <c r="B86" t="s">
        <v>249</v>
      </c>
      <c r="C86">
        <v>2016</v>
      </c>
      <c r="D86" t="s">
        <v>250</v>
      </c>
      <c r="E86" t="s">
        <v>175</v>
      </c>
      <c r="F86" t="s">
        <v>176</v>
      </c>
      <c r="G86" s="2">
        <v>200</v>
      </c>
      <c r="H86" t="s">
        <v>179</v>
      </c>
      <c r="I86" t="s">
        <v>171</v>
      </c>
      <c r="J86" t="s">
        <v>212</v>
      </c>
      <c r="K86" t="s">
        <v>221</v>
      </c>
      <c r="L86" t="s">
        <v>174</v>
      </c>
      <c r="N86" s="3">
        <v>1233</v>
      </c>
      <c r="O86" s="3">
        <v>42.5</v>
      </c>
      <c r="P86" s="3">
        <v>57.46</v>
      </c>
      <c r="Q86" s="3">
        <v>1.35</v>
      </c>
      <c r="R86" s="3">
        <v>2374</v>
      </c>
      <c r="S86" s="3">
        <v>81.5</v>
      </c>
      <c r="T86" s="3">
        <v>161.79</v>
      </c>
      <c r="U86" s="3">
        <v>1.99</v>
      </c>
      <c r="V86" s="3">
        <v>2374</v>
      </c>
      <c r="W86" s="3">
        <v>55.5</v>
      </c>
      <c r="X86" s="3">
        <v>109.63</v>
      </c>
      <c r="Y86" s="3">
        <v>1.98</v>
      </c>
      <c r="AV86" s="3">
        <v>67.7</v>
      </c>
      <c r="AW86" s="3">
        <v>74</v>
      </c>
      <c r="AX86" s="3">
        <v>61.5</v>
      </c>
      <c r="BB86" s="3">
        <v>71.06</v>
      </c>
      <c r="CY86" s="3">
        <v>7.02</v>
      </c>
      <c r="DD86" s="3">
        <v>7.64</v>
      </c>
      <c r="DL86" s="3">
        <v>1995.75</v>
      </c>
      <c r="DM86" s="3">
        <v>1838.5</v>
      </c>
      <c r="DN86" s="3">
        <v>1595.25</v>
      </c>
      <c r="DO86" s="3">
        <v>178.5</v>
      </c>
      <c r="DP86" s="3">
        <v>173</v>
      </c>
      <c r="DQ86" s="3">
        <v>165.5</v>
      </c>
      <c r="DR86" s="3">
        <f t="shared" si="15"/>
        <v>11.180672268907562</v>
      </c>
      <c r="DS86" s="3">
        <f t="shared" si="15"/>
        <v>10.627167630057803</v>
      </c>
      <c r="DT86" s="3">
        <f t="shared" si="15"/>
        <v>9.6389728096676741</v>
      </c>
      <c r="FZ86" s="3">
        <f>AVERAGE(DL86:DN86)</f>
        <v>1809.8333333333333</v>
      </c>
      <c r="GA86" s="3">
        <f>AVERAGE(DO86:DQ86)</f>
        <v>172.33333333333334</v>
      </c>
      <c r="GB86" s="3">
        <f>FZ86/GA86</f>
        <v>10.501934235976789</v>
      </c>
    </row>
    <row r="87" spans="1:184" x14ac:dyDescent="0.25">
      <c r="A87">
        <v>25</v>
      </c>
      <c r="B87" t="s">
        <v>249</v>
      </c>
      <c r="C87">
        <v>2016</v>
      </c>
      <c r="D87" t="s">
        <v>250</v>
      </c>
      <c r="E87" t="s">
        <v>175</v>
      </c>
      <c r="F87" t="s">
        <v>176</v>
      </c>
      <c r="G87" s="2">
        <v>250</v>
      </c>
      <c r="H87" t="s">
        <v>179</v>
      </c>
      <c r="I87" t="s">
        <v>171</v>
      </c>
      <c r="J87" t="s">
        <v>212</v>
      </c>
      <c r="K87" t="s">
        <v>221</v>
      </c>
      <c r="L87" t="s">
        <v>174</v>
      </c>
      <c r="N87" s="3">
        <v>1273.04</v>
      </c>
      <c r="O87" s="3">
        <v>43.93</v>
      </c>
      <c r="P87" s="3">
        <v>58.18</v>
      </c>
      <c r="Q87" s="3">
        <v>1.32</v>
      </c>
      <c r="R87" s="3">
        <v>2462.04</v>
      </c>
      <c r="S87" s="3">
        <v>84.93</v>
      </c>
      <c r="T87" s="3">
        <v>162.57</v>
      </c>
      <c r="U87" s="3">
        <v>1.92</v>
      </c>
      <c r="V87" s="3">
        <v>2462.04</v>
      </c>
      <c r="W87" s="3">
        <v>57.6</v>
      </c>
      <c r="X87" s="3">
        <v>110.38</v>
      </c>
      <c r="Y87" s="3">
        <v>1.92</v>
      </c>
      <c r="AV87" s="3">
        <v>74.599999999999994</v>
      </c>
      <c r="AW87" s="3">
        <v>74.3</v>
      </c>
      <c r="AX87" s="3">
        <v>67.900000000000006</v>
      </c>
      <c r="BB87" s="3">
        <v>76.540000000000006</v>
      </c>
      <c r="CY87" s="3">
        <v>6.15</v>
      </c>
      <c r="DD87" s="3">
        <v>6.54</v>
      </c>
      <c r="DL87" s="3">
        <v>2007.5</v>
      </c>
      <c r="DM87" s="3">
        <v>1927.5</v>
      </c>
      <c r="DN87" s="3">
        <v>1775.75</v>
      </c>
      <c r="DO87" s="3">
        <v>178.25</v>
      </c>
      <c r="DP87" s="3">
        <v>170.75</v>
      </c>
      <c r="DQ87" s="3">
        <v>168.75</v>
      </c>
      <c r="DR87" s="3">
        <f t="shared" si="15"/>
        <v>11.26227208976157</v>
      </c>
      <c r="DS87" s="3">
        <f t="shared" si="15"/>
        <v>11.288433382137628</v>
      </c>
      <c r="DT87" s="3">
        <f t="shared" si="15"/>
        <v>10.522962962962962</v>
      </c>
      <c r="FZ87" s="3">
        <f>AVERAGE(DL87:DN87)</f>
        <v>1903.5833333333333</v>
      </c>
      <c r="GA87" s="3">
        <f>AVERAGE(DO87:DQ87)</f>
        <v>172.58333333333334</v>
      </c>
      <c r="GB87" s="3">
        <f>FZ87/GA87</f>
        <v>11.029937228392081</v>
      </c>
    </row>
    <row r="88" spans="1:184" x14ac:dyDescent="0.25">
      <c r="A88">
        <v>26</v>
      </c>
      <c r="B88" t="s">
        <v>249</v>
      </c>
      <c r="C88">
        <v>2017</v>
      </c>
      <c r="D88" t="s">
        <v>169</v>
      </c>
      <c r="E88" t="s">
        <v>169</v>
      </c>
      <c r="F88" t="s">
        <v>169</v>
      </c>
      <c r="G88" s="2">
        <v>0</v>
      </c>
      <c r="H88" t="s">
        <v>179</v>
      </c>
      <c r="I88" t="s">
        <v>171</v>
      </c>
      <c r="J88" t="s">
        <v>212</v>
      </c>
      <c r="K88" t="s">
        <v>221</v>
      </c>
      <c r="L88" t="s">
        <v>174</v>
      </c>
      <c r="W88" s="3">
        <v>52.05</v>
      </c>
      <c r="X88" s="3">
        <v>91.9</v>
      </c>
      <c r="Y88" s="3">
        <v>1.77</v>
      </c>
      <c r="BO88" s="3">
        <v>3.45</v>
      </c>
      <c r="BS88" s="3">
        <v>140</v>
      </c>
      <c r="BU88" s="3">
        <v>40.200000000000003</v>
      </c>
      <c r="BX88" s="3">
        <v>4.6900000000000004</v>
      </c>
      <c r="CB88" s="3">
        <v>185</v>
      </c>
      <c r="CD88" s="3">
        <v>36.700000000000003</v>
      </c>
      <c r="EG88" s="3">
        <v>0.2</v>
      </c>
      <c r="EH88" s="3">
        <v>0.5</v>
      </c>
      <c r="FI88" s="3">
        <v>2.2999999999999998</v>
      </c>
      <c r="FN88" s="3">
        <v>11.4</v>
      </c>
    </row>
    <row r="89" spans="1:184" x14ac:dyDescent="0.25">
      <c r="A89">
        <v>26</v>
      </c>
      <c r="B89" t="s">
        <v>249</v>
      </c>
      <c r="C89">
        <v>2017</v>
      </c>
      <c r="D89" t="s">
        <v>250</v>
      </c>
      <c r="E89" t="s">
        <v>175</v>
      </c>
      <c r="F89" t="s">
        <v>176</v>
      </c>
      <c r="G89" s="2">
        <v>100</v>
      </c>
      <c r="H89" t="s">
        <v>179</v>
      </c>
      <c r="I89" t="s">
        <v>171</v>
      </c>
      <c r="J89" t="s">
        <v>212</v>
      </c>
      <c r="K89" t="s">
        <v>221</v>
      </c>
      <c r="L89" t="s">
        <v>174</v>
      </c>
      <c r="W89" s="3">
        <v>52.31</v>
      </c>
      <c r="X89" s="3">
        <v>92.24</v>
      </c>
      <c r="Y89" s="3">
        <v>1.76</v>
      </c>
      <c r="BO89" s="3">
        <v>3.55</v>
      </c>
      <c r="BS89" s="3">
        <v>109</v>
      </c>
      <c r="BU89" s="3">
        <v>34.299999999999997</v>
      </c>
      <c r="BX89" s="3">
        <v>3.74</v>
      </c>
      <c r="CB89" s="3">
        <v>127</v>
      </c>
      <c r="CD89" s="3">
        <v>37.799999999999997</v>
      </c>
      <c r="EG89" s="3">
        <v>0.2</v>
      </c>
      <c r="EH89" s="3">
        <v>0.5</v>
      </c>
      <c r="FI89" s="3">
        <v>2.1</v>
      </c>
      <c r="FN89" s="3">
        <v>10.8</v>
      </c>
    </row>
    <row r="90" spans="1:184" x14ac:dyDescent="0.25">
      <c r="A90">
        <v>26</v>
      </c>
      <c r="B90" t="s">
        <v>249</v>
      </c>
      <c r="C90">
        <v>2017</v>
      </c>
      <c r="D90" t="s">
        <v>250</v>
      </c>
      <c r="E90" t="s">
        <v>175</v>
      </c>
      <c r="F90" t="s">
        <v>176</v>
      </c>
      <c r="G90" s="2">
        <v>150</v>
      </c>
      <c r="H90" t="s">
        <v>179</v>
      </c>
      <c r="I90" t="s">
        <v>171</v>
      </c>
      <c r="J90" t="s">
        <v>212</v>
      </c>
      <c r="K90" t="s">
        <v>221</v>
      </c>
      <c r="L90" t="s">
        <v>174</v>
      </c>
      <c r="W90" s="3">
        <v>52.98</v>
      </c>
      <c r="X90" s="3">
        <v>92.48</v>
      </c>
      <c r="Y90" s="3">
        <v>1.75</v>
      </c>
      <c r="BO90" s="3">
        <v>3.77</v>
      </c>
      <c r="BS90" s="3">
        <v>105</v>
      </c>
      <c r="BU90" s="3">
        <v>36.299999999999997</v>
      </c>
      <c r="BX90" s="3">
        <v>3.82</v>
      </c>
      <c r="CB90" s="3">
        <v>126</v>
      </c>
      <c r="CD90" s="3">
        <v>38</v>
      </c>
      <c r="EG90" s="3">
        <v>0.2</v>
      </c>
      <c r="EH90" s="3">
        <v>0.5</v>
      </c>
      <c r="FI90" s="3">
        <v>2.7</v>
      </c>
      <c r="FN90" s="3">
        <v>11.4</v>
      </c>
    </row>
    <row r="91" spans="1:184" x14ac:dyDescent="0.25">
      <c r="A91">
        <v>26</v>
      </c>
      <c r="B91" t="s">
        <v>249</v>
      </c>
      <c r="C91">
        <v>2017</v>
      </c>
      <c r="D91" t="s">
        <v>250</v>
      </c>
      <c r="E91" t="s">
        <v>175</v>
      </c>
      <c r="F91" t="s">
        <v>176</v>
      </c>
      <c r="G91" s="2">
        <v>200</v>
      </c>
      <c r="H91" t="s">
        <v>179</v>
      </c>
      <c r="I91" t="s">
        <v>171</v>
      </c>
      <c r="J91" t="s">
        <v>212</v>
      </c>
      <c r="K91" t="s">
        <v>221</v>
      </c>
      <c r="L91" t="s">
        <v>174</v>
      </c>
      <c r="W91" s="3">
        <v>55.5</v>
      </c>
      <c r="X91" s="3">
        <v>92.26</v>
      </c>
      <c r="Y91" s="3">
        <v>1.66</v>
      </c>
      <c r="BO91" s="3">
        <v>3.91</v>
      </c>
      <c r="BS91" s="3">
        <v>108</v>
      </c>
      <c r="BU91" s="3">
        <v>23</v>
      </c>
      <c r="BX91" s="3">
        <v>2.72</v>
      </c>
      <c r="CB91" s="3">
        <v>119</v>
      </c>
      <c r="CD91" s="3">
        <v>41.7</v>
      </c>
      <c r="EG91" s="3">
        <v>0.2</v>
      </c>
      <c r="EH91" s="3">
        <v>0.6</v>
      </c>
      <c r="FI91" s="3">
        <v>3.4</v>
      </c>
      <c r="FN91" s="3">
        <v>18.7</v>
      </c>
    </row>
    <row r="92" spans="1:184" x14ac:dyDescent="0.25">
      <c r="A92">
        <v>26</v>
      </c>
      <c r="B92" t="s">
        <v>249</v>
      </c>
      <c r="C92">
        <v>2017</v>
      </c>
      <c r="D92" t="s">
        <v>250</v>
      </c>
      <c r="E92" t="s">
        <v>175</v>
      </c>
      <c r="F92" t="s">
        <v>176</v>
      </c>
      <c r="G92" s="2">
        <v>250</v>
      </c>
      <c r="H92" t="s">
        <v>179</v>
      </c>
      <c r="I92" t="s">
        <v>171</v>
      </c>
      <c r="J92" t="s">
        <v>212</v>
      </c>
      <c r="K92" t="s">
        <v>221</v>
      </c>
      <c r="L92" t="s">
        <v>174</v>
      </c>
      <c r="W92" s="3">
        <v>57.6</v>
      </c>
      <c r="X92" s="3">
        <v>92.98</v>
      </c>
      <c r="Y92" s="3">
        <v>1.61</v>
      </c>
      <c r="BO92" s="3">
        <v>3.86</v>
      </c>
      <c r="BS92" s="3">
        <v>106</v>
      </c>
      <c r="BU92" s="3">
        <v>22.3</v>
      </c>
      <c r="BX92" s="3">
        <v>2.62</v>
      </c>
      <c r="CB92" s="3">
        <v>121</v>
      </c>
      <c r="CD92" s="3">
        <v>39.1</v>
      </c>
      <c r="EG92" s="3">
        <v>0.2</v>
      </c>
      <c r="EH92" s="3">
        <v>0.6</v>
      </c>
      <c r="FI92" s="3">
        <v>3.2</v>
      </c>
      <c r="FN92" s="3">
        <v>19</v>
      </c>
    </row>
    <row r="93" spans="1:184" x14ac:dyDescent="0.25">
      <c r="A93">
        <v>27</v>
      </c>
      <c r="B93" t="s">
        <v>257</v>
      </c>
      <c r="C93">
        <v>2019</v>
      </c>
      <c r="D93" t="s">
        <v>169</v>
      </c>
      <c r="E93" t="s">
        <v>169</v>
      </c>
      <c r="F93" t="s">
        <v>169</v>
      </c>
      <c r="G93" s="2">
        <v>0</v>
      </c>
      <c r="H93" t="s">
        <v>170</v>
      </c>
      <c r="I93" t="s">
        <v>258</v>
      </c>
      <c r="J93" t="s">
        <v>172</v>
      </c>
      <c r="K93" t="s">
        <v>173</v>
      </c>
      <c r="L93" t="s">
        <v>174</v>
      </c>
      <c r="N93" s="3">
        <v>964.4</v>
      </c>
      <c r="O93" s="3">
        <v>38.380000000000003</v>
      </c>
      <c r="P93" s="3">
        <v>55.81</v>
      </c>
      <c r="Q93" s="3">
        <v>1.56</v>
      </c>
      <c r="R93" s="3">
        <v>2679.04</v>
      </c>
      <c r="S93" s="3">
        <v>82.81</v>
      </c>
      <c r="T93" s="3">
        <v>166.36</v>
      </c>
      <c r="U93" s="3">
        <v>1.9</v>
      </c>
      <c r="V93" s="3">
        <f t="shared" ref="V93:V103" si="16">R93</f>
        <v>2679.04</v>
      </c>
      <c r="W93" s="3">
        <v>111.99</v>
      </c>
      <c r="X93" s="3">
        <v>215.18</v>
      </c>
      <c r="Y93" s="3">
        <v>1.87</v>
      </c>
      <c r="CO93" s="3">
        <v>8.0399999999999991</v>
      </c>
      <c r="CP93" s="3">
        <v>7.04</v>
      </c>
      <c r="DB93" s="3">
        <v>8.5299999999999994</v>
      </c>
      <c r="DC93" s="3">
        <v>8.0500000000000007</v>
      </c>
      <c r="EM93" s="3">
        <v>1.85</v>
      </c>
      <c r="EN93" s="3">
        <v>30.45</v>
      </c>
      <c r="EO93" s="3">
        <v>5.12</v>
      </c>
      <c r="EP93" s="3">
        <v>33.65</v>
      </c>
      <c r="ER93" s="3">
        <v>2.4900000000000002</v>
      </c>
      <c r="ES93" s="3">
        <v>0.94</v>
      </c>
      <c r="ET93" s="3">
        <v>4.79</v>
      </c>
      <c r="EU93" s="3">
        <v>1.58</v>
      </c>
      <c r="EV93" s="3">
        <v>1.26</v>
      </c>
      <c r="EW93" s="3">
        <v>5.08</v>
      </c>
    </row>
    <row r="94" spans="1:184" x14ac:dyDescent="0.25">
      <c r="A94">
        <v>27</v>
      </c>
      <c r="B94" t="s">
        <v>257</v>
      </c>
      <c r="C94">
        <v>2019</v>
      </c>
      <c r="D94" t="s">
        <v>259</v>
      </c>
      <c r="E94" t="s">
        <v>175</v>
      </c>
      <c r="F94" t="s">
        <v>176</v>
      </c>
      <c r="G94" s="2">
        <v>300</v>
      </c>
      <c r="H94" t="s">
        <v>170</v>
      </c>
      <c r="I94" t="s">
        <v>258</v>
      </c>
      <c r="J94" t="s">
        <v>172</v>
      </c>
      <c r="K94" t="s">
        <v>173</v>
      </c>
      <c r="L94" t="s">
        <v>174</v>
      </c>
      <c r="N94" s="3">
        <v>965.14</v>
      </c>
      <c r="O94" s="3">
        <v>38.68</v>
      </c>
      <c r="P94" s="3">
        <v>56.46</v>
      </c>
      <c r="Q94" s="3">
        <v>1.55</v>
      </c>
      <c r="R94" s="3">
        <v>2691.23</v>
      </c>
      <c r="S94" s="3">
        <v>83.82</v>
      </c>
      <c r="T94" s="3">
        <v>166.52</v>
      </c>
      <c r="U94" s="3">
        <v>1.88</v>
      </c>
      <c r="V94" s="3">
        <f t="shared" si="16"/>
        <v>2691.23</v>
      </c>
      <c r="W94" s="3">
        <v>113.22</v>
      </c>
      <c r="X94" s="3">
        <v>215.3</v>
      </c>
      <c r="Y94" s="3">
        <v>1.85</v>
      </c>
      <c r="CO94" s="3">
        <v>7.51</v>
      </c>
      <c r="CP94" s="3">
        <v>6.7</v>
      </c>
      <c r="DB94" s="3">
        <v>8.5399999999999991</v>
      </c>
      <c r="DC94" s="3">
        <v>8.1300000000000008</v>
      </c>
      <c r="EM94" s="3">
        <v>2.25</v>
      </c>
      <c r="EN94" s="3">
        <v>31.5</v>
      </c>
      <c r="EO94" s="3">
        <v>5.25</v>
      </c>
      <c r="EP94" s="3">
        <v>34.5</v>
      </c>
      <c r="ER94" s="3">
        <v>2.52</v>
      </c>
      <c r="ES94" s="3">
        <v>0.96</v>
      </c>
      <c r="ET94" s="3">
        <v>5.12</v>
      </c>
      <c r="EU94" s="3">
        <v>1.64</v>
      </c>
      <c r="EV94" s="3">
        <v>1.28</v>
      </c>
      <c r="EW94" s="3">
        <v>5.12</v>
      </c>
    </row>
    <row r="95" spans="1:184" x14ac:dyDescent="0.25">
      <c r="A95">
        <v>27</v>
      </c>
      <c r="B95" t="s">
        <v>257</v>
      </c>
      <c r="C95">
        <v>2019</v>
      </c>
      <c r="D95" t="s">
        <v>259</v>
      </c>
      <c r="E95" t="s">
        <v>175</v>
      </c>
      <c r="F95" t="s">
        <v>176</v>
      </c>
      <c r="G95" s="2">
        <v>600</v>
      </c>
      <c r="H95" t="s">
        <v>170</v>
      </c>
      <c r="I95" t="s">
        <v>258</v>
      </c>
      <c r="J95" t="s">
        <v>172</v>
      </c>
      <c r="K95" t="s">
        <v>173</v>
      </c>
      <c r="L95" t="s">
        <v>174</v>
      </c>
      <c r="N95" s="3">
        <v>967.14</v>
      </c>
      <c r="O95" s="3">
        <v>38.54</v>
      </c>
      <c r="P95" s="3">
        <v>56.6</v>
      </c>
      <c r="Q95" s="3">
        <v>1.54</v>
      </c>
      <c r="R95" s="3">
        <v>2713.08</v>
      </c>
      <c r="S95" s="3">
        <v>83.98</v>
      </c>
      <c r="T95" s="3">
        <v>168.54</v>
      </c>
      <c r="U95" s="3">
        <v>1.89</v>
      </c>
      <c r="V95" s="3">
        <f t="shared" si="16"/>
        <v>2713.08</v>
      </c>
      <c r="W95" s="3">
        <v>118.13</v>
      </c>
      <c r="X95" s="3">
        <v>217.62</v>
      </c>
      <c r="Y95" s="3">
        <v>1.79</v>
      </c>
      <c r="CO95" s="3">
        <v>7.35</v>
      </c>
      <c r="CP95" s="3">
        <v>6.64</v>
      </c>
      <c r="DB95" s="3">
        <v>8.6199999999999992</v>
      </c>
      <c r="DC95" s="3">
        <v>8.19</v>
      </c>
      <c r="EM95" s="3">
        <v>2.5</v>
      </c>
      <c r="EN95" s="3">
        <v>35.25</v>
      </c>
      <c r="EO95" s="3">
        <v>5.5</v>
      </c>
      <c r="EP95" s="3">
        <v>37.5</v>
      </c>
      <c r="ER95" s="3">
        <v>2.65</v>
      </c>
      <c r="ES95" s="3">
        <v>1.02</v>
      </c>
      <c r="ET95" s="3">
        <v>5.21</v>
      </c>
      <c r="EU95" s="3">
        <v>1.81</v>
      </c>
      <c r="EV95" s="3">
        <v>1.32</v>
      </c>
      <c r="EW95" s="3">
        <v>5.46</v>
      </c>
    </row>
    <row r="96" spans="1:184" x14ac:dyDescent="0.25">
      <c r="A96">
        <v>28</v>
      </c>
      <c r="B96" t="s">
        <v>257</v>
      </c>
      <c r="C96">
        <v>2019</v>
      </c>
      <c r="D96" t="s">
        <v>169</v>
      </c>
      <c r="E96" t="s">
        <v>169</v>
      </c>
      <c r="F96" t="s">
        <v>169</v>
      </c>
      <c r="G96" s="2">
        <v>0</v>
      </c>
      <c r="H96" t="s">
        <v>170</v>
      </c>
      <c r="I96" t="s">
        <v>258</v>
      </c>
      <c r="J96" t="s">
        <v>172</v>
      </c>
      <c r="K96" t="s">
        <v>173</v>
      </c>
      <c r="L96" t="s">
        <v>174</v>
      </c>
      <c r="N96" s="3">
        <v>964.4</v>
      </c>
      <c r="O96" s="3">
        <v>38.380000000000003</v>
      </c>
      <c r="P96" s="3">
        <v>55.81</v>
      </c>
      <c r="Q96" s="3">
        <v>1.56</v>
      </c>
      <c r="R96" s="3">
        <v>2679.04</v>
      </c>
      <c r="S96" s="3">
        <v>82.81</v>
      </c>
      <c r="T96" s="3">
        <v>166.36</v>
      </c>
      <c r="U96" s="3">
        <v>1.9</v>
      </c>
      <c r="V96" s="3">
        <f t="shared" si="16"/>
        <v>2679.04</v>
      </c>
      <c r="W96" s="3">
        <v>111.99</v>
      </c>
      <c r="X96" s="3">
        <v>215.18</v>
      </c>
      <c r="Y96" s="3">
        <v>1.87</v>
      </c>
      <c r="CO96" s="3">
        <v>8.0399999999999991</v>
      </c>
      <c r="CP96" s="3">
        <v>7.04</v>
      </c>
      <c r="DB96" s="3">
        <v>8.5299999999999994</v>
      </c>
      <c r="DC96" s="3">
        <v>8.0500000000000007</v>
      </c>
      <c r="EM96" s="3">
        <v>1.85</v>
      </c>
      <c r="EN96" s="3">
        <v>30.45</v>
      </c>
      <c r="EO96" s="3">
        <v>5.12</v>
      </c>
      <c r="EP96" s="3">
        <v>33.65</v>
      </c>
      <c r="ER96" s="3">
        <v>2.4900000000000002</v>
      </c>
      <c r="ES96" s="3">
        <v>0.94</v>
      </c>
      <c r="ET96" s="3">
        <v>4.79</v>
      </c>
      <c r="EU96" s="3">
        <v>1.58</v>
      </c>
      <c r="EV96" s="3">
        <v>1.26</v>
      </c>
      <c r="EW96" s="3">
        <v>5.08</v>
      </c>
    </row>
    <row r="97" spans="1:184" x14ac:dyDescent="0.25">
      <c r="A97">
        <v>28</v>
      </c>
      <c r="B97" t="s">
        <v>257</v>
      </c>
      <c r="C97">
        <v>2019</v>
      </c>
      <c r="D97" t="s">
        <v>259</v>
      </c>
      <c r="E97" t="s">
        <v>175</v>
      </c>
      <c r="F97" t="s">
        <v>176</v>
      </c>
      <c r="G97" s="2">
        <v>300</v>
      </c>
      <c r="H97" t="s">
        <v>170</v>
      </c>
      <c r="I97" t="s">
        <v>258</v>
      </c>
      <c r="J97" t="s">
        <v>172</v>
      </c>
      <c r="K97" t="s">
        <v>173</v>
      </c>
      <c r="L97" t="s">
        <v>174</v>
      </c>
      <c r="N97" s="3">
        <v>966.11</v>
      </c>
      <c r="O97" s="3">
        <v>39.25</v>
      </c>
      <c r="P97" s="3">
        <v>56.86</v>
      </c>
      <c r="Q97" s="3">
        <v>1.54</v>
      </c>
      <c r="R97" s="3">
        <v>2713.79</v>
      </c>
      <c r="S97" s="3">
        <v>83.94</v>
      </c>
      <c r="T97" s="3">
        <v>167.94</v>
      </c>
      <c r="U97" s="3">
        <v>1.87</v>
      </c>
      <c r="V97" s="3">
        <f t="shared" si="16"/>
        <v>2713.79</v>
      </c>
      <c r="W97" s="3">
        <v>114.32</v>
      </c>
      <c r="X97" s="3">
        <v>216.4</v>
      </c>
      <c r="Y97" s="3">
        <v>1.81</v>
      </c>
      <c r="CO97" s="3">
        <v>7.32</v>
      </c>
      <c r="CP97" s="3">
        <v>6.54</v>
      </c>
      <c r="DB97" s="3">
        <v>8.76</v>
      </c>
      <c r="DC97" s="3">
        <v>8.17</v>
      </c>
      <c r="EM97" s="3">
        <v>2.5</v>
      </c>
      <c r="EN97" s="3">
        <v>33.75</v>
      </c>
      <c r="EO97" s="3">
        <v>5.5</v>
      </c>
      <c r="EP97" s="3">
        <v>36.5</v>
      </c>
      <c r="ER97" s="3">
        <v>2.58</v>
      </c>
      <c r="ES97" s="3">
        <v>0.99</v>
      </c>
      <c r="ET97" s="3">
        <v>5.14</v>
      </c>
      <c r="EU97" s="3">
        <v>1.78</v>
      </c>
      <c r="EV97" s="3">
        <v>1.3</v>
      </c>
      <c r="EW97" s="3">
        <v>5.24</v>
      </c>
    </row>
    <row r="98" spans="1:184" x14ac:dyDescent="0.25">
      <c r="A98">
        <v>28</v>
      </c>
      <c r="B98" t="s">
        <v>257</v>
      </c>
      <c r="C98">
        <v>2019</v>
      </c>
      <c r="D98" t="s">
        <v>259</v>
      </c>
      <c r="E98" t="s">
        <v>175</v>
      </c>
      <c r="F98" t="s">
        <v>176</v>
      </c>
      <c r="G98" s="2">
        <v>600</v>
      </c>
      <c r="H98" t="s">
        <v>170</v>
      </c>
      <c r="I98" t="s">
        <v>258</v>
      </c>
      <c r="J98" t="s">
        <v>172</v>
      </c>
      <c r="K98" t="s">
        <v>173</v>
      </c>
      <c r="L98" t="s">
        <v>174</v>
      </c>
      <c r="N98" s="3">
        <v>969.94</v>
      </c>
      <c r="O98" s="3">
        <v>38.96</v>
      </c>
      <c r="P98" s="3">
        <v>56.98</v>
      </c>
      <c r="Q98" s="3">
        <v>1.53</v>
      </c>
      <c r="R98" s="3">
        <v>2731.49</v>
      </c>
      <c r="S98" s="3">
        <v>84.34</v>
      </c>
      <c r="T98" s="3">
        <v>169.36</v>
      </c>
      <c r="U98" s="3">
        <v>1.88</v>
      </c>
      <c r="V98" s="3">
        <f t="shared" si="16"/>
        <v>2731.49</v>
      </c>
      <c r="W98" s="3">
        <v>115.45</v>
      </c>
      <c r="X98" s="3">
        <v>217.12</v>
      </c>
      <c r="Y98" s="3">
        <v>1.78</v>
      </c>
      <c r="CO98" s="3">
        <v>7.2</v>
      </c>
      <c r="CP98" s="3">
        <v>6.42</v>
      </c>
      <c r="DB98" s="3">
        <v>8.83</v>
      </c>
      <c r="DC98" s="3">
        <v>8.25</v>
      </c>
      <c r="EM98" s="3">
        <v>2.75</v>
      </c>
      <c r="EN98" s="3">
        <v>37.25</v>
      </c>
      <c r="EO98" s="3">
        <v>6</v>
      </c>
      <c r="EP98" s="3">
        <v>39.5</v>
      </c>
      <c r="ER98" s="3">
        <v>2.68</v>
      </c>
      <c r="ES98" s="3">
        <v>1.03</v>
      </c>
      <c r="ET98" s="3">
        <v>6.05</v>
      </c>
      <c r="EU98" s="3">
        <v>1.88</v>
      </c>
      <c r="EV98" s="3">
        <v>1.35</v>
      </c>
      <c r="EW98" s="3">
        <v>5.53</v>
      </c>
    </row>
    <row r="99" spans="1:184" x14ac:dyDescent="0.25">
      <c r="A99">
        <v>29</v>
      </c>
      <c r="B99" t="s">
        <v>257</v>
      </c>
      <c r="C99">
        <v>2019</v>
      </c>
      <c r="D99" t="s">
        <v>169</v>
      </c>
      <c r="E99" t="s">
        <v>169</v>
      </c>
      <c r="F99" t="s">
        <v>169</v>
      </c>
      <c r="G99" s="2">
        <v>0</v>
      </c>
      <c r="H99" t="s">
        <v>170</v>
      </c>
      <c r="I99" t="s">
        <v>258</v>
      </c>
      <c r="J99" t="s">
        <v>172</v>
      </c>
      <c r="K99" t="s">
        <v>173</v>
      </c>
      <c r="L99" t="s">
        <v>174</v>
      </c>
      <c r="N99" s="3">
        <v>964.4</v>
      </c>
      <c r="O99" s="3">
        <v>38.380000000000003</v>
      </c>
      <c r="P99" s="3">
        <v>55.81</v>
      </c>
      <c r="Q99" s="3">
        <v>1.56</v>
      </c>
      <c r="R99" s="3">
        <v>2679.04</v>
      </c>
      <c r="S99" s="3">
        <v>82.81</v>
      </c>
      <c r="T99" s="3">
        <v>166.36</v>
      </c>
      <c r="U99" s="3">
        <v>1.9</v>
      </c>
      <c r="V99" s="3">
        <f t="shared" si="16"/>
        <v>2679.04</v>
      </c>
      <c r="W99" s="3">
        <v>111.99</v>
      </c>
      <c r="X99" s="3">
        <v>215.18</v>
      </c>
      <c r="Y99" s="3">
        <v>1.87</v>
      </c>
      <c r="CO99" s="3">
        <v>8.0399999999999991</v>
      </c>
      <c r="CP99" s="3">
        <v>7.04</v>
      </c>
      <c r="DB99" s="3">
        <v>8.5299999999999994</v>
      </c>
      <c r="DC99" s="3">
        <v>8.0500000000000007</v>
      </c>
      <c r="EM99" s="3">
        <v>1.85</v>
      </c>
      <c r="EN99" s="3">
        <v>30.45</v>
      </c>
      <c r="EO99" s="3">
        <v>5.12</v>
      </c>
      <c r="EP99" s="3">
        <v>33.65</v>
      </c>
      <c r="ER99" s="3">
        <v>2.4900000000000002</v>
      </c>
      <c r="ES99" s="3">
        <v>0.94</v>
      </c>
      <c r="ET99" s="3">
        <v>4.79</v>
      </c>
      <c r="EU99" s="3">
        <v>1.58</v>
      </c>
      <c r="EV99" s="3">
        <v>1.26</v>
      </c>
      <c r="EW99" s="3">
        <v>5.08</v>
      </c>
    </row>
    <row r="100" spans="1:184" x14ac:dyDescent="0.25">
      <c r="A100">
        <v>29</v>
      </c>
      <c r="B100" t="s">
        <v>257</v>
      </c>
      <c r="C100">
        <v>2019</v>
      </c>
      <c r="D100" t="s">
        <v>259</v>
      </c>
      <c r="E100" t="s">
        <v>175</v>
      </c>
      <c r="F100" t="s">
        <v>176</v>
      </c>
      <c r="G100" s="2">
        <v>300</v>
      </c>
      <c r="H100" t="s">
        <v>170</v>
      </c>
      <c r="I100" t="s">
        <v>258</v>
      </c>
      <c r="J100" t="s">
        <v>172</v>
      </c>
      <c r="K100" t="s">
        <v>173</v>
      </c>
      <c r="L100" t="s">
        <v>174</v>
      </c>
      <c r="N100" s="3">
        <v>977.09</v>
      </c>
      <c r="O100" s="3">
        <v>40.049999999999997</v>
      </c>
      <c r="P100" s="3">
        <v>57.04</v>
      </c>
      <c r="Q100" s="3">
        <v>1.51</v>
      </c>
      <c r="R100" s="3">
        <v>2836.56</v>
      </c>
      <c r="S100" s="3">
        <v>86.96</v>
      </c>
      <c r="T100" s="3">
        <v>171.44</v>
      </c>
      <c r="U100" s="3">
        <v>1.86</v>
      </c>
      <c r="V100" s="3">
        <f t="shared" si="16"/>
        <v>2836.56</v>
      </c>
      <c r="W100" s="3">
        <v>119.38</v>
      </c>
      <c r="X100" s="3">
        <v>218.84</v>
      </c>
      <c r="Y100" s="3">
        <v>1.72</v>
      </c>
      <c r="CO100" s="3">
        <v>7.05</v>
      </c>
      <c r="CP100" s="3">
        <v>6.26</v>
      </c>
      <c r="DB100" s="3">
        <v>9.1199999999999992</v>
      </c>
      <c r="DC100" s="3">
        <v>8.34</v>
      </c>
      <c r="EM100" s="3">
        <v>3</v>
      </c>
      <c r="EN100" s="3">
        <v>40.5</v>
      </c>
      <c r="EO100" s="3">
        <v>6.5</v>
      </c>
      <c r="EP100" s="3">
        <v>44.75</v>
      </c>
      <c r="ER100" s="3">
        <v>2.76</v>
      </c>
      <c r="ES100" s="3">
        <v>1.06</v>
      </c>
      <c r="ET100" s="3">
        <v>6.45</v>
      </c>
      <c r="EU100" s="3">
        <v>2.16</v>
      </c>
      <c r="EV100" s="3">
        <v>1.38</v>
      </c>
      <c r="EW100" s="3">
        <v>5.64</v>
      </c>
    </row>
    <row r="101" spans="1:184" x14ac:dyDescent="0.25">
      <c r="A101">
        <v>29</v>
      </c>
      <c r="B101" t="s">
        <v>257</v>
      </c>
      <c r="C101">
        <v>2019</v>
      </c>
      <c r="D101" t="s">
        <v>259</v>
      </c>
      <c r="E101" t="s">
        <v>175</v>
      </c>
      <c r="F101" t="s">
        <v>176</v>
      </c>
      <c r="G101" s="2">
        <v>600</v>
      </c>
      <c r="H101" t="s">
        <v>170</v>
      </c>
      <c r="I101" t="s">
        <v>258</v>
      </c>
      <c r="J101" t="s">
        <v>172</v>
      </c>
      <c r="K101" t="s">
        <v>173</v>
      </c>
      <c r="L101" t="s">
        <v>174</v>
      </c>
      <c r="N101" s="3">
        <v>966.68</v>
      </c>
      <c r="O101" s="3">
        <v>39.68</v>
      </c>
      <c r="P101" s="3">
        <v>57</v>
      </c>
      <c r="Q101" s="3">
        <v>1.52</v>
      </c>
      <c r="R101" s="3">
        <v>2740.2</v>
      </c>
      <c r="S101" s="3">
        <v>86.12</v>
      </c>
      <c r="T101" s="3">
        <v>169.62</v>
      </c>
      <c r="U101" s="3">
        <v>1.87</v>
      </c>
      <c r="V101" s="3">
        <f t="shared" si="16"/>
        <v>2740.2</v>
      </c>
      <c r="W101" s="3">
        <v>117.35</v>
      </c>
      <c r="X101" s="3">
        <v>217.86</v>
      </c>
      <c r="Y101" s="3">
        <v>1.76</v>
      </c>
      <c r="CO101" s="3">
        <v>7.08</v>
      </c>
      <c r="CP101" s="3">
        <v>6.3</v>
      </c>
      <c r="DB101" s="3">
        <v>8.94</v>
      </c>
      <c r="DC101" s="3">
        <v>8.2799999999999994</v>
      </c>
      <c r="EM101" s="3">
        <v>2.9</v>
      </c>
      <c r="EN101" s="3">
        <v>39.25</v>
      </c>
      <c r="EO101" s="3">
        <v>6.25</v>
      </c>
      <c r="EP101" s="3">
        <v>42.5</v>
      </c>
      <c r="ER101" s="3">
        <v>2.72</v>
      </c>
      <c r="ES101" s="3">
        <v>1.04</v>
      </c>
      <c r="ET101" s="3">
        <v>6.09</v>
      </c>
      <c r="EU101" s="3">
        <v>1.95</v>
      </c>
      <c r="EV101" s="3">
        <v>1.36</v>
      </c>
      <c r="EW101" s="3">
        <v>5.56</v>
      </c>
    </row>
    <row r="102" spans="1:184" x14ac:dyDescent="0.25">
      <c r="A102">
        <v>30</v>
      </c>
      <c r="B102" t="s">
        <v>257</v>
      </c>
      <c r="C102">
        <v>2019</v>
      </c>
      <c r="D102" t="s">
        <v>169</v>
      </c>
      <c r="E102" t="s">
        <v>169</v>
      </c>
      <c r="F102" t="s">
        <v>169</v>
      </c>
      <c r="G102" s="2">
        <v>0</v>
      </c>
      <c r="H102" t="s">
        <v>170</v>
      </c>
      <c r="I102" t="s">
        <v>258</v>
      </c>
      <c r="J102" t="s">
        <v>172</v>
      </c>
      <c r="K102" t="s">
        <v>173</v>
      </c>
      <c r="L102" t="s">
        <v>174</v>
      </c>
      <c r="N102" s="3">
        <v>963.7</v>
      </c>
      <c r="O102" s="3">
        <v>38.18</v>
      </c>
      <c r="P102" s="3">
        <v>55.52</v>
      </c>
      <c r="Q102" s="3">
        <v>1.56</v>
      </c>
      <c r="R102" s="3">
        <v>2608.7399999999998</v>
      </c>
      <c r="S102" s="3">
        <v>81.72</v>
      </c>
      <c r="T102" s="3">
        <v>166.04</v>
      </c>
      <c r="U102" s="3">
        <v>1.92</v>
      </c>
      <c r="V102" s="3">
        <f t="shared" si="16"/>
        <v>2608.7399999999998</v>
      </c>
      <c r="W102" s="3">
        <v>109.99</v>
      </c>
      <c r="X102" s="3">
        <v>215.22</v>
      </c>
      <c r="Y102" s="3">
        <v>1.88</v>
      </c>
      <c r="CO102" s="3">
        <v>8.14</v>
      </c>
      <c r="CP102" s="3">
        <v>7.24</v>
      </c>
      <c r="DB102" s="3">
        <v>8.5</v>
      </c>
      <c r="DC102" s="3">
        <v>7.85</v>
      </c>
      <c r="EM102" s="3">
        <v>1.75</v>
      </c>
      <c r="EN102" s="3">
        <v>29.25</v>
      </c>
      <c r="EO102" s="3">
        <v>5</v>
      </c>
      <c r="EP102" s="3">
        <v>32.25</v>
      </c>
      <c r="ER102" s="3">
        <v>2.48</v>
      </c>
      <c r="ES102" s="3">
        <v>0.93</v>
      </c>
      <c r="ET102" s="3">
        <v>4.4800000000000004</v>
      </c>
      <c r="EU102" s="3">
        <v>1.56</v>
      </c>
      <c r="EV102" s="3">
        <v>1.25</v>
      </c>
      <c r="EW102" s="3">
        <v>5.05</v>
      </c>
    </row>
    <row r="103" spans="1:184" x14ac:dyDescent="0.25">
      <c r="A103">
        <v>30</v>
      </c>
      <c r="B103" t="s">
        <v>257</v>
      </c>
      <c r="C103">
        <v>2019</v>
      </c>
      <c r="D103" t="s">
        <v>259</v>
      </c>
      <c r="E103" t="s">
        <v>175</v>
      </c>
      <c r="F103" t="s">
        <v>176</v>
      </c>
      <c r="G103" s="2">
        <v>300</v>
      </c>
      <c r="H103" t="s">
        <v>170</v>
      </c>
      <c r="I103" t="s">
        <v>258</v>
      </c>
      <c r="J103" t="s">
        <v>172</v>
      </c>
      <c r="K103" t="s">
        <v>173</v>
      </c>
      <c r="L103" t="s">
        <v>174</v>
      </c>
      <c r="N103" s="3">
        <v>964.4</v>
      </c>
      <c r="O103" s="3">
        <v>38.479999999999997</v>
      </c>
      <c r="P103" s="3">
        <v>56.12</v>
      </c>
      <c r="Q103" s="3">
        <v>1.56</v>
      </c>
      <c r="R103" s="3">
        <v>2683.94</v>
      </c>
      <c r="S103" s="3">
        <v>83.22</v>
      </c>
      <c r="T103" s="3">
        <v>166.28</v>
      </c>
      <c r="U103" s="3">
        <v>1.89</v>
      </c>
      <c r="V103" s="3">
        <f t="shared" si="16"/>
        <v>2683.94</v>
      </c>
      <c r="W103" s="3">
        <v>112.29</v>
      </c>
      <c r="X103" s="3">
        <v>215.24</v>
      </c>
      <c r="Y103" s="3">
        <v>1.86</v>
      </c>
      <c r="CO103" s="3">
        <v>7.74</v>
      </c>
      <c r="CP103" s="3">
        <v>6.85</v>
      </c>
      <c r="DB103" s="3">
        <v>8.5500000000000007</v>
      </c>
      <c r="DC103" s="3">
        <v>8.1</v>
      </c>
      <c r="EM103" s="3">
        <v>2.12</v>
      </c>
      <c r="EN103" s="3">
        <v>31.1</v>
      </c>
      <c r="EO103" s="3">
        <v>5.18</v>
      </c>
      <c r="EP103" s="3">
        <v>34.1</v>
      </c>
      <c r="ER103" s="3">
        <v>2.5</v>
      </c>
      <c r="ES103" s="3">
        <v>0.95</v>
      </c>
      <c r="ET103" s="3">
        <v>4.82</v>
      </c>
      <c r="EU103" s="3">
        <v>1.61</v>
      </c>
      <c r="EV103" s="3">
        <v>1.27</v>
      </c>
      <c r="EW103" s="3">
        <v>5.0999999999999996</v>
      </c>
    </row>
    <row r="104" spans="1:184" x14ac:dyDescent="0.25">
      <c r="A104">
        <v>31</v>
      </c>
      <c r="B104" t="s">
        <v>198</v>
      </c>
      <c r="C104">
        <v>2019</v>
      </c>
      <c r="D104" t="s">
        <v>169</v>
      </c>
      <c r="E104" t="s">
        <v>169</v>
      </c>
      <c r="F104" t="s">
        <v>169</v>
      </c>
      <c r="G104" s="2">
        <v>0</v>
      </c>
      <c r="H104" t="s">
        <v>196</v>
      </c>
      <c r="I104" t="s">
        <v>171</v>
      </c>
      <c r="J104" t="s">
        <v>197</v>
      </c>
      <c r="K104" t="s">
        <v>184</v>
      </c>
      <c r="L104" t="s">
        <v>197</v>
      </c>
      <c r="N104" s="3">
        <v>1205.1300000000001</v>
      </c>
      <c r="O104" s="3">
        <v>52.914999999999999</v>
      </c>
      <c r="P104" s="3">
        <v>56.429499999999997</v>
      </c>
      <c r="Q104" s="3">
        <v>1.0664178399319699</v>
      </c>
      <c r="CI104" s="3">
        <v>5.45</v>
      </c>
      <c r="CJ104" s="3">
        <v>4.09</v>
      </c>
      <c r="CK104" s="3">
        <v>7.36</v>
      </c>
      <c r="DM104" s="3">
        <v>827</v>
      </c>
      <c r="DP104" s="3">
        <v>201</v>
      </c>
      <c r="DS104" s="3">
        <f>DM104/DP104</f>
        <v>4.1144278606965177</v>
      </c>
      <c r="FZ104" s="3">
        <f>AVERAGE(DL104:DN104)</f>
        <v>827</v>
      </c>
      <c r="GA104" s="3">
        <f>AVERAGE(DO104:DQ104)</f>
        <v>201</v>
      </c>
      <c r="GB104" s="3">
        <f>FZ104/GA104</f>
        <v>4.1144278606965177</v>
      </c>
    </row>
    <row r="105" spans="1:184" x14ac:dyDescent="0.25">
      <c r="A105">
        <v>31</v>
      </c>
      <c r="B105" t="s">
        <v>198</v>
      </c>
      <c r="C105">
        <v>2019</v>
      </c>
      <c r="D105" t="s">
        <v>286</v>
      </c>
      <c r="E105" t="s">
        <v>284</v>
      </c>
      <c r="F105" t="s">
        <v>284</v>
      </c>
      <c r="G105" s="2">
        <v>45</v>
      </c>
      <c r="H105" t="s">
        <v>196</v>
      </c>
      <c r="I105" t="s">
        <v>171</v>
      </c>
      <c r="J105" t="s">
        <v>197</v>
      </c>
      <c r="K105" t="s">
        <v>184</v>
      </c>
      <c r="L105" t="s">
        <v>197</v>
      </c>
      <c r="N105" s="3">
        <f>41+22*O105</f>
        <v>2014.84</v>
      </c>
      <c r="O105" s="3">
        <v>89.72</v>
      </c>
      <c r="P105" s="3">
        <v>99.9</v>
      </c>
      <c r="Q105" s="3">
        <v>1.113</v>
      </c>
      <c r="CI105" s="3">
        <v>4.38</v>
      </c>
      <c r="CJ105" s="3">
        <v>2.8</v>
      </c>
      <c r="CK105" s="3">
        <v>5.37</v>
      </c>
      <c r="DM105" s="3">
        <v>1017</v>
      </c>
      <c r="DP105" s="3">
        <v>180</v>
      </c>
      <c r="DS105" s="3">
        <f>DM105/DP105</f>
        <v>5.65</v>
      </c>
      <c r="FZ105" s="3">
        <f>AVERAGE(DL105:DN105)</f>
        <v>1017</v>
      </c>
      <c r="GA105" s="3">
        <f>AVERAGE(DO105:DQ105)</f>
        <v>180</v>
      </c>
      <c r="GB105" s="3">
        <f>FZ105/GA105</f>
        <v>5.65</v>
      </c>
    </row>
    <row r="106" spans="1:184" x14ac:dyDescent="0.25">
      <c r="A106">
        <v>31</v>
      </c>
      <c r="B106" t="s">
        <v>198</v>
      </c>
      <c r="C106">
        <v>2019</v>
      </c>
      <c r="D106" t="s">
        <v>202</v>
      </c>
      <c r="E106" t="s">
        <v>175</v>
      </c>
      <c r="F106" t="s">
        <v>176</v>
      </c>
      <c r="G106" s="2">
        <v>20</v>
      </c>
      <c r="H106" t="s">
        <v>196</v>
      </c>
      <c r="I106" t="s">
        <v>171</v>
      </c>
      <c r="J106" t="s">
        <v>197</v>
      </c>
      <c r="K106" t="s">
        <v>184</v>
      </c>
      <c r="L106" t="s">
        <v>197</v>
      </c>
      <c r="N106" s="3">
        <v>1250.45</v>
      </c>
      <c r="O106" s="3">
        <v>54.975000000000001</v>
      </c>
      <c r="P106" s="3">
        <v>47.843000000000004</v>
      </c>
      <c r="Q106" s="3">
        <v>0.87026830377444298</v>
      </c>
      <c r="CI106" s="3">
        <v>4.68</v>
      </c>
      <c r="CJ106" s="3">
        <v>3.72</v>
      </c>
      <c r="CK106" s="3">
        <v>6.69</v>
      </c>
      <c r="DM106" s="3">
        <v>1140</v>
      </c>
      <c r="DP106" s="3">
        <v>171</v>
      </c>
      <c r="DS106" s="3">
        <f>DM106/DP106</f>
        <v>6.666666666666667</v>
      </c>
      <c r="FZ106" s="3">
        <f>AVERAGE(DL106:DN106)</f>
        <v>1140</v>
      </c>
      <c r="GA106" s="3">
        <f>AVERAGE(DO106:DQ106)</f>
        <v>171</v>
      </c>
      <c r="GB106" s="3">
        <f>FZ106/GA106</f>
        <v>6.666666666666667</v>
      </c>
    </row>
    <row r="107" spans="1:184" x14ac:dyDescent="0.25">
      <c r="A107" s="41">
        <v>32</v>
      </c>
      <c r="B107" t="s">
        <v>263</v>
      </c>
      <c r="C107">
        <v>2015</v>
      </c>
      <c r="D107" t="s">
        <v>169</v>
      </c>
      <c r="E107" t="s">
        <v>169</v>
      </c>
      <c r="F107" t="s">
        <v>169</v>
      </c>
      <c r="G107" s="2">
        <v>0</v>
      </c>
      <c r="H107" t="s">
        <v>179</v>
      </c>
      <c r="I107" t="s">
        <v>171</v>
      </c>
      <c r="J107" t="s">
        <v>172</v>
      </c>
      <c r="K107" t="s">
        <v>264</v>
      </c>
      <c r="L107" t="s">
        <v>238</v>
      </c>
      <c r="N107" s="3">
        <v>963.02</v>
      </c>
      <c r="O107" s="3">
        <v>43.76</v>
      </c>
      <c r="P107" s="3">
        <v>64.989999999999995</v>
      </c>
      <c r="Q107" s="3">
        <v>1.49</v>
      </c>
      <c r="R107" s="3">
        <v>3066.66</v>
      </c>
      <c r="S107" s="3">
        <v>75.13</v>
      </c>
      <c r="T107" s="3">
        <v>144.13999999999999</v>
      </c>
      <c r="U107" s="3">
        <v>1.92</v>
      </c>
      <c r="V107" s="3">
        <v>3066.66</v>
      </c>
      <c r="W107" s="3">
        <v>61.6869387755102</v>
      </c>
      <c r="X107" s="3">
        <v>104.975748061225</v>
      </c>
      <c r="Y107" s="3">
        <v>1.7</v>
      </c>
      <c r="BD107" s="3">
        <v>76.500166304709396</v>
      </c>
      <c r="BE107" s="3">
        <v>29.809462915600999</v>
      </c>
      <c r="BG107" s="3">
        <v>0.95907928388746799</v>
      </c>
    </row>
    <row r="108" spans="1:184" x14ac:dyDescent="0.25">
      <c r="A108" s="41">
        <v>32</v>
      </c>
      <c r="B108" t="s">
        <v>263</v>
      </c>
      <c r="C108">
        <v>2015</v>
      </c>
      <c r="D108" t="s">
        <v>265</v>
      </c>
      <c r="E108" t="s">
        <v>175</v>
      </c>
      <c r="F108" t="s">
        <v>176</v>
      </c>
      <c r="G108" s="2">
        <v>300</v>
      </c>
      <c r="H108" t="s">
        <v>179</v>
      </c>
      <c r="I108" t="s">
        <v>171</v>
      </c>
      <c r="J108" t="s">
        <v>172</v>
      </c>
      <c r="K108" t="s">
        <v>264</v>
      </c>
      <c r="L108" t="s">
        <v>238</v>
      </c>
      <c r="N108" s="3">
        <v>1034.3399999999999</v>
      </c>
      <c r="O108" s="3">
        <v>47.16</v>
      </c>
      <c r="P108" s="3">
        <v>68.400000000000006</v>
      </c>
      <c r="Q108" s="3">
        <v>1.45</v>
      </c>
      <c r="R108" s="3">
        <v>3250</v>
      </c>
      <c r="S108" s="3">
        <v>79.13</v>
      </c>
      <c r="T108" s="3">
        <v>148.49</v>
      </c>
      <c r="U108" s="3">
        <v>1.88</v>
      </c>
      <c r="V108" s="3">
        <v>3250</v>
      </c>
      <c r="W108" s="3">
        <v>65.428571428571402</v>
      </c>
      <c r="X108" s="3">
        <v>108.840428571429</v>
      </c>
      <c r="Y108" s="3">
        <v>1.66</v>
      </c>
      <c r="BD108" s="3">
        <v>74.815384615384602</v>
      </c>
      <c r="BE108" s="3">
        <v>32.284597984783098</v>
      </c>
      <c r="BG108" s="3">
        <v>0.84968126670779298</v>
      </c>
    </row>
    <row r="109" spans="1:184" x14ac:dyDescent="0.25">
      <c r="A109">
        <v>33</v>
      </c>
      <c r="B109" t="s">
        <v>266</v>
      </c>
      <c r="C109">
        <v>2011</v>
      </c>
      <c r="D109" t="s">
        <v>169</v>
      </c>
      <c r="E109" t="s">
        <v>169</v>
      </c>
      <c r="F109" t="s">
        <v>169</v>
      </c>
      <c r="G109" s="2">
        <v>0</v>
      </c>
      <c r="H109" t="s">
        <v>196</v>
      </c>
      <c r="I109" t="s">
        <v>171</v>
      </c>
      <c r="J109" t="s">
        <v>201</v>
      </c>
      <c r="K109" t="s">
        <v>267</v>
      </c>
      <c r="L109" t="s">
        <v>248</v>
      </c>
      <c r="DN109" s="3">
        <v>773</v>
      </c>
      <c r="DQ109" s="3">
        <v>171</v>
      </c>
      <c r="DT109" s="3">
        <f>DN109/DQ109</f>
        <v>4.5204678362573096</v>
      </c>
      <c r="EJ109" s="3">
        <v>3.21</v>
      </c>
      <c r="EK109" s="3">
        <v>1.57</v>
      </c>
      <c r="FZ109" s="3">
        <f>AVERAGE(DL109:DN109)</f>
        <v>773</v>
      </c>
      <c r="GA109" s="3">
        <f>AVERAGE(DO109:DQ109)</f>
        <v>171</v>
      </c>
      <c r="GB109" s="3">
        <f>FZ109/GA109</f>
        <v>4.5204678362573096</v>
      </c>
    </row>
    <row r="110" spans="1:184" x14ac:dyDescent="0.25">
      <c r="A110">
        <v>33</v>
      </c>
      <c r="B110" t="s">
        <v>266</v>
      </c>
      <c r="C110">
        <v>2011</v>
      </c>
      <c r="D110" t="s">
        <v>289</v>
      </c>
      <c r="E110" t="s">
        <v>284</v>
      </c>
      <c r="F110" t="s">
        <v>284</v>
      </c>
      <c r="G110" s="2">
        <v>50</v>
      </c>
      <c r="H110" t="s">
        <v>196</v>
      </c>
      <c r="I110" t="s">
        <v>171</v>
      </c>
      <c r="J110" t="s">
        <v>201</v>
      </c>
      <c r="K110" t="s">
        <v>267</v>
      </c>
      <c r="L110" t="s">
        <v>248</v>
      </c>
      <c r="DN110" s="3">
        <v>796</v>
      </c>
      <c r="DQ110" s="3">
        <v>174</v>
      </c>
      <c r="DT110" s="3">
        <f>DN110/DQ110</f>
        <v>4.5747126436781613</v>
      </c>
      <c r="EJ110" s="3">
        <v>3.67</v>
      </c>
      <c r="EK110" s="3">
        <v>1.75</v>
      </c>
      <c r="FZ110" s="3">
        <f>AVERAGE(DL110:DN110)</f>
        <v>796</v>
      </c>
      <c r="GA110" s="3">
        <f>AVERAGE(DO110:DQ110)</f>
        <v>174</v>
      </c>
      <c r="GB110" s="3">
        <f>FZ110/GA110</f>
        <v>4.5747126436781613</v>
      </c>
    </row>
    <row r="111" spans="1:184" x14ac:dyDescent="0.25">
      <c r="A111">
        <v>33</v>
      </c>
      <c r="B111" t="s">
        <v>266</v>
      </c>
      <c r="C111">
        <v>2011</v>
      </c>
      <c r="D111" t="s">
        <v>268</v>
      </c>
      <c r="E111" t="s">
        <v>175</v>
      </c>
      <c r="F111" t="s">
        <v>176</v>
      </c>
      <c r="G111" s="2">
        <v>250</v>
      </c>
      <c r="H111" t="s">
        <v>196</v>
      </c>
      <c r="I111" t="s">
        <v>171</v>
      </c>
      <c r="J111" t="s">
        <v>201</v>
      </c>
      <c r="K111" t="s">
        <v>267</v>
      </c>
      <c r="L111" t="s">
        <v>248</v>
      </c>
      <c r="DN111" s="3">
        <v>795</v>
      </c>
      <c r="DQ111" s="3">
        <v>172</v>
      </c>
      <c r="DT111" s="3">
        <f>DN111/DQ111</f>
        <v>4.6220930232558137</v>
      </c>
      <c r="EJ111" s="3">
        <v>3.7</v>
      </c>
      <c r="EK111" s="3">
        <v>1.86</v>
      </c>
      <c r="FZ111" s="3">
        <f>AVERAGE(DL111:DN111)</f>
        <v>795</v>
      </c>
      <c r="GA111" s="3">
        <f>AVERAGE(DO111:DQ111)</f>
        <v>172</v>
      </c>
      <c r="GB111" s="3">
        <f>FZ111/GA111</f>
        <v>4.6220930232558137</v>
      </c>
    </row>
    <row r="112" spans="1:184" x14ac:dyDescent="0.25">
      <c r="A112">
        <v>33</v>
      </c>
      <c r="B112" t="s">
        <v>266</v>
      </c>
      <c r="C112">
        <v>2011</v>
      </c>
      <c r="D112" t="s">
        <v>268</v>
      </c>
      <c r="E112" t="s">
        <v>175</v>
      </c>
      <c r="F112" t="s">
        <v>176</v>
      </c>
      <c r="G112" s="2">
        <v>500</v>
      </c>
      <c r="H112" t="s">
        <v>196</v>
      </c>
      <c r="I112" t="s">
        <v>171</v>
      </c>
      <c r="J112" t="s">
        <v>201</v>
      </c>
      <c r="K112" t="s">
        <v>267</v>
      </c>
      <c r="L112" t="s">
        <v>248</v>
      </c>
      <c r="DN112" s="3">
        <v>814</v>
      </c>
      <c r="DQ112" s="3">
        <v>170</v>
      </c>
      <c r="DT112" s="3">
        <f>DN112/DQ112</f>
        <v>4.7882352941176469</v>
      </c>
      <c r="EJ112" s="3">
        <v>3.63</v>
      </c>
      <c r="EK112" s="3">
        <v>1.96</v>
      </c>
      <c r="FZ112" s="3">
        <f>AVERAGE(DL112:DN112)</f>
        <v>814</v>
      </c>
      <c r="GA112" s="3">
        <f>AVERAGE(DO112:DQ112)</f>
        <v>170</v>
      </c>
      <c r="GB112" s="3">
        <f>FZ112/GA112</f>
        <v>4.7882352941176469</v>
      </c>
    </row>
    <row r="113" spans="1:184" x14ac:dyDescent="0.25">
      <c r="A113">
        <v>34</v>
      </c>
      <c r="B113" t="s">
        <v>269</v>
      </c>
      <c r="C113">
        <v>2014</v>
      </c>
      <c r="D113" t="s">
        <v>169</v>
      </c>
      <c r="E113" t="s">
        <v>169</v>
      </c>
      <c r="F113" t="s">
        <v>169</v>
      </c>
      <c r="G113" s="2">
        <v>0</v>
      </c>
      <c r="H113" t="s">
        <v>179</v>
      </c>
      <c r="I113" t="s">
        <v>258</v>
      </c>
      <c r="J113" t="s">
        <v>172</v>
      </c>
      <c r="K113" t="s">
        <v>173</v>
      </c>
      <c r="L113" t="s">
        <v>174</v>
      </c>
      <c r="N113" s="3">
        <v>829.17</v>
      </c>
      <c r="O113" s="3">
        <v>37.1</v>
      </c>
      <c r="P113" s="3">
        <v>58.9</v>
      </c>
      <c r="Q113" s="3">
        <v>1.59</v>
      </c>
      <c r="R113" s="3">
        <v>2233.63</v>
      </c>
      <c r="S113" s="3">
        <v>66.88</v>
      </c>
      <c r="T113" s="3">
        <v>137.30000000000001</v>
      </c>
      <c r="U113" s="3">
        <v>2.08</v>
      </c>
      <c r="V113" s="3">
        <v>2233.63</v>
      </c>
      <c r="W113" s="3">
        <v>51.99</v>
      </c>
      <c r="X113" s="3">
        <v>98.1</v>
      </c>
      <c r="Y113" s="3">
        <v>1.9</v>
      </c>
      <c r="BO113" s="3">
        <v>5.71</v>
      </c>
      <c r="BP113" s="3">
        <v>3.22</v>
      </c>
      <c r="BQ113" s="3">
        <v>2.4900000000000002</v>
      </c>
      <c r="BR113" s="3">
        <f>BP113/BQ113</f>
        <v>1.2931726907630521</v>
      </c>
      <c r="BS113" s="3">
        <v>124.27</v>
      </c>
      <c r="BT113" s="3">
        <v>1037.26</v>
      </c>
      <c r="BX113" s="3">
        <v>72.709999999999994</v>
      </c>
      <c r="BY113" s="3">
        <v>19.68</v>
      </c>
      <c r="BZ113" s="3">
        <v>5.49</v>
      </c>
      <c r="CA113" s="3">
        <f>BY113/BZ113</f>
        <v>3.5846994535519126</v>
      </c>
      <c r="CB113" s="3">
        <v>2.86</v>
      </c>
      <c r="CC113" s="3">
        <v>1</v>
      </c>
      <c r="EO113" s="3">
        <v>9.07</v>
      </c>
      <c r="EY113" s="3">
        <v>19.68</v>
      </c>
      <c r="EZ113" s="3">
        <v>72.709999999999994</v>
      </c>
      <c r="FF113" s="3">
        <v>18.84</v>
      </c>
      <c r="FG113" s="3">
        <v>76.58</v>
      </c>
    </row>
    <row r="114" spans="1:184" x14ac:dyDescent="0.25">
      <c r="A114">
        <v>34</v>
      </c>
      <c r="B114" t="s">
        <v>269</v>
      </c>
      <c r="C114">
        <v>2014</v>
      </c>
      <c r="D114" t="s">
        <v>228</v>
      </c>
      <c r="E114" t="s">
        <v>175</v>
      </c>
      <c r="F114" t="s">
        <v>218</v>
      </c>
      <c r="G114" s="2">
        <v>0.5</v>
      </c>
      <c r="H114" t="s">
        <v>179</v>
      </c>
      <c r="I114" t="s">
        <v>258</v>
      </c>
      <c r="J114" t="s">
        <v>172</v>
      </c>
      <c r="K114" t="s">
        <v>173</v>
      </c>
      <c r="L114" t="s">
        <v>174</v>
      </c>
      <c r="N114" s="3">
        <v>783.33</v>
      </c>
      <c r="O114" s="3">
        <v>34.92</v>
      </c>
      <c r="P114" s="3">
        <v>56.56</v>
      </c>
      <c r="Q114" s="3">
        <v>1.62</v>
      </c>
      <c r="R114" s="3">
        <v>2187.5</v>
      </c>
      <c r="S114" s="3">
        <v>66.87</v>
      </c>
      <c r="T114" s="3">
        <v>129.66</v>
      </c>
      <c r="U114" s="3">
        <v>1.95</v>
      </c>
      <c r="V114" s="3">
        <v>2187.5</v>
      </c>
      <c r="W114" s="3">
        <v>50.89</v>
      </c>
      <c r="X114" s="3">
        <v>93.11</v>
      </c>
      <c r="Y114" s="3">
        <v>1.83</v>
      </c>
      <c r="BO114" s="3">
        <v>4.9800000000000004</v>
      </c>
      <c r="BP114" s="3">
        <v>2.71</v>
      </c>
      <c r="BQ114" s="3">
        <v>2.27</v>
      </c>
      <c r="BR114" s="3">
        <f>BP114/BQ114</f>
        <v>1.1938325991189427</v>
      </c>
      <c r="BS114" s="3">
        <v>124.15</v>
      </c>
      <c r="BT114" s="3">
        <v>1055.96</v>
      </c>
      <c r="BX114" s="3">
        <v>75.44</v>
      </c>
      <c r="BY114" s="3">
        <v>18.93</v>
      </c>
      <c r="BZ114" s="3">
        <v>5.0199999999999996</v>
      </c>
      <c r="CA114" s="3">
        <f>BY114/BZ114</f>
        <v>3.7709163346613548</v>
      </c>
      <c r="CB114" s="3">
        <v>2.42</v>
      </c>
      <c r="CC114" s="3">
        <v>1.1200000000000001</v>
      </c>
      <c r="EO114" s="3">
        <v>9.81</v>
      </c>
      <c r="EY114" s="3">
        <v>18.93</v>
      </c>
      <c r="EZ114" s="3">
        <v>75.44</v>
      </c>
      <c r="FF114" s="3">
        <v>18.63</v>
      </c>
      <c r="FG114" s="3">
        <v>76.84</v>
      </c>
    </row>
    <row r="115" spans="1:184" x14ac:dyDescent="0.25">
      <c r="A115">
        <v>34</v>
      </c>
      <c r="B115" t="s">
        <v>269</v>
      </c>
      <c r="C115">
        <v>2014</v>
      </c>
      <c r="D115" t="s">
        <v>228</v>
      </c>
      <c r="E115" t="s">
        <v>175</v>
      </c>
      <c r="F115" t="s">
        <v>218</v>
      </c>
      <c r="G115" s="2">
        <v>1</v>
      </c>
      <c r="H115" t="s">
        <v>179</v>
      </c>
      <c r="I115" t="s">
        <v>258</v>
      </c>
      <c r="J115" t="s">
        <v>172</v>
      </c>
      <c r="K115" t="s">
        <v>173</v>
      </c>
      <c r="L115" t="s">
        <v>174</v>
      </c>
      <c r="N115" s="3">
        <v>808.33</v>
      </c>
      <c r="O115" s="3">
        <v>36.11</v>
      </c>
      <c r="P115" s="3">
        <v>57.11</v>
      </c>
      <c r="Q115" s="3">
        <v>1.58</v>
      </c>
      <c r="R115" s="3">
        <v>2290.48</v>
      </c>
      <c r="S115" s="3">
        <v>70.58</v>
      </c>
      <c r="T115" s="3">
        <v>126.39</v>
      </c>
      <c r="U115" s="3">
        <v>1.79</v>
      </c>
      <c r="V115" s="3">
        <v>2290.48</v>
      </c>
      <c r="W115" s="3">
        <v>53.34</v>
      </c>
      <c r="X115" s="3">
        <v>91.75</v>
      </c>
      <c r="Y115" s="3">
        <v>1.72</v>
      </c>
      <c r="BO115" s="3">
        <v>5.6</v>
      </c>
      <c r="BP115" s="3">
        <v>2.89</v>
      </c>
      <c r="BQ115" s="3">
        <v>2.71</v>
      </c>
      <c r="BR115" s="3">
        <f>BP115/BQ115</f>
        <v>1.0664206642066421</v>
      </c>
      <c r="BS115" s="3">
        <v>130.54</v>
      </c>
      <c r="BT115" s="3">
        <v>1050.53</v>
      </c>
      <c r="BX115" s="3">
        <v>71.400000000000006</v>
      </c>
      <c r="BY115" s="3">
        <v>18.190000000000001</v>
      </c>
      <c r="BZ115" s="3">
        <v>5.38</v>
      </c>
      <c r="CA115" s="3">
        <f>BY115/BZ115</f>
        <v>3.3810408921933091</v>
      </c>
      <c r="CB115" s="3">
        <v>2.78</v>
      </c>
      <c r="CC115" s="3">
        <v>0.93</v>
      </c>
      <c r="EO115" s="3">
        <v>10.65</v>
      </c>
      <c r="EY115" s="3">
        <v>18.190000000000001</v>
      </c>
      <c r="EZ115" s="3">
        <v>71.400000000000006</v>
      </c>
      <c r="FF115" s="3">
        <v>18.489999999999998</v>
      </c>
      <c r="FG115" s="3">
        <v>80.400000000000006</v>
      </c>
    </row>
    <row r="116" spans="1:184" x14ac:dyDescent="0.25">
      <c r="A116">
        <v>34</v>
      </c>
      <c r="B116" t="s">
        <v>269</v>
      </c>
      <c r="C116">
        <v>2014</v>
      </c>
      <c r="D116" t="s">
        <v>228</v>
      </c>
      <c r="E116" t="s">
        <v>175</v>
      </c>
      <c r="F116" t="s">
        <v>218</v>
      </c>
      <c r="G116" s="2">
        <v>1.5</v>
      </c>
      <c r="H116" t="s">
        <v>179</v>
      </c>
      <c r="I116" t="s">
        <v>258</v>
      </c>
      <c r="J116" t="s">
        <v>172</v>
      </c>
      <c r="K116" t="s">
        <v>173</v>
      </c>
      <c r="L116" t="s">
        <v>174</v>
      </c>
      <c r="N116" s="3">
        <v>785.42</v>
      </c>
      <c r="O116" s="3">
        <v>35.020000000000003</v>
      </c>
      <c r="P116" s="3">
        <v>56.68</v>
      </c>
      <c r="Q116" s="3">
        <v>1.62</v>
      </c>
      <c r="R116" s="3">
        <v>2183.33</v>
      </c>
      <c r="S116" s="3">
        <v>66.569999999999993</v>
      </c>
      <c r="T116" s="3">
        <v>121.23</v>
      </c>
      <c r="U116" s="3">
        <v>1.82</v>
      </c>
      <c r="V116" s="3">
        <v>2183.33</v>
      </c>
      <c r="W116" s="3">
        <v>50.79</v>
      </c>
      <c r="X116" s="3">
        <v>88.95</v>
      </c>
      <c r="Y116" s="3">
        <v>1.75</v>
      </c>
      <c r="BO116" s="3">
        <v>5.14</v>
      </c>
      <c r="BP116" s="3">
        <v>2.92</v>
      </c>
      <c r="BQ116" s="3">
        <v>2.2200000000000002</v>
      </c>
      <c r="BR116" s="3">
        <f>BP116/BQ116</f>
        <v>1.3153153153153152</v>
      </c>
      <c r="BS116" s="3">
        <v>117.12</v>
      </c>
      <c r="BT116" s="3">
        <v>1070.3599999999999</v>
      </c>
      <c r="BX116" s="3">
        <v>71.17</v>
      </c>
      <c r="BY116" s="3">
        <v>18.170000000000002</v>
      </c>
      <c r="BZ116" s="3">
        <v>5.47</v>
      </c>
      <c r="CA116" s="3">
        <f>BY116/BZ116</f>
        <v>3.321755027422304</v>
      </c>
      <c r="CB116" s="3">
        <v>2.71</v>
      </c>
      <c r="CC116" s="3">
        <v>1.05</v>
      </c>
      <c r="EO116" s="3">
        <v>10.44</v>
      </c>
      <c r="EY116" s="3">
        <v>18.170000000000002</v>
      </c>
      <c r="EZ116" s="3">
        <v>71.17</v>
      </c>
      <c r="FF116" s="3">
        <v>19.829999999999998</v>
      </c>
      <c r="FG116" s="3">
        <v>81.08</v>
      </c>
    </row>
    <row r="117" spans="1:184" x14ac:dyDescent="0.25">
      <c r="A117">
        <v>35</v>
      </c>
      <c r="B117" t="s">
        <v>270</v>
      </c>
      <c r="C117">
        <v>2015</v>
      </c>
      <c r="D117" t="s">
        <v>169</v>
      </c>
      <c r="E117" t="s">
        <v>169</v>
      </c>
      <c r="F117" t="s">
        <v>169</v>
      </c>
      <c r="G117" s="2">
        <v>0</v>
      </c>
      <c r="H117" t="s">
        <v>196</v>
      </c>
      <c r="I117" t="s">
        <v>184</v>
      </c>
      <c r="J117" t="s">
        <v>271</v>
      </c>
      <c r="K117" t="s">
        <v>221</v>
      </c>
      <c r="L117" t="s">
        <v>272</v>
      </c>
      <c r="N117" s="3">
        <v>1190</v>
      </c>
      <c r="O117" s="3">
        <v>49</v>
      </c>
      <c r="P117" s="3">
        <v>82.857142857142904</v>
      </c>
      <c r="Q117" s="3">
        <v>1.69</v>
      </c>
      <c r="R117" s="3">
        <v>1862</v>
      </c>
      <c r="S117" s="3">
        <v>48</v>
      </c>
      <c r="T117" s="3">
        <v>141.57142857142901</v>
      </c>
      <c r="U117" s="3">
        <v>2.99</v>
      </c>
      <c r="V117" s="3">
        <v>1862</v>
      </c>
      <c r="W117" s="3">
        <v>48.6</v>
      </c>
      <c r="X117" s="3">
        <v>106.342857142857</v>
      </c>
      <c r="Y117" s="3">
        <v>2.19</v>
      </c>
      <c r="AL117" s="3">
        <v>70.099999999999994</v>
      </c>
      <c r="AM117" s="3">
        <v>78.63</v>
      </c>
      <c r="AN117"/>
      <c r="AO117" s="3">
        <v>2578</v>
      </c>
      <c r="DL117" s="3">
        <v>673.11</v>
      </c>
      <c r="DM117"/>
      <c r="DO117" s="3">
        <v>411.97</v>
      </c>
      <c r="DR117" s="3">
        <f>DL117/DO117</f>
        <v>1.6338811078476587</v>
      </c>
      <c r="FZ117" s="3">
        <f>AVERAGE(DL117:DN117)</f>
        <v>673.11</v>
      </c>
      <c r="GA117" s="3">
        <f>AVERAGE(DO117:DQ117)</f>
        <v>411.97</v>
      </c>
      <c r="GB117" s="3">
        <f>FZ117/GA117</f>
        <v>1.6338811078476587</v>
      </c>
    </row>
    <row r="118" spans="1:184" x14ac:dyDescent="0.25">
      <c r="A118">
        <v>35</v>
      </c>
      <c r="B118" t="s">
        <v>270</v>
      </c>
      <c r="C118">
        <v>2015</v>
      </c>
      <c r="D118" t="s">
        <v>290</v>
      </c>
      <c r="E118" t="s">
        <v>284</v>
      </c>
      <c r="F118" t="s">
        <v>284</v>
      </c>
      <c r="G118" s="2">
        <v>15</v>
      </c>
      <c r="H118" t="s">
        <v>196</v>
      </c>
      <c r="I118" t="s">
        <v>184</v>
      </c>
      <c r="J118" t="s">
        <v>271</v>
      </c>
      <c r="K118" t="s">
        <v>221</v>
      </c>
      <c r="L118" t="s">
        <v>272</v>
      </c>
      <c r="N118" s="3">
        <v>1220</v>
      </c>
      <c r="O118" s="3">
        <f>1063/(28-8+1)</f>
        <v>50.61904761904762</v>
      </c>
      <c r="P118" s="3">
        <f>O118*Q118</f>
        <v>80.990476190476201</v>
      </c>
      <c r="Q118" s="3">
        <v>1.6</v>
      </c>
      <c r="R118" s="3">
        <v>2078</v>
      </c>
      <c r="S118" s="3">
        <f>858/(42-29+1)</f>
        <v>61.285714285714285</v>
      </c>
      <c r="T118" s="3">
        <f>S118*U118</f>
        <v>139.73142857142855</v>
      </c>
      <c r="U118" s="3">
        <v>2.2799999999999998</v>
      </c>
      <c r="V118" s="3">
        <f>R118</f>
        <v>2078</v>
      </c>
      <c r="W118" s="3">
        <f>1921/(42-8+1)</f>
        <v>54.885714285714286</v>
      </c>
      <c r="X118" s="3">
        <f>W118*Y118</f>
        <v>104.28285714285714</v>
      </c>
      <c r="Y118" s="3">
        <v>1.9</v>
      </c>
      <c r="AL118" s="3">
        <v>75.540000000000006</v>
      </c>
      <c r="AM118" s="3">
        <v>83.06</v>
      </c>
      <c r="AN118"/>
      <c r="AO118" s="3">
        <v>2776</v>
      </c>
      <c r="DL118" s="3">
        <v>820.05</v>
      </c>
      <c r="DM118"/>
      <c r="DO118" s="3">
        <v>333.86</v>
      </c>
      <c r="DR118" s="3">
        <f>DL118/DO118</f>
        <v>2.456269094830168</v>
      </c>
      <c r="FZ118" s="3">
        <f>AVERAGE(DL118:DN118)</f>
        <v>820.05</v>
      </c>
      <c r="GA118" s="3">
        <f>AVERAGE(DO118:DQ118)</f>
        <v>333.86</v>
      </c>
      <c r="GB118" s="3">
        <f>FZ118/GA118</f>
        <v>2.456269094830168</v>
      </c>
    </row>
    <row r="119" spans="1:184" x14ac:dyDescent="0.25">
      <c r="A119">
        <v>35</v>
      </c>
      <c r="B119" t="s">
        <v>270</v>
      </c>
      <c r="C119">
        <v>2015</v>
      </c>
      <c r="D119" t="s">
        <v>268</v>
      </c>
      <c r="E119" t="s">
        <v>175</v>
      </c>
      <c r="F119" t="s">
        <v>176</v>
      </c>
      <c r="G119" s="2">
        <v>130</v>
      </c>
      <c r="H119" t="s">
        <v>196</v>
      </c>
      <c r="I119" t="s">
        <v>184</v>
      </c>
      <c r="J119" t="s">
        <v>271</v>
      </c>
      <c r="K119" t="s">
        <v>221</v>
      </c>
      <c r="L119" t="s">
        <v>272</v>
      </c>
      <c r="N119" s="3">
        <v>1223</v>
      </c>
      <c r="O119" s="3">
        <v>50.619047619047599</v>
      </c>
      <c r="P119" s="3">
        <v>81.476190476190496</v>
      </c>
      <c r="Q119" s="3">
        <v>1.61</v>
      </c>
      <c r="R119" s="3">
        <v>2018</v>
      </c>
      <c r="S119" s="3">
        <v>56.785714285714299</v>
      </c>
      <c r="T119" s="3">
        <v>142.857142857143</v>
      </c>
      <c r="U119" s="3">
        <v>2.52</v>
      </c>
      <c r="V119" s="3">
        <v>2018</v>
      </c>
      <c r="W119" s="3">
        <v>53.085714285714303</v>
      </c>
      <c r="X119" s="3">
        <v>106</v>
      </c>
      <c r="Y119" s="3">
        <v>1.99</v>
      </c>
      <c r="AL119" s="3">
        <v>72.59</v>
      </c>
      <c r="AM119" s="3">
        <v>82.35</v>
      </c>
      <c r="AN119"/>
      <c r="AO119" s="3">
        <v>2647</v>
      </c>
      <c r="DL119" s="3">
        <v>1078.74</v>
      </c>
      <c r="DM119"/>
      <c r="DO119" s="3">
        <v>279.55</v>
      </c>
      <c r="DR119" s="3">
        <f>DL119/DO119</f>
        <v>3.8588445716329813</v>
      </c>
      <c r="FZ119" s="3">
        <f>AVERAGE(DL119:DN119)</f>
        <v>1078.74</v>
      </c>
      <c r="GA119" s="3">
        <f>AVERAGE(DO119:DQ119)</f>
        <v>279.55</v>
      </c>
      <c r="GB119" s="3">
        <f>FZ119/GA119</f>
        <v>3.8588445716329813</v>
      </c>
    </row>
    <row r="120" spans="1:184" x14ac:dyDescent="0.25">
      <c r="A120">
        <v>35</v>
      </c>
      <c r="B120" t="s">
        <v>270</v>
      </c>
      <c r="C120">
        <v>2015</v>
      </c>
      <c r="D120" t="s">
        <v>268</v>
      </c>
      <c r="E120" t="s">
        <v>175</v>
      </c>
      <c r="F120" t="s">
        <v>176</v>
      </c>
      <c r="G120" s="2">
        <v>260</v>
      </c>
      <c r="H120" t="s">
        <v>196</v>
      </c>
      <c r="I120" t="s">
        <v>184</v>
      </c>
      <c r="J120" t="s">
        <v>271</v>
      </c>
      <c r="K120" t="s">
        <v>221</v>
      </c>
      <c r="L120" t="s">
        <v>272</v>
      </c>
      <c r="N120" s="3">
        <v>1243</v>
      </c>
      <c r="O120" s="3">
        <v>51.476190476190503</v>
      </c>
      <c r="P120" s="3">
        <v>79.142857142857096</v>
      </c>
      <c r="Q120" s="3">
        <v>1.54</v>
      </c>
      <c r="R120" s="3">
        <v>2103</v>
      </c>
      <c r="S120" s="3">
        <v>61.5</v>
      </c>
      <c r="T120" s="3">
        <v>138.71428571428601</v>
      </c>
      <c r="U120" s="3">
        <v>2.27</v>
      </c>
      <c r="V120" s="3">
        <v>2103</v>
      </c>
      <c r="W120" s="3">
        <v>55.485714285714302</v>
      </c>
      <c r="X120" s="3">
        <v>102.971428571429</v>
      </c>
      <c r="Y120" s="3">
        <v>1.86</v>
      </c>
      <c r="AL120" s="3">
        <v>71.87</v>
      </c>
      <c r="AM120" s="3">
        <v>84.25</v>
      </c>
      <c r="AN120"/>
      <c r="AO120" s="3">
        <v>2819</v>
      </c>
      <c r="DL120" s="3">
        <v>1247.5</v>
      </c>
      <c r="DM120"/>
      <c r="DO120" s="3">
        <v>301.3</v>
      </c>
      <c r="DR120" s="3">
        <f>DL120/DO120</f>
        <v>4.1403916362429474</v>
      </c>
      <c r="FZ120" s="3">
        <f>AVERAGE(DL120:DN120)</f>
        <v>1247.5</v>
      </c>
      <c r="GA120" s="3">
        <f>AVERAGE(DO120:DQ120)</f>
        <v>301.3</v>
      </c>
      <c r="GB120" s="3">
        <f>FZ120/GA120</f>
        <v>4.1403916362429474</v>
      </c>
    </row>
    <row r="121" spans="1:184" x14ac:dyDescent="0.25">
      <c r="A121">
        <v>35</v>
      </c>
      <c r="B121" t="s">
        <v>270</v>
      </c>
      <c r="C121">
        <v>2015</v>
      </c>
      <c r="D121" t="s">
        <v>268</v>
      </c>
      <c r="E121" t="s">
        <v>175</v>
      </c>
      <c r="F121" t="s">
        <v>176</v>
      </c>
      <c r="G121" s="2">
        <v>520</v>
      </c>
      <c r="H121" t="s">
        <v>196</v>
      </c>
      <c r="I121" t="s">
        <v>184</v>
      </c>
      <c r="J121" t="s">
        <v>271</v>
      </c>
      <c r="K121" t="s">
        <v>221</v>
      </c>
      <c r="L121" t="s">
        <v>272</v>
      </c>
      <c r="N121" s="3">
        <v>1188</v>
      </c>
      <c r="O121" s="3">
        <v>49.047619047619101</v>
      </c>
      <c r="P121" s="3">
        <v>80.523809523809504</v>
      </c>
      <c r="Q121" s="3">
        <v>1.64</v>
      </c>
      <c r="R121" s="3">
        <v>2012</v>
      </c>
      <c r="S121" s="3">
        <v>58.857142857142897</v>
      </c>
      <c r="T121" s="3">
        <v>142.92857142857099</v>
      </c>
      <c r="U121" s="3">
        <v>2.4500000000000002</v>
      </c>
      <c r="V121" s="3">
        <v>2012</v>
      </c>
      <c r="W121" s="3">
        <v>52.971428571428604</v>
      </c>
      <c r="X121" s="3">
        <v>105.485714285714</v>
      </c>
      <c r="Y121" s="3">
        <v>1.99</v>
      </c>
      <c r="AL121" s="3">
        <v>62.15</v>
      </c>
      <c r="AM121" s="3">
        <v>78.23</v>
      </c>
      <c r="AN121"/>
      <c r="AO121" s="3">
        <v>2534</v>
      </c>
      <c r="DL121" s="3">
        <v>926.56</v>
      </c>
      <c r="DM121"/>
      <c r="DO121" s="3">
        <v>335.24</v>
      </c>
      <c r="DR121" s="3">
        <f>DL121/DO121</f>
        <v>2.7638706598257961</v>
      </c>
      <c r="FZ121" s="3">
        <f>AVERAGE(DL121:DN121)</f>
        <v>926.56</v>
      </c>
      <c r="GA121" s="3">
        <f>AVERAGE(DO121:DQ121)</f>
        <v>335.24</v>
      </c>
      <c r="GB121" s="3">
        <f>FZ121/GA121</f>
        <v>2.7638706598257961</v>
      </c>
    </row>
    <row r="122" spans="1:184" x14ac:dyDescent="0.25">
      <c r="A122">
        <v>36</v>
      </c>
      <c r="B122" t="s">
        <v>274</v>
      </c>
      <c r="C122">
        <v>2017</v>
      </c>
      <c r="D122" t="s">
        <v>169</v>
      </c>
      <c r="E122" t="s">
        <v>169</v>
      </c>
      <c r="F122" t="s">
        <v>169</v>
      </c>
      <c r="G122" s="2">
        <v>0</v>
      </c>
      <c r="H122" t="s">
        <v>275</v>
      </c>
      <c r="I122" t="s">
        <v>258</v>
      </c>
      <c r="J122" t="s">
        <v>184</v>
      </c>
      <c r="K122" t="s">
        <v>184</v>
      </c>
      <c r="L122" t="s">
        <v>174</v>
      </c>
      <c r="V122" s="3">
        <v>1779.4</v>
      </c>
      <c r="W122" s="3">
        <f>1731.79/42</f>
        <v>41.233095238095238</v>
      </c>
      <c r="EM122" s="3">
        <v>5.89</v>
      </c>
      <c r="EO122" s="3">
        <v>6.47</v>
      </c>
    </row>
    <row r="123" spans="1:184" x14ac:dyDescent="0.25">
      <c r="A123">
        <v>36</v>
      </c>
      <c r="B123" t="s">
        <v>274</v>
      </c>
      <c r="C123">
        <v>2017</v>
      </c>
      <c r="D123" t="s">
        <v>262</v>
      </c>
      <c r="E123" t="s">
        <v>175</v>
      </c>
      <c r="F123" t="s">
        <v>176</v>
      </c>
      <c r="G123" s="2">
        <v>250</v>
      </c>
      <c r="H123" t="s">
        <v>275</v>
      </c>
      <c r="I123" t="s">
        <v>258</v>
      </c>
      <c r="J123" t="s">
        <v>184</v>
      </c>
      <c r="K123" t="s">
        <v>184</v>
      </c>
      <c r="L123" t="s">
        <v>174</v>
      </c>
      <c r="V123" s="3">
        <v>2221.8000000000002</v>
      </c>
      <c r="W123" s="3">
        <f>2176.28/42</f>
        <v>51.816190476190478</v>
      </c>
      <c r="EM123" s="3">
        <v>6.42</v>
      </c>
      <c r="EO123" s="3">
        <v>7.01</v>
      </c>
      <c r="ER123"/>
    </row>
    <row r="124" spans="1:184" x14ac:dyDescent="0.25">
      <c r="A124">
        <v>37</v>
      </c>
      <c r="B124" t="s">
        <v>210</v>
      </c>
      <c r="C124">
        <v>2020</v>
      </c>
      <c r="D124" t="s">
        <v>169</v>
      </c>
      <c r="E124" t="s">
        <v>169</v>
      </c>
      <c r="F124" t="s">
        <v>169</v>
      </c>
      <c r="G124" s="2">
        <v>0</v>
      </c>
      <c r="H124" t="s">
        <v>170</v>
      </c>
      <c r="I124" t="s">
        <v>171</v>
      </c>
      <c r="J124" t="s">
        <v>172</v>
      </c>
      <c r="K124" t="s">
        <v>173</v>
      </c>
      <c r="L124" t="s">
        <v>174</v>
      </c>
      <c r="N124" s="3">
        <v>917.23943661971805</v>
      </c>
      <c r="O124" s="3">
        <v>41.582830315224697</v>
      </c>
      <c r="P124" s="3">
        <v>59.047619047619101</v>
      </c>
      <c r="Q124" s="3">
        <v>1.42</v>
      </c>
      <c r="R124" s="3">
        <v>2496.6315789473701</v>
      </c>
      <c r="S124" s="3">
        <v>75.209149634650004</v>
      </c>
      <c r="T124" s="3">
        <v>162.857142857143</v>
      </c>
      <c r="U124" s="3">
        <v>2.17</v>
      </c>
      <c r="V124" s="3">
        <v>2496.6315789473701</v>
      </c>
      <c r="W124" s="3">
        <v>116.791979949875</v>
      </c>
      <c r="X124" s="3">
        <v>221.90476190476201</v>
      </c>
      <c r="Y124" s="3">
        <v>1.9</v>
      </c>
      <c r="Z124" s="3">
        <v>5.03</v>
      </c>
      <c r="DL124" s="3">
        <v>636.27</v>
      </c>
      <c r="DM124" s="3">
        <v>303.57</v>
      </c>
      <c r="DN124" s="3">
        <v>242</v>
      </c>
      <c r="DO124" s="3">
        <v>90.56</v>
      </c>
      <c r="DP124" s="3">
        <v>97.94</v>
      </c>
      <c r="DQ124" s="3">
        <v>75.11</v>
      </c>
      <c r="DR124" s="3">
        <f t="shared" ref="DR124:DT126" si="17">DL124/DO124</f>
        <v>7.0259496466431095</v>
      </c>
      <c r="DS124" s="3">
        <f t="shared" si="17"/>
        <v>3.0995507453542985</v>
      </c>
      <c r="DT124" s="3">
        <f t="shared" si="17"/>
        <v>3.2219411529756359</v>
      </c>
      <c r="ER124"/>
      <c r="FZ124" s="3">
        <f>AVERAGE(DL124:DN124)</f>
        <v>393.94666666666666</v>
      </c>
      <c r="GA124" s="3">
        <f>AVERAGE(DO124:DQ124)</f>
        <v>87.87</v>
      </c>
      <c r="GB124" s="3">
        <f>FZ124/GA124</f>
        <v>4.4832897082811725</v>
      </c>
    </row>
    <row r="125" spans="1:184" x14ac:dyDescent="0.25">
      <c r="A125">
        <v>37</v>
      </c>
      <c r="B125" t="s">
        <v>210</v>
      </c>
      <c r="C125">
        <v>2020</v>
      </c>
      <c r="D125" t="s">
        <v>276</v>
      </c>
      <c r="E125" t="s">
        <v>175</v>
      </c>
      <c r="F125" t="s">
        <v>176</v>
      </c>
      <c r="G125" s="2">
        <v>0.5</v>
      </c>
      <c r="H125" t="s">
        <v>170</v>
      </c>
      <c r="I125" t="s">
        <v>171</v>
      </c>
      <c r="J125" t="s">
        <v>172</v>
      </c>
      <c r="K125" t="s">
        <v>173</v>
      </c>
      <c r="L125" t="s">
        <v>174</v>
      </c>
      <c r="N125" s="3">
        <v>950.47482014388504</v>
      </c>
      <c r="O125" s="3">
        <v>43.165467625899304</v>
      </c>
      <c r="P125" s="3">
        <v>60</v>
      </c>
      <c r="Q125" s="3">
        <v>1.39</v>
      </c>
      <c r="R125" s="3">
        <v>2554.9890109890198</v>
      </c>
      <c r="S125" s="3">
        <v>76.405437659291906</v>
      </c>
      <c r="T125" s="3">
        <v>157.61904761904799</v>
      </c>
      <c r="U125" s="3">
        <v>2.06</v>
      </c>
      <c r="V125" s="3">
        <v>2554.9890109890198</v>
      </c>
      <c r="W125" s="3">
        <v>119.570905285191</v>
      </c>
      <c r="X125" s="3">
        <v>217.61904761904799</v>
      </c>
      <c r="Y125" s="3">
        <v>1.82</v>
      </c>
      <c r="Z125" s="3">
        <v>2.78</v>
      </c>
      <c r="DL125" s="3">
        <v>686.04</v>
      </c>
      <c r="DM125" s="3">
        <v>325.14999999999998</v>
      </c>
      <c r="DN125" s="3">
        <v>236.19</v>
      </c>
      <c r="DO125" s="3">
        <v>90.2</v>
      </c>
      <c r="DP125" s="3">
        <v>96.66</v>
      </c>
      <c r="DQ125" s="3">
        <v>60.72</v>
      </c>
      <c r="DR125" s="3">
        <f t="shared" si="17"/>
        <v>7.6057649667405762</v>
      </c>
      <c r="DS125" s="3">
        <f t="shared" si="17"/>
        <v>3.3638526794951376</v>
      </c>
      <c r="DT125" s="3">
        <f t="shared" si="17"/>
        <v>3.889822134387352</v>
      </c>
      <c r="ER125"/>
      <c r="FZ125" s="3">
        <f>AVERAGE(DL125:DN125)</f>
        <v>415.79333333333329</v>
      </c>
      <c r="GA125" s="3">
        <f>AVERAGE(DO125:DQ125)</f>
        <v>82.526666666666671</v>
      </c>
      <c r="GB125" s="3">
        <f>FZ125/GA125</f>
        <v>5.0382906535261318</v>
      </c>
    </row>
    <row r="126" spans="1:184" x14ac:dyDescent="0.25">
      <c r="A126">
        <v>37</v>
      </c>
      <c r="B126" t="s">
        <v>210</v>
      </c>
      <c r="C126">
        <v>2020</v>
      </c>
      <c r="D126" t="s">
        <v>276</v>
      </c>
      <c r="E126" t="s">
        <v>175</v>
      </c>
      <c r="F126" t="s">
        <v>176</v>
      </c>
      <c r="G126" s="2">
        <v>1</v>
      </c>
      <c r="H126" t="s">
        <v>170</v>
      </c>
      <c r="I126" t="s">
        <v>171</v>
      </c>
      <c r="J126" t="s">
        <v>172</v>
      </c>
      <c r="K126" t="s">
        <v>173</v>
      </c>
      <c r="L126" t="s">
        <v>174</v>
      </c>
      <c r="N126" s="3">
        <v>936.857142857143</v>
      </c>
      <c r="O126" s="3">
        <v>42.517006802721099</v>
      </c>
      <c r="P126" s="3">
        <v>59.523809523809497</v>
      </c>
      <c r="Q126" s="3">
        <v>1.4</v>
      </c>
      <c r="R126" s="3">
        <v>2557.66120218579</v>
      </c>
      <c r="S126" s="3">
        <v>77.181145682316696</v>
      </c>
      <c r="T126" s="3">
        <v>159.52380952381</v>
      </c>
      <c r="U126" s="3">
        <v>2.0699999999999998</v>
      </c>
      <c r="V126" s="3">
        <v>2557.66120218579</v>
      </c>
      <c r="W126" s="3">
        <v>119.69815248503799</v>
      </c>
      <c r="X126" s="3">
        <v>219.04761904761901</v>
      </c>
      <c r="Y126" s="3">
        <v>1.83</v>
      </c>
      <c r="Z126" s="3">
        <v>2.4300000000000002</v>
      </c>
      <c r="DL126" s="3">
        <v>695.05</v>
      </c>
      <c r="DM126" s="3">
        <v>331.47</v>
      </c>
      <c r="DN126" s="3">
        <v>242.56</v>
      </c>
      <c r="DO126" s="3">
        <v>91.42</v>
      </c>
      <c r="DP126" s="3">
        <v>96.37</v>
      </c>
      <c r="DQ126" s="3">
        <v>60.53</v>
      </c>
      <c r="DR126" s="3">
        <f t="shared" si="17"/>
        <v>7.6028221395755846</v>
      </c>
      <c r="DS126" s="3">
        <f t="shared" si="17"/>
        <v>3.4395558783853897</v>
      </c>
      <c r="DT126" s="3">
        <f t="shared" si="17"/>
        <v>4.00726912274905</v>
      </c>
      <c r="FZ126" s="3">
        <f>AVERAGE(DL126:DN126)</f>
        <v>423.02666666666664</v>
      </c>
      <c r="GA126" s="3">
        <f>AVERAGE(DO126:DQ126)</f>
        <v>82.773333333333341</v>
      </c>
      <c r="GB126" s="3">
        <f>FZ126/GA126</f>
        <v>5.110663659793814</v>
      </c>
    </row>
  </sheetData>
  <conditionalFormatting sqref="F2:F126">
    <cfRule type="cellIs" dxfId="1" priority="1" operator="equal">
      <formula>"control"</formula>
    </cfRule>
    <cfRule type="cellIs" dxfId="0" priority="2" operator="equal">
      <formula>"antibiotic"</formula>
    </cfRule>
  </conditionalFormatting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14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13" defaultRowHeight="13.2" x14ac:dyDescent="0.25"/>
  <cols>
    <col min="1" max="1" width="6" style="1" customWidth="1"/>
    <col min="2" max="2" width="18.77734375" style="1" customWidth="1"/>
    <col min="3" max="3" width="5.44140625" style="1" customWidth="1"/>
    <col min="4" max="4" width="14.88671875" style="1" customWidth="1"/>
    <col min="5" max="5" width="35.77734375" style="1" customWidth="1"/>
    <col min="6" max="6" width="14.21875" style="1" customWidth="1"/>
    <col min="7" max="8" width="7.77734375" style="1" customWidth="1"/>
    <col min="9" max="9" width="11.5546875" style="31" customWidth="1"/>
    <col min="10" max="10" width="9.88671875" style="2" customWidth="1"/>
    <col min="11" max="11" width="10.5546875" style="2" customWidth="1"/>
    <col min="12" max="12" width="9.6640625" style="2" customWidth="1"/>
    <col min="13" max="13" width="9.77734375" style="2" customWidth="1"/>
    <col min="14" max="14" width="9.109375" style="2" customWidth="1"/>
    <col min="15" max="15" width="9.77734375" style="2" customWidth="1"/>
    <col min="16" max="16" width="8.77734375" style="2" customWidth="1"/>
    <col min="17" max="17" width="8.88671875" style="2" customWidth="1"/>
    <col min="18" max="18" width="8.5546875" style="2" customWidth="1"/>
    <col min="19" max="19" width="7.21875" style="2" customWidth="1"/>
    <col min="20" max="20" width="7" style="2" customWidth="1"/>
    <col min="21" max="21" width="6.44140625" style="2" customWidth="1"/>
    <col min="22" max="22" width="11.5546875" style="30" customWidth="1"/>
    <col min="23" max="23" width="13.77734375" style="2" customWidth="1"/>
    <col min="24" max="25" width="13.21875" style="2" customWidth="1"/>
    <col min="26" max="26" width="13" style="2"/>
    <col min="27" max="28" width="12.44140625" style="2" customWidth="1"/>
    <col min="29" max="29" width="11.5546875" style="32" customWidth="1"/>
    <col min="30" max="30" width="15.88671875" style="2" customWidth="1"/>
    <col min="31" max="31" width="15" style="2" customWidth="1"/>
    <col min="32" max="32" width="18" style="2" customWidth="1"/>
    <col min="33" max="33" width="17.109375" style="2" customWidth="1"/>
    <col min="34" max="34" width="19.33203125" style="2" customWidth="1"/>
    <col min="35" max="35" width="18.5546875" style="2" customWidth="1"/>
    <col min="36" max="36" width="16.5546875" style="2" customWidth="1"/>
    <col min="37" max="37" width="15.77734375" style="2" customWidth="1"/>
    <col min="38" max="38" width="18.6640625" style="2" customWidth="1"/>
    <col min="39" max="39" width="17.77734375" style="2" customWidth="1"/>
    <col min="40" max="40" width="20" style="2" customWidth="1"/>
    <col min="41" max="41" width="19.21875" style="2" customWidth="1"/>
    <col min="42" max="42" width="17.109375" style="2" customWidth="1"/>
    <col min="43" max="43" width="16.33203125" style="2" customWidth="1"/>
    <col min="44" max="44" width="19.21875" style="2" customWidth="1"/>
    <col min="45" max="45" width="18.33203125" style="2" customWidth="1"/>
    <col min="46" max="46" width="20.5546875" style="2" customWidth="1"/>
    <col min="47" max="47" width="19.77734375" style="2" customWidth="1"/>
    <col min="48" max="48" width="11.5546875" style="33" customWidth="1"/>
    <col min="49" max="49" width="14.21875" style="2" customWidth="1"/>
    <col min="50" max="50" width="13.109375" style="2" customWidth="1"/>
    <col min="51" max="51" width="12.5546875" style="2" customWidth="1"/>
    <col min="52" max="52" width="17.44140625" style="2" customWidth="1"/>
    <col min="53" max="53" width="16.33203125" style="2" customWidth="1"/>
    <col min="54" max="54" width="15.77734375" style="2" customWidth="1"/>
    <col min="55" max="55" width="11" style="2" customWidth="1"/>
    <col min="56" max="56" width="9.88671875" style="2" customWidth="1"/>
    <col min="57" max="57" width="9.33203125" style="2" customWidth="1"/>
    <col min="58" max="58" width="19.21875" style="2" customWidth="1"/>
    <col min="59" max="59" width="17.5546875" style="2" customWidth="1"/>
    <col min="60" max="60" width="17" style="2" customWidth="1"/>
    <col min="61" max="61" width="11.5546875" style="34" customWidth="1"/>
    <col min="62" max="62" width="12.5546875" style="2" customWidth="1"/>
    <col min="63" max="63" width="8" style="2" customWidth="1"/>
    <col min="64" max="64" width="11.5546875" style="2" customWidth="1"/>
    <col min="65" max="65" width="6" style="2" customWidth="1"/>
    <col min="66" max="66" width="7.5546875" style="2" customWidth="1"/>
    <col min="67" max="67" width="11.5546875" style="35" customWidth="1"/>
    <col min="68" max="72" width="6" style="36" customWidth="1"/>
    <col min="73" max="73" width="7" style="36" customWidth="1"/>
    <col min="74" max="74" width="9.77734375" style="36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37" t="s">
        <v>7</v>
      </c>
      <c r="E1" s="37" t="s">
        <v>3</v>
      </c>
      <c r="F1" s="37" t="s">
        <v>5</v>
      </c>
      <c r="G1" s="37" t="s">
        <v>373</v>
      </c>
      <c r="H1" s="1" t="s">
        <v>6</v>
      </c>
      <c r="I1" s="38"/>
      <c r="J1" s="2" t="s">
        <v>374</v>
      </c>
      <c r="K1" s="2" t="s">
        <v>375</v>
      </c>
      <c r="L1" s="6" t="s">
        <v>376</v>
      </c>
      <c r="M1" s="6" t="s">
        <v>377</v>
      </c>
      <c r="N1" s="2" t="s">
        <v>378</v>
      </c>
      <c r="O1" s="2" t="s">
        <v>379</v>
      </c>
      <c r="P1" s="6" t="s">
        <v>380</v>
      </c>
      <c r="Q1" s="6" t="s">
        <v>381</v>
      </c>
      <c r="R1" s="2" t="s">
        <v>382</v>
      </c>
      <c r="S1" s="2" t="s">
        <v>383</v>
      </c>
      <c r="T1" s="6" t="s">
        <v>384</v>
      </c>
      <c r="U1" s="6" t="s">
        <v>385</v>
      </c>
      <c r="V1" s="39"/>
      <c r="W1" s="2" t="s">
        <v>386</v>
      </c>
      <c r="X1" s="2" t="s">
        <v>387</v>
      </c>
      <c r="Y1" s="2" t="s">
        <v>388</v>
      </c>
      <c r="Z1" s="2" t="s">
        <v>389</v>
      </c>
      <c r="AA1" s="2" t="s">
        <v>390</v>
      </c>
      <c r="AB1" s="2" t="s">
        <v>391</v>
      </c>
      <c r="AD1" s="2" t="s">
        <v>392</v>
      </c>
      <c r="AE1" s="2" t="s">
        <v>393</v>
      </c>
      <c r="AF1" s="6" t="s">
        <v>394</v>
      </c>
      <c r="AG1" s="6" t="s">
        <v>395</v>
      </c>
      <c r="AH1" s="6" t="s">
        <v>396</v>
      </c>
      <c r="AI1" s="6" t="s">
        <v>397</v>
      </c>
      <c r="AJ1" s="2" t="s">
        <v>398</v>
      </c>
      <c r="AK1" s="2" t="s">
        <v>399</v>
      </c>
      <c r="AL1" s="6" t="s">
        <v>400</v>
      </c>
      <c r="AM1" s="6" t="s">
        <v>401</v>
      </c>
      <c r="AN1" s="6" t="s">
        <v>402</v>
      </c>
      <c r="AO1" s="6" t="s">
        <v>403</v>
      </c>
      <c r="AP1" s="2" t="s">
        <v>404</v>
      </c>
      <c r="AQ1" s="2" t="s">
        <v>405</v>
      </c>
      <c r="AR1" s="2" t="s">
        <v>406</v>
      </c>
      <c r="AS1" s="6" t="s">
        <v>407</v>
      </c>
      <c r="AT1" s="2" t="s">
        <v>408</v>
      </c>
      <c r="AU1" s="6" t="s">
        <v>409</v>
      </c>
      <c r="AW1" s="6" t="s">
        <v>410</v>
      </c>
      <c r="AX1" s="2" t="s">
        <v>411</v>
      </c>
      <c r="AY1" s="2" t="s">
        <v>412</v>
      </c>
      <c r="AZ1" s="6" t="s">
        <v>413</v>
      </c>
      <c r="BA1" s="6" t="s">
        <v>414</v>
      </c>
      <c r="BB1" s="6" t="s">
        <v>415</v>
      </c>
      <c r="BC1" s="6" t="s">
        <v>416</v>
      </c>
      <c r="BD1" s="6" t="s">
        <v>417</v>
      </c>
      <c r="BE1" s="6" t="s">
        <v>418</v>
      </c>
      <c r="BF1" s="6" t="s">
        <v>419</v>
      </c>
      <c r="BG1" s="6" t="s">
        <v>420</v>
      </c>
      <c r="BH1" s="6" t="s">
        <v>421</v>
      </c>
      <c r="BJ1" s="2" t="s">
        <v>422</v>
      </c>
      <c r="BK1" s="2" t="s">
        <v>423</v>
      </c>
      <c r="BL1" s="2" t="s">
        <v>424</v>
      </c>
      <c r="BM1" s="2" t="s">
        <v>425</v>
      </c>
      <c r="BN1" s="2" t="s">
        <v>426</v>
      </c>
      <c r="BP1" s="36" t="s">
        <v>427</v>
      </c>
      <c r="BQ1" s="36" t="s">
        <v>428</v>
      </c>
      <c r="BR1" s="36" t="s">
        <v>429</v>
      </c>
      <c r="BS1" s="36" t="s">
        <v>430</v>
      </c>
      <c r="BT1" s="36" t="s">
        <v>431</v>
      </c>
      <c r="BU1" s="36" t="s">
        <v>432</v>
      </c>
      <c r="BV1" s="36" t="s">
        <v>433</v>
      </c>
    </row>
    <row r="2" spans="1:74" x14ac:dyDescent="0.25">
      <c r="A2" s="1">
        <v>1</v>
      </c>
      <c r="B2" s="1" t="s">
        <v>168</v>
      </c>
      <c r="C2" s="1">
        <v>2009</v>
      </c>
      <c r="D2" s="1" t="s">
        <v>170</v>
      </c>
      <c r="E2" s="1" t="s">
        <v>434</v>
      </c>
      <c r="F2" s="1" t="s">
        <v>435</v>
      </c>
      <c r="G2" s="1" t="s">
        <v>436</v>
      </c>
      <c r="H2" s="1">
        <v>0</v>
      </c>
      <c r="I2" s="38"/>
      <c r="J2" s="2">
        <v>700</v>
      </c>
      <c r="K2" s="2">
        <v>28.32</v>
      </c>
      <c r="L2" s="2">
        <v>41.23</v>
      </c>
      <c r="M2" s="2">
        <v>1.46</v>
      </c>
      <c r="N2" s="2">
        <v>1625.85</v>
      </c>
      <c r="O2" s="2">
        <v>44.09</v>
      </c>
      <c r="P2" s="2">
        <v>132.44999999999999</v>
      </c>
      <c r="Q2" s="2">
        <v>3</v>
      </c>
      <c r="R2" s="2">
        <v>1625.85</v>
      </c>
      <c r="S2" s="2">
        <v>37.090000000000003</v>
      </c>
      <c r="T2" s="2">
        <v>87.11</v>
      </c>
      <c r="U2" s="2">
        <v>2.35</v>
      </c>
      <c r="AW2" s="2">
        <v>526.01</v>
      </c>
      <c r="AX2" s="2">
        <v>357.63</v>
      </c>
      <c r="AZ2" s="2">
        <v>619.75</v>
      </c>
      <c r="BA2" s="2">
        <v>421.62</v>
      </c>
    </row>
    <row r="3" spans="1:74" x14ac:dyDescent="0.25">
      <c r="A3" s="1">
        <v>1</v>
      </c>
      <c r="B3" s="1" t="s">
        <v>168</v>
      </c>
      <c r="C3" s="1">
        <v>2009</v>
      </c>
      <c r="D3" s="1" t="s">
        <v>170</v>
      </c>
      <c r="E3" s="1" t="s">
        <v>437</v>
      </c>
      <c r="F3" s="1" t="s">
        <v>3</v>
      </c>
      <c r="G3" s="1" t="s">
        <v>176</v>
      </c>
      <c r="H3" s="1">
        <v>150</v>
      </c>
      <c r="I3" s="38"/>
      <c r="J3" s="2">
        <v>843.33</v>
      </c>
      <c r="K3" s="2">
        <v>35.299999999999997</v>
      </c>
      <c r="L3" s="2">
        <v>41.11</v>
      </c>
      <c r="M3" s="2">
        <v>1.1599999999999999</v>
      </c>
      <c r="N3" s="2">
        <v>1912.33</v>
      </c>
      <c r="O3" s="2">
        <v>50.9</v>
      </c>
      <c r="P3" s="2">
        <v>133.88999999999999</v>
      </c>
      <c r="Q3" s="2">
        <v>2.63</v>
      </c>
      <c r="R3" s="2">
        <v>1912.33</v>
      </c>
      <c r="S3" s="2">
        <v>44.15</v>
      </c>
      <c r="T3" s="2">
        <v>88.62</v>
      </c>
      <c r="U3" s="2">
        <v>2.0099999999999998</v>
      </c>
      <c r="AW3" s="2">
        <v>672.43</v>
      </c>
      <c r="AX3" s="2">
        <v>510.31</v>
      </c>
      <c r="AZ3" s="2">
        <v>753.63</v>
      </c>
      <c r="BA3" s="2">
        <v>588.96</v>
      </c>
    </row>
    <row r="4" spans="1:74" x14ac:dyDescent="0.25">
      <c r="A4" s="1">
        <v>1</v>
      </c>
      <c r="B4" s="1" t="s">
        <v>168</v>
      </c>
      <c r="C4" s="1">
        <v>2009</v>
      </c>
      <c r="D4" s="1" t="s">
        <v>170</v>
      </c>
      <c r="E4" s="1" t="s">
        <v>437</v>
      </c>
      <c r="F4" s="1" t="s">
        <v>3</v>
      </c>
      <c r="G4" s="1" t="s">
        <v>176</v>
      </c>
      <c r="H4" s="1">
        <v>200</v>
      </c>
      <c r="I4" s="38"/>
      <c r="J4" s="2">
        <v>868.32</v>
      </c>
      <c r="K4" s="2">
        <v>36.479999999999997</v>
      </c>
      <c r="L4" s="2">
        <v>41.29</v>
      </c>
      <c r="M4" s="2">
        <v>1.1299999999999999</v>
      </c>
      <c r="N4" s="2">
        <v>1924.18</v>
      </c>
      <c r="O4" s="2">
        <v>50.28</v>
      </c>
      <c r="P4" s="2">
        <v>133.12</v>
      </c>
      <c r="Q4" s="2">
        <v>2.65</v>
      </c>
      <c r="R4" s="2">
        <v>1924.18</v>
      </c>
      <c r="S4" s="2">
        <v>44.44</v>
      </c>
      <c r="T4" s="2">
        <v>88.34</v>
      </c>
      <c r="U4" s="2">
        <v>1.99</v>
      </c>
      <c r="AW4" s="2">
        <v>650.24</v>
      </c>
      <c r="AX4" s="2">
        <v>412.65</v>
      </c>
      <c r="AZ4" s="2">
        <v>735.49</v>
      </c>
      <c r="BA4" s="2">
        <v>472.01</v>
      </c>
    </row>
    <row r="5" spans="1:74" x14ac:dyDescent="0.25">
      <c r="A5" s="1">
        <v>1</v>
      </c>
      <c r="B5" s="1" t="s">
        <v>168</v>
      </c>
      <c r="C5" s="1">
        <v>2009</v>
      </c>
      <c r="D5" s="1" t="s">
        <v>170</v>
      </c>
      <c r="E5" s="1" t="s">
        <v>437</v>
      </c>
      <c r="F5" s="1" t="s">
        <v>3</v>
      </c>
      <c r="G5" s="1" t="s">
        <v>177</v>
      </c>
      <c r="H5" s="1">
        <v>20</v>
      </c>
      <c r="I5" s="38"/>
      <c r="J5" s="2">
        <v>892.52</v>
      </c>
      <c r="K5" s="2">
        <v>37.71</v>
      </c>
      <c r="L5" s="2">
        <v>41.42</v>
      </c>
      <c r="M5" s="2">
        <v>1.1000000000000001</v>
      </c>
      <c r="N5" s="2">
        <v>1924.83</v>
      </c>
      <c r="O5" s="2">
        <v>49.16</v>
      </c>
      <c r="P5" s="2">
        <v>133.29</v>
      </c>
      <c r="Q5" s="2">
        <v>2.71</v>
      </c>
      <c r="R5" s="2">
        <v>1924.83</v>
      </c>
      <c r="S5" s="2">
        <v>44.49</v>
      </c>
      <c r="T5" s="2">
        <v>88.46</v>
      </c>
      <c r="U5" s="2">
        <v>1.99</v>
      </c>
      <c r="AW5" s="2">
        <v>737.61</v>
      </c>
      <c r="AX5" s="2">
        <v>483.38</v>
      </c>
      <c r="AZ5" s="2">
        <v>842.74</v>
      </c>
      <c r="BA5" s="2">
        <v>548.49</v>
      </c>
    </row>
    <row r="6" spans="1:74" x14ac:dyDescent="0.25">
      <c r="A6" s="1">
        <v>1</v>
      </c>
      <c r="B6" s="1" t="s">
        <v>168</v>
      </c>
      <c r="C6" s="1">
        <v>2009</v>
      </c>
      <c r="D6" s="1" t="s">
        <v>170</v>
      </c>
      <c r="E6" s="1" t="s">
        <v>437</v>
      </c>
      <c r="F6" s="1" t="s">
        <v>3</v>
      </c>
      <c r="G6" s="1" t="s">
        <v>177</v>
      </c>
      <c r="H6" s="1">
        <v>30</v>
      </c>
      <c r="I6" s="38"/>
      <c r="J6" s="2">
        <v>869.47</v>
      </c>
      <c r="K6" s="2">
        <v>36.57</v>
      </c>
      <c r="L6" s="2">
        <v>41.39</v>
      </c>
      <c r="M6" s="2">
        <v>1.1299999999999999</v>
      </c>
      <c r="N6" s="2">
        <v>1923.63</v>
      </c>
      <c r="O6" s="2">
        <v>50.2</v>
      </c>
      <c r="P6" s="2">
        <v>133.56</v>
      </c>
      <c r="Q6" s="2">
        <v>2.66</v>
      </c>
      <c r="R6" s="2">
        <v>1923.63</v>
      </c>
      <c r="S6" s="2">
        <v>44.44</v>
      </c>
      <c r="T6" s="2">
        <v>88.59</v>
      </c>
      <c r="U6" s="2">
        <v>1.99</v>
      </c>
      <c r="AW6" s="2">
        <v>716.97</v>
      </c>
      <c r="AX6" s="2">
        <v>515.46</v>
      </c>
      <c r="AZ6" s="2">
        <v>787.18</v>
      </c>
      <c r="BA6" s="2">
        <v>576.48</v>
      </c>
    </row>
    <row r="7" spans="1:74" x14ac:dyDescent="0.25">
      <c r="A7" s="1">
        <v>2</v>
      </c>
      <c r="B7" s="1" t="s">
        <v>178</v>
      </c>
      <c r="C7" s="1">
        <v>2009</v>
      </c>
      <c r="D7" s="1" t="s">
        <v>179</v>
      </c>
      <c r="E7" s="1" t="s">
        <v>434</v>
      </c>
      <c r="F7" s="1" t="s">
        <v>435</v>
      </c>
      <c r="G7" s="1" t="s">
        <v>436</v>
      </c>
      <c r="H7" s="1">
        <v>0</v>
      </c>
      <c r="I7" s="38"/>
      <c r="J7" s="2">
        <v>696</v>
      </c>
      <c r="K7" s="2">
        <v>31.05</v>
      </c>
      <c r="L7" s="2">
        <v>50.19</v>
      </c>
      <c r="M7" s="2">
        <v>1.62</v>
      </c>
      <c r="N7" s="2">
        <v>2097</v>
      </c>
      <c r="O7" s="2">
        <v>66.709999999999994</v>
      </c>
      <c r="P7" s="2">
        <v>134.33000000000001</v>
      </c>
      <c r="Q7" s="2">
        <v>2.0099999999999998</v>
      </c>
      <c r="R7" s="2">
        <v>2097</v>
      </c>
      <c r="S7" s="2">
        <v>48.88</v>
      </c>
      <c r="T7" s="2">
        <v>92.26</v>
      </c>
      <c r="U7" s="2">
        <v>1.89</v>
      </c>
      <c r="W7" s="2">
        <v>75.09</v>
      </c>
      <c r="X7" s="2">
        <v>62.22</v>
      </c>
      <c r="Z7" s="2">
        <v>75.44</v>
      </c>
      <c r="AA7" s="2">
        <v>62.04</v>
      </c>
      <c r="AJ7" s="2">
        <v>8.1999999999999993</v>
      </c>
      <c r="AL7" s="2">
        <v>5.38</v>
      </c>
      <c r="AP7" s="2">
        <v>8.26</v>
      </c>
      <c r="AQ7" s="2">
        <v>8.33</v>
      </c>
      <c r="AR7" s="2">
        <v>5.29</v>
      </c>
      <c r="AS7" s="2">
        <v>5.29</v>
      </c>
    </row>
    <row r="8" spans="1:74" x14ac:dyDescent="0.25">
      <c r="A8" s="1">
        <v>2</v>
      </c>
      <c r="B8" s="1" t="s">
        <v>178</v>
      </c>
      <c r="C8" s="1">
        <v>2009</v>
      </c>
      <c r="D8" s="1" t="s">
        <v>179</v>
      </c>
      <c r="E8" s="1" t="s">
        <v>438</v>
      </c>
      <c r="F8" s="1" t="s">
        <v>439</v>
      </c>
      <c r="G8" s="1" t="s">
        <v>176</v>
      </c>
      <c r="H8" s="1">
        <v>10</v>
      </c>
      <c r="I8" s="38"/>
      <c r="J8" s="2">
        <v>763</v>
      </c>
      <c r="K8" s="2">
        <v>34.24</v>
      </c>
      <c r="L8" s="2">
        <v>53.14</v>
      </c>
      <c r="M8" s="2">
        <v>1.55</v>
      </c>
      <c r="N8" s="2">
        <v>2244</v>
      </c>
      <c r="O8" s="2">
        <v>70.52</v>
      </c>
      <c r="P8" s="2">
        <v>135.57</v>
      </c>
      <c r="Q8" s="2">
        <v>1.92</v>
      </c>
      <c r="R8" s="2">
        <v>2244</v>
      </c>
      <c r="S8" s="2">
        <v>52.36</v>
      </c>
      <c r="T8" s="2">
        <v>94.33</v>
      </c>
      <c r="U8" s="2">
        <v>1.8</v>
      </c>
      <c r="W8" s="2">
        <v>78.930000000000007</v>
      </c>
      <c r="X8" s="2">
        <v>66.5</v>
      </c>
      <c r="Z8" s="2">
        <v>77.73</v>
      </c>
      <c r="AA8" s="2">
        <v>65.64</v>
      </c>
      <c r="AJ8" s="2">
        <v>7.88</v>
      </c>
      <c r="AL8" s="2">
        <v>4.95</v>
      </c>
      <c r="AP8" s="2">
        <v>8</v>
      </c>
      <c r="AQ8" s="2">
        <v>7.79</v>
      </c>
      <c r="AR8" s="2">
        <v>4.96</v>
      </c>
      <c r="AS8" s="2">
        <v>4.88</v>
      </c>
    </row>
    <row r="9" spans="1:74" x14ac:dyDescent="0.25">
      <c r="A9" s="1">
        <v>2</v>
      </c>
      <c r="B9" s="1" t="s">
        <v>178</v>
      </c>
      <c r="C9" s="1">
        <v>2009</v>
      </c>
      <c r="D9" s="1" t="s">
        <v>179</v>
      </c>
      <c r="E9" s="1" t="s">
        <v>180</v>
      </c>
      <c r="F9" s="1" t="s">
        <v>181</v>
      </c>
      <c r="G9" s="1" t="s">
        <v>176</v>
      </c>
      <c r="H9" s="1">
        <v>2500</v>
      </c>
      <c r="I9" s="38"/>
      <c r="J9" s="2">
        <v>690</v>
      </c>
      <c r="K9" s="2">
        <v>30.76</v>
      </c>
      <c r="L9" s="2">
        <v>49.29</v>
      </c>
      <c r="M9" s="2">
        <v>1.6</v>
      </c>
      <c r="N9" s="2">
        <v>2106</v>
      </c>
      <c r="O9" s="2">
        <v>67.430000000000007</v>
      </c>
      <c r="P9" s="2">
        <v>134.1</v>
      </c>
      <c r="Q9" s="2">
        <v>1.99</v>
      </c>
      <c r="R9" s="2">
        <v>2106</v>
      </c>
      <c r="S9" s="2">
        <v>49.1</v>
      </c>
      <c r="T9" s="2">
        <v>91.69</v>
      </c>
      <c r="U9" s="2">
        <v>1.87</v>
      </c>
      <c r="W9" s="2">
        <v>76.59</v>
      </c>
      <c r="X9" s="2">
        <v>63.26</v>
      </c>
      <c r="Z9" s="2">
        <v>76.28</v>
      </c>
      <c r="AA9" s="2">
        <v>63.06</v>
      </c>
      <c r="AJ9" s="2">
        <v>8.19</v>
      </c>
      <c r="AL9" s="2">
        <v>5.34</v>
      </c>
      <c r="AP9" s="2">
        <v>8.2200000000000006</v>
      </c>
      <c r="AQ9" s="2">
        <v>8.3000000000000007</v>
      </c>
      <c r="AR9" s="2">
        <v>5.23</v>
      </c>
      <c r="AS9" s="2">
        <v>5.2</v>
      </c>
    </row>
    <row r="10" spans="1:74" x14ac:dyDescent="0.25">
      <c r="A10" s="1">
        <v>2</v>
      </c>
      <c r="B10" s="1" t="s">
        <v>178</v>
      </c>
      <c r="C10" s="1">
        <v>2009</v>
      </c>
      <c r="D10" s="1" t="s">
        <v>179</v>
      </c>
      <c r="E10" s="1" t="s">
        <v>180</v>
      </c>
      <c r="F10" s="1" t="s">
        <v>181</v>
      </c>
      <c r="G10" s="1" t="s">
        <v>176</v>
      </c>
      <c r="H10" s="1">
        <v>5000</v>
      </c>
      <c r="I10" s="38"/>
      <c r="J10" s="2">
        <v>747</v>
      </c>
      <c r="K10" s="2">
        <v>33.479999999999997</v>
      </c>
      <c r="L10" s="2">
        <v>53.29</v>
      </c>
      <c r="M10" s="2">
        <v>1.59</v>
      </c>
      <c r="N10" s="2">
        <v>2150</v>
      </c>
      <c r="O10" s="2">
        <v>66.81</v>
      </c>
      <c r="P10" s="2">
        <v>132.05000000000001</v>
      </c>
      <c r="Q10" s="2">
        <v>1.98</v>
      </c>
      <c r="R10" s="2">
        <v>2150</v>
      </c>
      <c r="S10" s="2">
        <v>50.14</v>
      </c>
      <c r="T10" s="2">
        <v>92.69</v>
      </c>
      <c r="U10" s="2">
        <v>1.85</v>
      </c>
      <c r="W10" s="2">
        <v>77.06</v>
      </c>
      <c r="X10" s="2">
        <v>64.459999999999994</v>
      </c>
      <c r="Z10" s="2">
        <v>76.599999999999994</v>
      </c>
      <c r="AA10" s="2">
        <v>62.8</v>
      </c>
      <c r="AJ10" s="2">
        <v>8.11</v>
      </c>
      <c r="AL10" s="2">
        <v>5.41</v>
      </c>
      <c r="AP10" s="2">
        <v>8.17</v>
      </c>
      <c r="AQ10" s="2">
        <v>8.32</v>
      </c>
      <c r="AR10" s="2">
        <v>5.0599999999999996</v>
      </c>
      <c r="AS10" s="2">
        <v>5.23</v>
      </c>
    </row>
    <row r="11" spans="1:74" x14ac:dyDescent="0.25">
      <c r="A11" s="1">
        <v>2</v>
      </c>
      <c r="B11" s="1" t="s">
        <v>178</v>
      </c>
      <c r="C11" s="1">
        <v>2009</v>
      </c>
      <c r="D11" s="1" t="s">
        <v>179</v>
      </c>
      <c r="E11" s="1" t="s">
        <v>180</v>
      </c>
      <c r="F11" s="1" t="s">
        <v>181</v>
      </c>
      <c r="G11" s="1" t="s">
        <v>176</v>
      </c>
      <c r="H11" s="1">
        <v>7500</v>
      </c>
      <c r="I11" s="38"/>
      <c r="J11" s="2">
        <v>752</v>
      </c>
      <c r="K11" s="2">
        <v>33.71</v>
      </c>
      <c r="L11" s="2">
        <v>52.81</v>
      </c>
      <c r="M11" s="2">
        <v>1.57</v>
      </c>
      <c r="N11" s="2">
        <v>2231</v>
      </c>
      <c r="O11" s="2">
        <v>70.430000000000007</v>
      </c>
      <c r="P11" s="2">
        <v>137.13999999999999</v>
      </c>
      <c r="Q11" s="2">
        <v>1.95</v>
      </c>
      <c r="R11" s="2">
        <v>2231</v>
      </c>
      <c r="S11" s="2">
        <v>52.05</v>
      </c>
      <c r="T11" s="2">
        <v>94.98</v>
      </c>
      <c r="U11" s="2">
        <v>1.82</v>
      </c>
      <c r="W11" s="2">
        <v>78.040000000000006</v>
      </c>
      <c r="X11" s="2">
        <v>65.180000000000007</v>
      </c>
      <c r="Z11" s="2">
        <v>77.010000000000005</v>
      </c>
      <c r="AA11" s="2">
        <v>64.77</v>
      </c>
      <c r="AJ11" s="2">
        <v>7.96</v>
      </c>
      <c r="AL11" s="2">
        <v>5.17</v>
      </c>
      <c r="AP11" s="2">
        <v>8.18</v>
      </c>
      <c r="AQ11" s="2">
        <v>8.19</v>
      </c>
      <c r="AR11" s="2">
        <v>5.13</v>
      </c>
      <c r="AS11" s="2">
        <v>5.16</v>
      </c>
    </row>
    <row r="12" spans="1:74" x14ac:dyDescent="0.25">
      <c r="A12" s="1">
        <v>3</v>
      </c>
      <c r="B12" s="1" t="s">
        <v>183</v>
      </c>
      <c r="C12" s="1">
        <v>2013</v>
      </c>
      <c r="D12" s="1" t="s">
        <v>179</v>
      </c>
      <c r="E12" s="1" t="s">
        <v>434</v>
      </c>
      <c r="F12" s="1" t="s">
        <v>435</v>
      </c>
      <c r="G12" s="1" t="s">
        <v>436</v>
      </c>
      <c r="H12" s="1">
        <v>0</v>
      </c>
      <c r="I12" s="38"/>
      <c r="J12" s="2">
        <v>737</v>
      </c>
      <c r="K12" s="2">
        <v>33</v>
      </c>
      <c r="L12" s="2">
        <v>53.05</v>
      </c>
      <c r="M12" s="2">
        <v>1.61</v>
      </c>
      <c r="N12" s="2">
        <v>1814</v>
      </c>
      <c r="O12" s="2">
        <v>76.930000000000007</v>
      </c>
      <c r="P12" s="2">
        <v>143.79</v>
      </c>
      <c r="Q12" s="2">
        <v>1.87</v>
      </c>
      <c r="R12" s="2">
        <v>1814</v>
      </c>
      <c r="S12" s="2">
        <v>50.54</v>
      </c>
      <c r="T12" s="2">
        <v>89.46</v>
      </c>
      <c r="U12" s="2">
        <v>1.77</v>
      </c>
      <c r="W12" s="2">
        <v>74.489999999999995</v>
      </c>
      <c r="X12" s="2">
        <v>65.95</v>
      </c>
      <c r="Y12" s="2">
        <v>75.41</v>
      </c>
      <c r="Z12" s="2">
        <v>71.87</v>
      </c>
      <c r="AA12" s="2">
        <v>64.81</v>
      </c>
      <c r="AB12" s="2">
        <v>73.55</v>
      </c>
      <c r="AD12" s="2">
        <v>8.2100000000000009</v>
      </c>
      <c r="AF12" s="2">
        <v>6.41</v>
      </c>
      <c r="AH12" s="2">
        <v>7.23</v>
      </c>
      <c r="AJ12" s="2">
        <v>8.3699999999999992</v>
      </c>
      <c r="AL12" s="2">
        <v>6.45</v>
      </c>
      <c r="AN12" s="2">
        <v>7.27</v>
      </c>
      <c r="AP12" s="2">
        <v>8.36</v>
      </c>
      <c r="AQ12" s="2">
        <v>8.42</v>
      </c>
      <c r="AR12" s="2">
        <v>6.61</v>
      </c>
      <c r="AS12" s="2">
        <v>6.51</v>
      </c>
      <c r="AT12" s="2">
        <v>7.34</v>
      </c>
      <c r="AU12" s="2">
        <v>7.31</v>
      </c>
      <c r="AW12" s="2">
        <v>1630</v>
      </c>
      <c r="AX12" s="2">
        <v>1117</v>
      </c>
      <c r="AY12" s="2">
        <v>509</v>
      </c>
      <c r="BC12" s="2">
        <v>448</v>
      </c>
      <c r="BD12" s="2">
        <v>364</v>
      </c>
      <c r="BE12" s="2">
        <v>233</v>
      </c>
      <c r="BF12" s="2">
        <f t="shared" ref="BF12:BH19" si="0">AW12/BC12</f>
        <v>3.6383928571428572</v>
      </c>
      <c r="BG12" s="2">
        <f t="shared" si="0"/>
        <v>3.0686813186813189</v>
      </c>
      <c r="BH12" s="2">
        <f t="shared" si="0"/>
        <v>2.1845493562231759</v>
      </c>
    </row>
    <row r="13" spans="1:74" x14ac:dyDescent="0.25">
      <c r="A13" s="1">
        <v>3</v>
      </c>
      <c r="B13" s="1" t="s">
        <v>183</v>
      </c>
      <c r="C13" s="1">
        <v>2013</v>
      </c>
      <c r="D13" s="1" t="s">
        <v>179</v>
      </c>
      <c r="E13" s="1" t="s">
        <v>438</v>
      </c>
      <c r="F13" s="1" t="s">
        <v>439</v>
      </c>
      <c r="G13" s="1" t="s">
        <v>176</v>
      </c>
      <c r="H13" s="1">
        <v>15</v>
      </c>
      <c r="I13" s="38"/>
      <c r="J13" s="2">
        <v>776</v>
      </c>
      <c r="K13" s="2">
        <v>34.86</v>
      </c>
      <c r="L13" s="2">
        <v>54.43</v>
      </c>
      <c r="M13" s="2">
        <v>1.56</v>
      </c>
      <c r="N13" s="2">
        <v>1929</v>
      </c>
      <c r="O13" s="2">
        <v>82.36</v>
      </c>
      <c r="P13" s="2">
        <v>148.24</v>
      </c>
      <c r="Q13" s="2">
        <v>1.8</v>
      </c>
      <c r="R13" s="2">
        <v>1929</v>
      </c>
      <c r="S13" s="2">
        <v>53.86</v>
      </c>
      <c r="T13" s="2">
        <v>92.1</v>
      </c>
      <c r="U13" s="2">
        <v>1.71</v>
      </c>
      <c r="W13" s="2">
        <v>78.81</v>
      </c>
      <c r="X13" s="2">
        <v>71.2</v>
      </c>
      <c r="Y13" s="2">
        <v>78.489999999999995</v>
      </c>
      <c r="Z13" s="2">
        <v>74.14</v>
      </c>
      <c r="AA13" s="2">
        <v>70.31</v>
      </c>
      <c r="AB13" s="2">
        <v>75.11</v>
      </c>
      <c r="AD13" s="2">
        <v>8.0299999999999994</v>
      </c>
      <c r="AF13" s="2">
        <v>5.92</v>
      </c>
      <c r="AH13" s="2">
        <v>7.04</v>
      </c>
      <c r="AJ13" s="2">
        <v>8.06</v>
      </c>
      <c r="AL13" s="2">
        <v>6.09</v>
      </c>
      <c r="AN13" s="2">
        <v>7.06</v>
      </c>
      <c r="AP13" s="2">
        <v>8.17</v>
      </c>
      <c r="AQ13" s="2">
        <v>8.07</v>
      </c>
      <c r="AR13" s="2">
        <v>6.33</v>
      </c>
      <c r="AS13" s="2">
        <v>6.12</v>
      </c>
      <c r="AT13" s="2">
        <v>7.13</v>
      </c>
      <c r="AU13" s="2">
        <v>7.09</v>
      </c>
      <c r="AW13" s="2">
        <v>1711</v>
      </c>
      <c r="AX13" s="2">
        <v>1195</v>
      </c>
      <c r="AY13" s="2">
        <v>616</v>
      </c>
      <c r="BC13" s="2">
        <v>443</v>
      </c>
      <c r="BD13" s="2">
        <v>354</v>
      </c>
      <c r="BE13" s="2">
        <v>230</v>
      </c>
      <c r="BF13" s="2">
        <f t="shared" si="0"/>
        <v>3.8623024830699775</v>
      </c>
      <c r="BG13" s="2">
        <f t="shared" si="0"/>
        <v>3.3757062146892656</v>
      </c>
      <c r="BH13" s="2">
        <f t="shared" si="0"/>
        <v>2.6782608695652175</v>
      </c>
    </row>
    <row r="14" spans="1:74" x14ac:dyDescent="0.25">
      <c r="A14" s="1">
        <v>3</v>
      </c>
      <c r="B14" s="1" t="s">
        <v>183</v>
      </c>
      <c r="C14" s="1">
        <v>2013</v>
      </c>
      <c r="D14" s="1" t="s">
        <v>179</v>
      </c>
      <c r="E14" s="1" t="s">
        <v>440</v>
      </c>
      <c r="F14" s="1" t="s">
        <v>3</v>
      </c>
      <c r="G14" s="1" t="s">
        <v>176</v>
      </c>
      <c r="H14" s="1">
        <v>60</v>
      </c>
      <c r="I14" s="38"/>
      <c r="J14" s="2">
        <v>747.92</v>
      </c>
      <c r="K14" s="2">
        <v>33.520000000000003</v>
      </c>
      <c r="L14" s="2">
        <v>53.48</v>
      </c>
      <c r="M14" s="2">
        <v>1.6</v>
      </c>
      <c r="N14" s="2">
        <v>1835.92</v>
      </c>
      <c r="O14" s="2">
        <v>77.709999999999994</v>
      </c>
      <c r="P14" s="2">
        <v>143.77000000000001</v>
      </c>
      <c r="Q14" s="2">
        <v>1.85</v>
      </c>
      <c r="R14" s="2">
        <v>1835.92</v>
      </c>
      <c r="S14" s="2">
        <v>51.2</v>
      </c>
      <c r="T14" s="2">
        <v>89.6</v>
      </c>
      <c r="U14" s="2">
        <v>1.75</v>
      </c>
      <c r="W14" s="2">
        <v>75.38</v>
      </c>
      <c r="X14" s="2">
        <v>66.349999999999994</v>
      </c>
      <c r="Y14" s="2">
        <v>76.73</v>
      </c>
      <c r="Z14" s="2">
        <v>72.510000000000005</v>
      </c>
      <c r="AA14" s="2">
        <v>65.58</v>
      </c>
      <c r="AB14" s="2">
        <v>74.150000000000006</v>
      </c>
      <c r="AD14" s="2">
        <v>8.16</v>
      </c>
      <c r="AF14" s="2">
        <v>6.28</v>
      </c>
      <c r="AH14" s="2">
        <v>7.1</v>
      </c>
      <c r="AJ14" s="2">
        <v>8.23</v>
      </c>
      <c r="AL14" s="2">
        <v>6.33</v>
      </c>
      <c r="AN14" s="2">
        <v>7.14</v>
      </c>
      <c r="AP14" s="2">
        <v>8.31</v>
      </c>
      <c r="AQ14" s="2">
        <v>8.27</v>
      </c>
      <c r="AR14" s="2">
        <v>6.54</v>
      </c>
      <c r="AS14" s="2">
        <v>6.36</v>
      </c>
      <c r="AT14" s="2">
        <v>7.24</v>
      </c>
      <c r="AU14" s="2">
        <v>7.19</v>
      </c>
      <c r="AW14" s="2">
        <v>1656</v>
      </c>
      <c r="AX14" s="2">
        <v>1137</v>
      </c>
      <c r="AY14" s="2">
        <v>550</v>
      </c>
      <c r="BC14" s="2">
        <v>487</v>
      </c>
      <c r="BD14" s="2">
        <v>375</v>
      </c>
      <c r="BE14" s="2">
        <v>225</v>
      </c>
      <c r="BF14" s="2">
        <f t="shared" si="0"/>
        <v>3.40041067761807</v>
      </c>
      <c r="BG14" s="2">
        <f t="shared" si="0"/>
        <v>3.032</v>
      </c>
      <c r="BH14" s="2">
        <f t="shared" si="0"/>
        <v>2.4444444444444446</v>
      </c>
    </row>
    <row r="15" spans="1:74" x14ac:dyDescent="0.25">
      <c r="A15" s="1">
        <v>3</v>
      </c>
      <c r="B15" s="1" t="s">
        <v>183</v>
      </c>
      <c r="C15" s="1">
        <v>2013</v>
      </c>
      <c r="D15" s="1" t="s">
        <v>179</v>
      </c>
      <c r="E15" s="1" t="s">
        <v>440</v>
      </c>
      <c r="F15" s="1" t="s">
        <v>3</v>
      </c>
      <c r="G15" s="1" t="s">
        <v>176</v>
      </c>
      <c r="H15" s="1">
        <v>90</v>
      </c>
      <c r="I15" s="38"/>
      <c r="J15" s="2">
        <v>765.98</v>
      </c>
      <c r="K15" s="2">
        <v>34.380000000000003</v>
      </c>
      <c r="L15" s="2">
        <v>54.1</v>
      </c>
      <c r="M15" s="2">
        <v>1.57</v>
      </c>
      <c r="N15" s="2">
        <v>1886.98</v>
      </c>
      <c r="O15" s="2">
        <v>80.069999999999993</v>
      </c>
      <c r="P15" s="2">
        <v>146.53</v>
      </c>
      <c r="Q15" s="2">
        <v>1.83</v>
      </c>
      <c r="R15" s="2">
        <v>1886.98</v>
      </c>
      <c r="S15" s="2">
        <v>52.66</v>
      </c>
      <c r="T15" s="2">
        <v>91.1</v>
      </c>
      <c r="U15" s="2">
        <v>1.73</v>
      </c>
      <c r="W15" s="2">
        <v>77.099999999999994</v>
      </c>
      <c r="X15" s="2">
        <v>68.180000000000007</v>
      </c>
      <c r="Y15" s="2">
        <v>77.650000000000006</v>
      </c>
      <c r="Z15" s="2">
        <v>72.81</v>
      </c>
      <c r="AA15" s="2">
        <v>68.099999999999994</v>
      </c>
      <c r="AB15" s="2">
        <v>74.37</v>
      </c>
      <c r="AD15" s="2">
        <v>8.15</v>
      </c>
      <c r="AF15" s="2">
        <v>6.13</v>
      </c>
      <c r="AH15" s="2">
        <v>7.08</v>
      </c>
      <c r="AJ15" s="2">
        <v>8.17</v>
      </c>
      <c r="AL15" s="2">
        <v>6.19</v>
      </c>
      <c r="AN15" s="2">
        <v>7.12</v>
      </c>
      <c r="AP15" s="2">
        <v>8.24</v>
      </c>
      <c r="AQ15" s="2">
        <v>8.2100000000000009</v>
      </c>
      <c r="AR15" s="2">
        <v>6.45</v>
      </c>
      <c r="AS15" s="2">
        <v>6.24</v>
      </c>
      <c r="AT15" s="2">
        <v>7.18</v>
      </c>
      <c r="AU15" s="2">
        <v>7.15</v>
      </c>
      <c r="AW15" s="2">
        <v>1696</v>
      </c>
      <c r="AX15" s="2">
        <v>1183</v>
      </c>
      <c r="AY15" s="2">
        <v>594</v>
      </c>
      <c r="BC15" s="2">
        <v>473</v>
      </c>
      <c r="BD15" s="2">
        <v>350</v>
      </c>
      <c r="BE15" s="2">
        <v>227</v>
      </c>
      <c r="BF15" s="2">
        <f t="shared" si="0"/>
        <v>3.5856236786469347</v>
      </c>
      <c r="BG15" s="2">
        <f t="shared" si="0"/>
        <v>3.38</v>
      </c>
      <c r="BH15" s="2">
        <f t="shared" si="0"/>
        <v>2.6167400881057268</v>
      </c>
    </row>
    <row r="16" spans="1:74" x14ac:dyDescent="0.25">
      <c r="A16" s="1">
        <v>4</v>
      </c>
      <c r="B16" s="1" t="s">
        <v>183</v>
      </c>
      <c r="C16" s="1">
        <v>2013</v>
      </c>
      <c r="D16" s="1" t="s">
        <v>179</v>
      </c>
      <c r="E16" s="1" t="s">
        <v>434</v>
      </c>
      <c r="F16" s="1" t="s">
        <v>435</v>
      </c>
      <c r="G16" s="1" t="s">
        <v>436</v>
      </c>
      <c r="H16" s="1">
        <v>0</v>
      </c>
      <c r="I16" s="38"/>
      <c r="J16" s="2">
        <v>803.99</v>
      </c>
      <c r="K16" s="2">
        <v>36.19</v>
      </c>
      <c r="L16" s="2">
        <v>55.95</v>
      </c>
      <c r="M16" s="2">
        <v>1.55</v>
      </c>
      <c r="N16" s="2">
        <v>1914.99</v>
      </c>
      <c r="O16" s="2">
        <v>79.36</v>
      </c>
      <c r="P16" s="2">
        <v>153.16</v>
      </c>
      <c r="Q16" s="2">
        <v>1.93</v>
      </c>
      <c r="R16" s="2">
        <v>1914.99</v>
      </c>
      <c r="S16" s="2">
        <v>52.17</v>
      </c>
      <c r="T16" s="2">
        <v>94.95</v>
      </c>
      <c r="U16" s="2">
        <v>1.82</v>
      </c>
      <c r="W16" s="2">
        <v>77.81</v>
      </c>
      <c r="X16" s="2">
        <v>68.38</v>
      </c>
      <c r="Z16" s="2">
        <v>76.040000000000006</v>
      </c>
      <c r="AA16" s="2">
        <v>66.11</v>
      </c>
      <c r="AD16" s="2">
        <v>8.5299999999999994</v>
      </c>
      <c r="AF16" s="2">
        <v>4.6900000000000004</v>
      </c>
      <c r="AH16" s="2">
        <v>7.15</v>
      </c>
      <c r="AJ16" s="2">
        <v>8.64</v>
      </c>
      <c r="AL16" s="2">
        <v>4.78</v>
      </c>
      <c r="AN16" s="2">
        <v>7.23</v>
      </c>
      <c r="AP16" s="2">
        <v>8.74</v>
      </c>
      <c r="AQ16" s="2">
        <v>8.6999999999999993</v>
      </c>
      <c r="AR16" s="2">
        <v>6.87</v>
      </c>
      <c r="AS16" s="2">
        <v>6.81</v>
      </c>
      <c r="AT16" s="2">
        <v>7.49</v>
      </c>
      <c r="AU16" s="2">
        <v>7.44</v>
      </c>
      <c r="AW16" s="2">
        <v>1746</v>
      </c>
      <c r="AX16" s="2">
        <v>1060</v>
      </c>
      <c r="AY16" s="2">
        <v>515</v>
      </c>
      <c r="BC16" s="2">
        <v>661</v>
      </c>
      <c r="BD16" s="2">
        <v>447</v>
      </c>
      <c r="BE16" s="2">
        <v>249</v>
      </c>
      <c r="BF16" s="2">
        <f t="shared" si="0"/>
        <v>2.6414523449319214</v>
      </c>
      <c r="BG16" s="2">
        <f t="shared" si="0"/>
        <v>2.3713646532438477</v>
      </c>
      <c r="BH16" s="2">
        <f t="shared" si="0"/>
        <v>2.0682730923694779</v>
      </c>
    </row>
    <row r="17" spans="1:72" x14ac:dyDescent="0.25">
      <c r="A17" s="1">
        <v>4</v>
      </c>
      <c r="B17" s="1" t="s">
        <v>183</v>
      </c>
      <c r="C17" s="1">
        <v>2013</v>
      </c>
      <c r="D17" s="1" t="s">
        <v>179</v>
      </c>
      <c r="E17" s="1" t="s">
        <v>438</v>
      </c>
      <c r="F17" s="1" t="s">
        <v>439</v>
      </c>
      <c r="G17" s="1" t="s">
        <v>176</v>
      </c>
      <c r="H17" s="1">
        <v>15</v>
      </c>
      <c r="I17" s="38"/>
      <c r="J17" s="2">
        <v>857</v>
      </c>
      <c r="K17" s="2">
        <v>38.71</v>
      </c>
      <c r="L17" s="2">
        <v>56.95</v>
      </c>
      <c r="M17" s="2">
        <v>1.47</v>
      </c>
      <c r="N17" s="2">
        <v>2085</v>
      </c>
      <c r="O17" s="2">
        <v>87.71</v>
      </c>
      <c r="P17" s="2">
        <v>162.27000000000001</v>
      </c>
      <c r="Q17" s="2">
        <v>1.85</v>
      </c>
      <c r="R17" s="2">
        <v>2085</v>
      </c>
      <c r="S17" s="2">
        <v>57.03</v>
      </c>
      <c r="T17" s="2">
        <v>98.66</v>
      </c>
      <c r="U17" s="2">
        <v>1.73</v>
      </c>
      <c r="W17" s="2">
        <v>80.81</v>
      </c>
      <c r="X17" s="2">
        <v>71.959999999999994</v>
      </c>
      <c r="Z17" s="2">
        <v>78.44</v>
      </c>
      <c r="AA17" s="2">
        <v>69.08</v>
      </c>
      <c r="AD17" s="2">
        <v>8.23</v>
      </c>
      <c r="AF17" s="2">
        <v>4.25</v>
      </c>
      <c r="AH17" s="2">
        <v>6.96</v>
      </c>
      <c r="AJ17" s="2">
        <v>8.35</v>
      </c>
      <c r="AL17" s="2">
        <v>4.29</v>
      </c>
      <c r="AN17" s="2">
        <v>7.03</v>
      </c>
      <c r="AP17" s="2">
        <v>8.49</v>
      </c>
      <c r="AQ17" s="2">
        <v>8.3800000000000008</v>
      </c>
      <c r="AR17" s="2">
        <v>6.55</v>
      </c>
      <c r="AS17" s="2">
        <v>6.37</v>
      </c>
      <c r="AT17" s="2">
        <v>7.29</v>
      </c>
      <c r="AU17" s="2">
        <v>7.21</v>
      </c>
      <c r="AW17" s="2">
        <v>1933</v>
      </c>
      <c r="AX17" s="2">
        <v>1164</v>
      </c>
      <c r="AY17" s="2">
        <v>584</v>
      </c>
      <c r="BC17" s="2">
        <v>632</v>
      </c>
      <c r="BD17" s="2">
        <v>414</v>
      </c>
      <c r="BE17" s="2">
        <v>225</v>
      </c>
      <c r="BF17" s="2">
        <f t="shared" si="0"/>
        <v>3.0585443037974684</v>
      </c>
      <c r="BG17" s="2">
        <f t="shared" si="0"/>
        <v>2.8115942028985508</v>
      </c>
      <c r="BH17" s="2">
        <f t="shared" si="0"/>
        <v>2.5955555555555554</v>
      </c>
    </row>
    <row r="18" spans="1:72" x14ac:dyDescent="0.25">
      <c r="A18" s="1">
        <v>4</v>
      </c>
      <c r="B18" s="1" t="s">
        <v>183</v>
      </c>
      <c r="C18" s="1">
        <v>2013</v>
      </c>
      <c r="D18" s="1" t="s">
        <v>179</v>
      </c>
      <c r="E18" s="1" t="s">
        <v>441</v>
      </c>
      <c r="F18" s="1" t="s">
        <v>3</v>
      </c>
      <c r="G18" s="1" t="s">
        <v>176</v>
      </c>
      <c r="H18" s="1">
        <v>40</v>
      </c>
      <c r="I18" s="38"/>
      <c r="J18" s="2">
        <v>821</v>
      </c>
      <c r="K18" s="2">
        <v>37</v>
      </c>
      <c r="L18" s="2">
        <v>56.52</v>
      </c>
      <c r="M18" s="2">
        <v>1.53</v>
      </c>
      <c r="N18" s="2">
        <v>1983</v>
      </c>
      <c r="O18" s="2">
        <v>83</v>
      </c>
      <c r="P18" s="2">
        <v>156.04</v>
      </c>
      <c r="Q18" s="2">
        <v>1.88</v>
      </c>
      <c r="R18" s="2">
        <v>1983</v>
      </c>
      <c r="S18" s="2">
        <v>54.09</v>
      </c>
      <c r="T18" s="2">
        <v>96.27</v>
      </c>
      <c r="U18" s="2">
        <v>1.78</v>
      </c>
      <c r="W18" s="2">
        <v>78.73</v>
      </c>
      <c r="X18" s="2">
        <v>69.27</v>
      </c>
      <c r="Z18" s="2">
        <v>76.75</v>
      </c>
      <c r="AA18" s="2">
        <v>67.06</v>
      </c>
      <c r="AD18" s="2">
        <v>8.48</v>
      </c>
      <c r="AF18" s="2">
        <v>4.42</v>
      </c>
      <c r="AH18" s="2">
        <v>7.1</v>
      </c>
      <c r="AJ18" s="2">
        <v>8.49</v>
      </c>
      <c r="AL18" s="2">
        <v>4.49</v>
      </c>
      <c r="AN18" s="2">
        <v>7.12</v>
      </c>
      <c r="AP18" s="2">
        <v>8.61</v>
      </c>
      <c r="AQ18" s="2">
        <v>8.5299999999999994</v>
      </c>
      <c r="AR18" s="2">
        <v>6.79</v>
      </c>
      <c r="AS18" s="2">
        <v>6.62</v>
      </c>
      <c r="AT18" s="2">
        <v>7.41</v>
      </c>
      <c r="AU18" s="2">
        <v>7.35</v>
      </c>
      <c r="AW18" s="2">
        <v>1863</v>
      </c>
      <c r="AX18" s="2">
        <v>1120</v>
      </c>
      <c r="AY18" s="2">
        <v>547</v>
      </c>
      <c r="BC18" s="2">
        <v>639</v>
      </c>
      <c r="BD18" s="2">
        <v>434</v>
      </c>
      <c r="BE18" s="2">
        <v>234</v>
      </c>
      <c r="BF18" s="2">
        <f t="shared" si="0"/>
        <v>2.915492957746479</v>
      </c>
      <c r="BG18" s="2">
        <f t="shared" si="0"/>
        <v>2.5806451612903225</v>
      </c>
      <c r="BH18" s="2">
        <f t="shared" si="0"/>
        <v>2.3376068376068377</v>
      </c>
    </row>
    <row r="19" spans="1:72" x14ac:dyDescent="0.25">
      <c r="A19" s="1">
        <v>4</v>
      </c>
      <c r="B19" s="1" t="s">
        <v>183</v>
      </c>
      <c r="C19" s="1">
        <v>2013</v>
      </c>
      <c r="D19" s="1" t="s">
        <v>179</v>
      </c>
      <c r="E19" s="1" t="s">
        <v>441</v>
      </c>
      <c r="F19" s="1" t="s">
        <v>3</v>
      </c>
      <c r="G19" s="1" t="s">
        <v>176</v>
      </c>
      <c r="H19" s="1">
        <v>60</v>
      </c>
      <c r="I19" s="38"/>
      <c r="J19" s="2">
        <v>836.96</v>
      </c>
      <c r="K19" s="2">
        <v>37.76</v>
      </c>
      <c r="L19" s="2">
        <v>56.71</v>
      </c>
      <c r="M19" s="2">
        <v>1.5</v>
      </c>
      <c r="N19" s="2">
        <v>2043.96</v>
      </c>
      <c r="O19" s="2">
        <v>86.21</v>
      </c>
      <c r="P19" s="2">
        <v>158.63</v>
      </c>
      <c r="Q19" s="2">
        <v>1.84</v>
      </c>
      <c r="R19" s="2">
        <v>2043.96</v>
      </c>
      <c r="S19" s="2">
        <v>55.86</v>
      </c>
      <c r="T19" s="2">
        <v>97.19</v>
      </c>
      <c r="U19" s="2">
        <v>1.74</v>
      </c>
      <c r="W19" s="2">
        <v>79.8</v>
      </c>
      <c r="X19" s="2">
        <v>70.42</v>
      </c>
      <c r="Z19" s="2">
        <v>77.97</v>
      </c>
      <c r="AA19" s="2">
        <v>68.73</v>
      </c>
      <c r="AD19" s="2">
        <v>8.3000000000000007</v>
      </c>
      <c r="AF19" s="2">
        <v>4.34</v>
      </c>
      <c r="AH19" s="2">
        <v>7.03</v>
      </c>
      <c r="AJ19" s="2">
        <v>8.39</v>
      </c>
      <c r="AL19" s="2">
        <v>4.42</v>
      </c>
      <c r="AN19" s="2">
        <v>7.09</v>
      </c>
      <c r="AP19" s="2">
        <v>8.5399999999999991</v>
      </c>
      <c r="AQ19" s="2">
        <v>8.4600000000000009</v>
      </c>
      <c r="AR19" s="2">
        <v>6.61</v>
      </c>
      <c r="AS19" s="2">
        <v>6.47</v>
      </c>
      <c r="AT19" s="2">
        <v>7.39</v>
      </c>
      <c r="AU19" s="2">
        <v>7.25</v>
      </c>
      <c r="AW19" s="2">
        <v>1897</v>
      </c>
      <c r="AX19" s="2">
        <v>1185</v>
      </c>
      <c r="AY19" s="2">
        <v>572</v>
      </c>
      <c r="BC19" s="2">
        <v>628</v>
      </c>
      <c r="BD19" s="2">
        <v>412</v>
      </c>
      <c r="BE19" s="2">
        <v>214</v>
      </c>
      <c r="BF19" s="2">
        <f t="shared" si="0"/>
        <v>3.0207006369426752</v>
      </c>
      <c r="BG19" s="2">
        <f t="shared" si="0"/>
        <v>2.8762135922330097</v>
      </c>
      <c r="BH19" s="2">
        <f t="shared" si="0"/>
        <v>2.6728971962616823</v>
      </c>
    </row>
    <row r="20" spans="1:72" x14ac:dyDescent="0.25">
      <c r="A20" s="1">
        <v>5</v>
      </c>
      <c r="B20" s="1" t="s">
        <v>189</v>
      </c>
      <c r="C20" s="1">
        <v>2017</v>
      </c>
      <c r="D20" s="1" t="s">
        <v>179</v>
      </c>
      <c r="E20" s="1" t="s">
        <v>434</v>
      </c>
      <c r="F20" s="1" t="s">
        <v>435</v>
      </c>
      <c r="G20" s="1" t="s">
        <v>436</v>
      </c>
      <c r="H20" s="1">
        <v>0</v>
      </c>
      <c r="I20" s="38"/>
      <c r="J20" s="2">
        <v>774.33</v>
      </c>
      <c r="K20" s="2">
        <v>34.909999999999997</v>
      </c>
      <c r="L20" s="2">
        <v>48.73</v>
      </c>
      <c r="M20" s="2">
        <v>1.41</v>
      </c>
      <c r="N20" s="2">
        <v>1771.22</v>
      </c>
      <c r="O20" s="2">
        <v>71.209999999999994</v>
      </c>
      <c r="P20" s="2">
        <v>129.56</v>
      </c>
      <c r="Q20" s="2">
        <v>1.82</v>
      </c>
      <c r="R20" s="2">
        <v>1771.22</v>
      </c>
      <c r="S20" s="2">
        <v>49.43</v>
      </c>
      <c r="T20" s="2">
        <v>81.06</v>
      </c>
      <c r="U20" s="2">
        <v>1.64</v>
      </c>
      <c r="AP20" s="2">
        <v>5.2</v>
      </c>
      <c r="AQ20" s="2">
        <v>6.4</v>
      </c>
      <c r="AR20" s="2">
        <v>7</v>
      </c>
      <c r="AS20" s="2">
        <v>7.1</v>
      </c>
      <c r="AT20" s="2">
        <v>6.9</v>
      </c>
      <c r="AU20" s="2">
        <v>8.5</v>
      </c>
    </row>
    <row r="21" spans="1:72" x14ac:dyDescent="0.25">
      <c r="A21" s="1">
        <v>5</v>
      </c>
      <c r="B21" s="1" t="s">
        <v>189</v>
      </c>
      <c r="C21" s="1">
        <v>2017</v>
      </c>
      <c r="D21" s="1" t="s">
        <v>179</v>
      </c>
      <c r="E21" s="1" t="s">
        <v>190</v>
      </c>
      <c r="F21" s="1" t="s">
        <v>3</v>
      </c>
      <c r="G21" s="1" t="s">
        <v>176</v>
      </c>
      <c r="H21" s="1">
        <v>70</v>
      </c>
      <c r="I21" s="38"/>
      <c r="J21" s="2">
        <v>818.5</v>
      </c>
      <c r="K21" s="2">
        <v>37.04</v>
      </c>
      <c r="L21" s="2">
        <v>48.78</v>
      </c>
      <c r="M21" s="2">
        <v>1.33</v>
      </c>
      <c r="N21" s="2">
        <v>1823.91</v>
      </c>
      <c r="O21" s="2">
        <v>71.819999999999993</v>
      </c>
      <c r="P21" s="2">
        <v>128.08000000000001</v>
      </c>
      <c r="Q21" s="2">
        <v>1.78</v>
      </c>
      <c r="R21" s="2">
        <v>1823.91</v>
      </c>
      <c r="S21" s="2">
        <v>50.95</v>
      </c>
      <c r="T21" s="2">
        <v>80.5</v>
      </c>
      <c r="U21" s="2">
        <v>1.58</v>
      </c>
      <c r="AP21" s="2">
        <v>5.4</v>
      </c>
      <c r="AQ21" s="2">
        <v>6.3</v>
      </c>
      <c r="AR21" s="2">
        <v>5.5</v>
      </c>
      <c r="AS21" s="2">
        <v>6.7</v>
      </c>
      <c r="AT21" s="2">
        <v>6</v>
      </c>
      <c r="AU21" s="2">
        <v>8.3000000000000007</v>
      </c>
    </row>
    <row r="22" spans="1:72" x14ac:dyDescent="0.25">
      <c r="A22" s="1">
        <v>5</v>
      </c>
      <c r="B22" s="1" t="s">
        <v>189</v>
      </c>
      <c r="C22" s="1">
        <v>2017</v>
      </c>
      <c r="D22" s="1" t="s">
        <v>179</v>
      </c>
      <c r="E22" s="1" t="s">
        <v>190</v>
      </c>
      <c r="F22" s="1" t="s">
        <v>3</v>
      </c>
      <c r="G22" s="1" t="s">
        <v>176</v>
      </c>
      <c r="H22" s="1">
        <v>90</v>
      </c>
      <c r="I22" s="38"/>
      <c r="J22" s="2">
        <v>813.66</v>
      </c>
      <c r="K22" s="2">
        <v>36.75</v>
      </c>
      <c r="L22" s="2">
        <v>48.42</v>
      </c>
      <c r="M22" s="2">
        <v>1.33</v>
      </c>
      <c r="N22" s="2">
        <v>1871.84</v>
      </c>
      <c r="O22" s="2">
        <v>75.58</v>
      </c>
      <c r="P22" s="2">
        <v>128.66</v>
      </c>
      <c r="Q22" s="2">
        <v>1.7</v>
      </c>
      <c r="R22" s="2">
        <v>1871.84</v>
      </c>
      <c r="S22" s="2">
        <v>52.28</v>
      </c>
      <c r="T22" s="2">
        <v>80.52</v>
      </c>
      <c r="U22" s="2">
        <v>1.54</v>
      </c>
      <c r="AP22" s="2">
        <v>5.9</v>
      </c>
      <c r="AQ22" s="2">
        <v>6.6</v>
      </c>
      <c r="AR22" s="2">
        <v>5.5</v>
      </c>
      <c r="AS22" s="2">
        <v>6.3</v>
      </c>
      <c r="AT22" s="2">
        <v>5.9</v>
      </c>
      <c r="AU22" s="2">
        <v>8</v>
      </c>
    </row>
    <row r="23" spans="1:72" x14ac:dyDescent="0.25">
      <c r="A23" s="1">
        <v>5</v>
      </c>
      <c r="B23" s="1" t="s">
        <v>189</v>
      </c>
      <c r="C23" s="1">
        <v>2017</v>
      </c>
      <c r="D23" s="1" t="s">
        <v>179</v>
      </c>
      <c r="E23" s="1" t="s">
        <v>190</v>
      </c>
      <c r="F23" s="1" t="s">
        <v>3</v>
      </c>
      <c r="G23" s="1" t="s">
        <v>176</v>
      </c>
      <c r="H23" s="1">
        <v>120</v>
      </c>
      <c r="I23" s="38"/>
      <c r="J23" s="2">
        <v>814.5</v>
      </c>
      <c r="K23" s="2">
        <v>36.83</v>
      </c>
      <c r="L23" s="2">
        <v>49.12</v>
      </c>
      <c r="M23" s="2">
        <v>1.35</v>
      </c>
      <c r="N23" s="2">
        <v>1828.14</v>
      </c>
      <c r="O23" s="2">
        <v>72.400000000000006</v>
      </c>
      <c r="P23" s="2">
        <v>129.28</v>
      </c>
      <c r="Q23" s="2">
        <v>1.79</v>
      </c>
      <c r="R23" s="2">
        <v>1828.14</v>
      </c>
      <c r="S23" s="2">
        <v>51.06</v>
      </c>
      <c r="T23" s="2">
        <v>81.180000000000007</v>
      </c>
      <c r="U23" s="2">
        <v>1.59</v>
      </c>
      <c r="AP23" s="2">
        <v>4.4000000000000004</v>
      </c>
      <c r="AQ23" s="2">
        <v>5.4</v>
      </c>
      <c r="AR23" s="2">
        <v>7.3</v>
      </c>
      <c r="AS23" s="2">
        <v>7.9</v>
      </c>
      <c r="AT23" s="2">
        <v>6.3</v>
      </c>
      <c r="AU23" s="2">
        <v>8.4</v>
      </c>
    </row>
    <row r="24" spans="1:72" x14ac:dyDescent="0.25">
      <c r="A24" s="1">
        <v>6</v>
      </c>
      <c r="B24" s="1" t="s">
        <v>191</v>
      </c>
      <c r="C24" s="1">
        <v>2017</v>
      </c>
      <c r="D24" s="1" t="s">
        <v>179</v>
      </c>
      <c r="E24" s="1" t="s">
        <v>434</v>
      </c>
      <c r="F24" s="1" t="s">
        <v>435</v>
      </c>
      <c r="G24" s="1" t="s">
        <v>436</v>
      </c>
      <c r="H24" s="1">
        <v>0</v>
      </c>
      <c r="I24" s="38"/>
      <c r="J24" s="2">
        <v>1016</v>
      </c>
      <c r="K24" s="2">
        <v>46.29</v>
      </c>
      <c r="L24" s="2">
        <v>60.14</v>
      </c>
      <c r="M24" s="2">
        <v>1.3</v>
      </c>
      <c r="W24" s="2">
        <v>68.400000000000006</v>
      </c>
      <c r="X24" s="2">
        <v>58</v>
      </c>
      <c r="AW24" s="2">
        <v>1786</v>
      </c>
      <c r="AX24" s="2">
        <v>1083</v>
      </c>
      <c r="BC24" s="2">
        <v>167</v>
      </c>
      <c r="BD24" s="2">
        <v>128</v>
      </c>
      <c r="BF24" s="2">
        <f t="shared" ref="BF24:BG30" si="1">AW24/BC24</f>
        <v>10.694610778443113</v>
      </c>
      <c r="BG24" s="2">
        <f t="shared" si="1"/>
        <v>8.4609375</v>
      </c>
    </row>
    <row r="25" spans="1:72" x14ac:dyDescent="0.25">
      <c r="A25" s="1">
        <v>6</v>
      </c>
      <c r="B25" s="1" t="s">
        <v>191</v>
      </c>
      <c r="C25" s="1">
        <v>2017</v>
      </c>
      <c r="D25" s="1" t="s">
        <v>179</v>
      </c>
      <c r="E25" s="1" t="s">
        <v>192</v>
      </c>
      <c r="F25" s="1" t="s">
        <v>181</v>
      </c>
      <c r="G25" s="1" t="s">
        <v>176</v>
      </c>
      <c r="H25" s="1">
        <v>1000</v>
      </c>
      <c r="I25" s="38"/>
      <c r="J25" s="2">
        <v>1034</v>
      </c>
      <c r="K25" s="2">
        <v>47.14</v>
      </c>
      <c r="L25" s="2">
        <v>60.67</v>
      </c>
      <c r="M25" s="2">
        <v>1.29</v>
      </c>
      <c r="W25" s="2">
        <v>68.3</v>
      </c>
      <c r="X25" s="2">
        <v>58.1</v>
      </c>
      <c r="AW25" s="2">
        <v>1930</v>
      </c>
      <c r="AX25" s="2">
        <v>1052</v>
      </c>
      <c r="BC25" s="2">
        <v>171</v>
      </c>
      <c r="BD25" s="2">
        <v>132</v>
      </c>
      <c r="BF25" s="2">
        <f t="shared" si="1"/>
        <v>11.286549707602338</v>
      </c>
      <c r="BG25" s="2">
        <f t="shared" si="1"/>
        <v>7.9696969696969697</v>
      </c>
    </row>
    <row r="26" spans="1:72" x14ac:dyDescent="0.25">
      <c r="A26" s="1">
        <v>6</v>
      </c>
      <c r="B26" s="1" t="s">
        <v>191</v>
      </c>
      <c r="C26" s="1">
        <v>2017</v>
      </c>
      <c r="D26" s="1" t="s">
        <v>179</v>
      </c>
      <c r="E26" s="1" t="s">
        <v>192</v>
      </c>
      <c r="F26" s="1" t="s">
        <v>181</v>
      </c>
      <c r="G26" s="1" t="s">
        <v>176</v>
      </c>
      <c r="H26" s="1">
        <v>2000</v>
      </c>
      <c r="I26" s="38"/>
      <c r="J26" s="2">
        <v>1037</v>
      </c>
      <c r="K26" s="2">
        <v>47.29</v>
      </c>
      <c r="L26" s="2">
        <v>60.43</v>
      </c>
      <c r="M26" s="2">
        <v>1.28</v>
      </c>
      <c r="W26" s="2">
        <v>68.400000000000006</v>
      </c>
      <c r="X26" s="2">
        <v>57</v>
      </c>
      <c r="AW26" s="2">
        <v>1870</v>
      </c>
      <c r="AX26" s="2">
        <v>1102</v>
      </c>
      <c r="BC26" s="2">
        <v>164</v>
      </c>
      <c r="BD26" s="2">
        <v>125</v>
      </c>
      <c r="BF26" s="2">
        <f t="shared" si="1"/>
        <v>11.402439024390244</v>
      </c>
      <c r="BG26" s="2">
        <f t="shared" si="1"/>
        <v>8.8160000000000007</v>
      </c>
    </row>
    <row r="27" spans="1:72" x14ac:dyDescent="0.25">
      <c r="A27" s="1">
        <v>6</v>
      </c>
      <c r="B27" s="1" t="s">
        <v>191</v>
      </c>
      <c r="C27" s="1">
        <v>2017</v>
      </c>
      <c r="D27" s="1" t="s">
        <v>179</v>
      </c>
      <c r="E27" s="1" t="s">
        <v>192</v>
      </c>
      <c r="F27" s="1" t="s">
        <v>181</v>
      </c>
      <c r="G27" s="1" t="s">
        <v>176</v>
      </c>
      <c r="H27" s="1">
        <v>3000</v>
      </c>
      <c r="I27" s="38"/>
      <c r="J27" s="2">
        <v>1026</v>
      </c>
      <c r="K27" s="2">
        <v>46.76</v>
      </c>
      <c r="L27" s="2">
        <v>60.52</v>
      </c>
      <c r="M27" s="2">
        <v>1.3</v>
      </c>
      <c r="W27" s="2">
        <v>68.5</v>
      </c>
      <c r="X27" s="2">
        <v>58</v>
      </c>
      <c r="AW27" s="2">
        <v>1999</v>
      </c>
      <c r="AX27" s="2">
        <v>1091</v>
      </c>
      <c r="BC27" s="2">
        <v>177</v>
      </c>
      <c r="BD27" s="2">
        <v>125</v>
      </c>
      <c r="BF27" s="2">
        <f t="shared" si="1"/>
        <v>11.293785310734464</v>
      </c>
      <c r="BG27" s="2">
        <f t="shared" si="1"/>
        <v>8.7279999999999998</v>
      </c>
    </row>
    <row r="28" spans="1:72" x14ac:dyDescent="0.25">
      <c r="A28" s="1">
        <v>6</v>
      </c>
      <c r="B28" s="1" t="s">
        <v>191</v>
      </c>
      <c r="C28" s="1">
        <v>2017</v>
      </c>
      <c r="D28" s="1" t="s">
        <v>179</v>
      </c>
      <c r="E28" s="1" t="s">
        <v>192</v>
      </c>
      <c r="F28" s="1" t="s">
        <v>181</v>
      </c>
      <c r="G28" s="1" t="s">
        <v>176</v>
      </c>
      <c r="H28" s="1">
        <v>4000</v>
      </c>
      <c r="I28" s="38"/>
      <c r="J28" s="2">
        <v>1011</v>
      </c>
      <c r="K28" s="2">
        <v>46.05</v>
      </c>
      <c r="L28" s="2">
        <v>59.1</v>
      </c>
      <c r="M28" s="2">
        <v>1.28</v>
      </c>
      <c r="W28" s="2">
        <v>68.400000000000006</v>
      </c>
      <c r="X28" s="2">
        <v>57.8</v>
      </c>
      <c r="AW28" s="2">
        <v>1859</v>
      </c>
      <c r="AX28" s="2">
        <v>1111</v>
      </c>
      <c r="BC28" s="2">
        <v>174</v>
      </c>
      <c r="BD28" s="2">
        <v>133</v>
      </c>
      <c r="BF28" s="2">
        <f t="shared" si="1"/>
        <v>10.683908045977011</v>
      </c>
      <c r="BG28" s="2">
        <f t="shared" si="1"/>
        <v>8.3533834586466167</v>
      </c>
    </row>
    <row r="29" spans="1:72" x14ac:dyDescent="0.25">
      <c r="A29" s="1">
        <v>6</v>
      </c>
      <c r="B29" s="1" t="s">
        <v>191</v>
      </c>
      <c r="C29" s="1">
        <v>2017</v>
      </c>
      <c r="D29" s="1" t="s">
        <v>179</v>
      </c>
      <c r="E29" s="1" t="s">
        <v>192</v>
      </c>
      <c r="F29" s="1" t="s">
        <v>181</v>
      </c>
      <c r="G29" s="1" t="s">
        <v>176</v>
      </c>
      <c r="H29" s="1">
        <v>5000</v>
      </c>
      <c r="I29" s="38"/>
      <c r="J29" s="2">
        <v>1041</v>
      </c>
      <c r="K29" s="2">
        <v>47.48</v>
      </c>
      <c r="L29" s="2">
        <v>59.86</v>
      </c>
      <c r="M29" s="2">
        <v>1.26</v>
      </c>
      <c r="W29" s="2">
        <v>68.5</v>
      </c>
      <c r="X29" s="2">
        <v>57.1</v>
      </c>
      <c r="AW29" s="2">
        <v>1845</v>
      </c>
      <c r="AX29" s="2">
        <v>1144</v>
      </c>
      <c r="BC29" s="2">
        <v>178</v>
      </c>
      <c r="BD29" s="2">
        <v>135</v>
      </c>
      <c r="BF29" s="2">
        <f t="shared" si="1"/>
        <v>10.365168539325843</v>
      </c>
      <c r="BG29" s="2">
        <f t="shared" si="1"/>
        <v>8.4740740740740748</v>
      </c>
    </row>
    <row r="30" spans="1:72" x14ac:dyDescent="0.25">
      <c r="A30" s="1">
        <v>6</v>
      </c>
      <c r="B30" s="1" t="s">
        <v>191</v>
      </c>
      <c r="C30" s="1">
        <v>2017</v>
      </c>
      <c r="D30" s="1" t="s">
        <v>179</v>
      </c>
      <c r="E30" s="1" t="s">
        <v>192</v>
      </c>
      <c r="F30" s="1" t="s">
        <v>181</v>
      </c>
      <c r="G30" s="1" t="s">
        <v>176</v>
      </c>
      <c r="H30" s="1">
        <v>6000</v>
      </c>
      <c r="I30" s="38"/>
      <c r="J30" s="2">
        <v>1031</v>
      </c>
      <c r="K30" s="2">
        <v>47</v>
      </c>
      <c r="L30" s="2">
        <v>58.57</v>
      </c>
      <c r="M30" s="2">
        <v>1.25</v>
      </c>
      <c r="W30" s="2">
        <v>68.099999999999994</v>
      </c>
      <c r="X30" s="2">
        <v>59.7</v>
      </c>
      <c r="AW30" s="2">
        <v>1986</v>
      </c>
      <c r="AX30" s="2">
        <v>1126</v>
      </c>
      <c r="BC30" s="2">
        <v>177</v>
      </c>
      <c r="BD30" s="2">
        <v>140</v>
      </c>
      <c r="BF30" s="2">
        <f t="shared" si="1"/>
        <v>11.220338983050848</v>
      </c>
      <c r="BG30" s="2">
        <f t="shared" si="1"/>
        <v>8.0428571428571427</v>
      </c>
    </row>
    <row r="31" spans="1:72" x14ac:dyDescent="0.25">
      <c r="A31" s="1">
        <v>7</v>
      </c>
      <c r="B31" s="1" t="s">
        <v>193</v>
      </c>
      <c r="C31" s="1">
        <v>2019</v>
      </c>
      <c r="D31" s="1" t="s">
        <v>170</v>
      </c>
      <c r="E31" s="1" t="s">
        <v>434</v>
      </c>
      <c r="F31" s="1" t="s">
        <v>435</v>
      </c>
      <c r="G31" s="1" t="s">
        <v>436</v>
      </c>
      <c r="H31" s="1">
        <v>0</v>
      </c>
      <c r="I31" s="38"/>
      <c r="J31" s="2">
        <v>704.95</v>
      </c>
      <c r="K31" s="2">
        <v>31.46</v>
      </c>
      <c r="L31" s="2">
        <v>51.38</v>
      </c>
      <c r="M31" s="2">
        <v>1.63</v>
      </c>
      <c r="N31" s="2">
        <v>2109.0100000000002</v>
      </c>
      <c r="O31" s="2">
        <v>66.86</v>
      </c>
      <c r="P31" s="2">
        <v>135.81</v>
      </c>
      <c r="Q31" s="2">
        <v>2.0299999999999998</v>
      </c>
      <c r="R31" s="2">
        <v>2109.0100000000002</v>
      </c>
      <c r="S31" s="2">
        <v>49.6</v>
      </c>
      <c r="T31" s="2">
        <v>94.34</v>
      </c>
      <c r="U31" s="2">
        <v>1.9</v>
      </c>
      <c r="AD31" s="2">
        <v>6.69</v>
      </c>
      <c r="AE31" s="2">
        <v>6.38</v>
      </c>
      <c r="AJ31" s="2">
        <v>6.96</v>
      </c>
      <c r="AK31" s="2">
        <v>6.89</v>
      </c>
      <c r="AW31" s="2">
        <v>1298.57</v>
      </c>
      <c r="BC31" s="2">
        <v>161.69</v>
      </c>
      <c r="BF31" s="2">
        <f>AW31/BC31</f>
        <v>8.0312326056033143</v>
      </c>
      <c r="BP31" s="36">
        <v>1.014</v>
      </c>
      <c r="BQ31" s="36">
        <v>0.79800000000000004</v>
      </c>
      <c r="BR31" s="36">
        <v>7.8849999999999998</v>
      </c>
      <c r="BS31" s="36">
        <v>1.4710000000000001</v>
      </c>
      <c r="BT31" s="36">
        <v>0.20100000000000001</v>
      </c>
    </row>
    <row r="32" spans="1:72" x14ac:dyDescent="0.25">
      <c r="A32" s="1">
        <v>7</v>
      </c>
      <c r="B32" s="1" t="s">
        <v>193</v>
      </c>
      <c r="C32" s="1">
        <v>2019</v>
      </c>
      <c r="D32" s="1" t="s">
        <v>170</v>
      </c>
      <c r="E32" s="1" t="s">
        <v>438</v>
      </c>
      <c r="F32" s="1" t="s">
        <v>439</v>
      </c>
      <c r="G32" s="1" t="s">
        <v>176</v>
      </c>
      <c r="H32" s="1">
        <v>10</v>
      </c>
      <c r="I32" s="38"/>
      <c r="J32" s="2">
        <v>753.88</v>
      </c>
      <c r="K32" s="2">
        <v>33.79</v>
      </c>
      <c r="L32" s="2">
        <v>48.7</v>
      </c>
      <c r="M32" s="2">
        <v>1.44</v>
      </c>
      <c r="N32" s="2">
        <v>2401.75</v>
      </c>
      <c r="O32" s="2">
        <v>78.47</v>
      </c>
      <c r="P32" s="2">
        <v>137.68</v>
      </c>
      <c r="Q32" s="2">
        <v>1.75</v>
      </c>
      <c r="R32" s="2">
        <v>2401.75</v>
      </c>
      <c r="S32" s="2">
        <v>56.72</v>
      </c>
      <c r="T32" s="2">
        <v>94.12</v>
      </c>
      <c r="U32" s="2">
        <v>1.66</v>
      </c>
      <c r="AD32" s="2">
        <v>5.72</v>
      </c>
      <c r="AE32" s="2">
        <v>6.1</v>
      </c>
      <c r="AJ32" s="2">
        <v>6.53</v>
      </c>
      <c r="AK32" s="2">
        <v>6.59</v>
      </c>
      <c r="AW32" s="2">
        <v>1478.52</v>
      </c>
      <c r="BC32" s="2">
        <v>120.53</v>
      </c>
      <c r="BF32" s="2">
        <f>AW32/BC32</f>
        <v>12.266821538206255</v>
      </c>
      <c r="BP32" s="36">
        <v>1.0489999999999999</v>
      </c>
      <c r="BQ32" s="36">
        <v>0.84799999999999998</v>
      </c>
      <c r="BR32" s="36">
        <v>8.4740000000000002</v>
      </c>
      <c r="BS32" s="36">
        <v>1.8740000000000001</v>
      </c>
      <c r="BT32" s="36">
        <v>0.216</v>
      </c>
    </row>
    <row r="33" spans="1:72" x14ac:dyDescent="0.25">
      <c r="A33" s="1">
        <v>7</v>
      </c>
      <c r="B33" s="1" t="s">
        <v>193</v>
      </c>
      <c r="C33" s="1">
        <v>2019</v>
      </c>
      <c r="D33" s="1" t="s">
        <v>170</v>
      </c>
      <c r="E33" s="1" t="s">
        <v>194</v>
      </c>
      <c r="F33" s="1" t="s">
        <v>3</v>
      </c>
      <c r="G33" s="1" t="s">
        <v>176</v>
      </c>
      <c r="H33" s="1">
        <v>100</v>
      </c>
      <c r="I33" s="38"/>
      <c r="J33" s="2">
        <v>717.97</v>
      </c>
      <c r="K33" s="2">
        <v>32.08</v>
      </c>
      <c r="L33" s="2">
        <v>46.7</v>
      </c>
      <c r="M33" s="2">
        <v>1.44</v>
      </c>
      <c r="N33" s="2">
        <v>2245.5100000000002</v>
      </c>
      <c r="O33" s="2">
        <v>72.739999999999995</v>
      </c>
      <c r="P33" s="2">
        <v>130.54</v>
      </c>
      <c r="Q33" s="2">
        <v>1.79</v>
      </c>
      <c r="R33" s="2">
        <v>2245.5100000000002</v>
      </c>
      <c r="S33" s="2">
        <v>52.93</v>
      </c>
      <c r="T33" s="2">
        <v>89.33</v>
      </c>
      <c r="U33" s="2">
        <v>1.69</v>
      </c>
      <c r="AD33" s="2">
        <v>6.3</v>
      </c>
      <c r="AE33" s="2">
        <v>6.13</v>
      </c>
      <c r="AJ33" s="2">
        <v>6.52</v>
      </c>
      <c r="AK33" s="2">
        <v>6.85</v>
      </c>
      <c r="AW33" s="2">
        <v>1395.26</v>
      </c>
      <c r="BC33" s="2">
        <v>115.83</v>
      </c>
      <c r="BF33" s="2">
        <f>AW33/BC33</f>
        <v>12.04575671242338</v>
      </c>
      <c r="BP33" s="36">
        <v>1.153</v>
      </c>
      <c r="BQ33" s="36">
        <v>0.86899999999999999</v>
      </c>
      <c r="BR33" s="36">
        <v>8.1839999999999993</v>
      </c>
      <c r="BS33" s="36">
        <v>1.677</v>
      </c>
      <c r="BT33" s="36">
        <v>0.22600000000000001</v>
      </c>
    </row>
    <row r="34" spans="1:72" x14ac:dyDescent="0.25">
      <c r="A34" s="1">
        <v>7</v>
      </c>
      <c r="B34" s="1" t="s">
        <v>193</v>
      </c>
      <c r="C34" s="1">
        <v>2019</v>
      </c>
      <c r="D34" s="1" t="s">
        <v>170</v>
      </c>
      <c r="E34" s="1" t="s">
        <v>194</v>
      </c>
      <c r="F34" s="1" t="s">
        <v>3</v>
      </c>
      <c r="G34" s="1" t="s">
        <v>176</v>
      </c>
      <c r="H34" s="1">
        <v>200</v>
      </c>
      <c r="I34" s="38"/>
      <c r="J34" s="2">
        <v>709.99</v>
      </c>
      <c r="K34" s="2">
        <v>31.7</v>
      </c>
      <c r="L34" s="2">
        <v>45.64</v>
      </c>
      <c r="M34" s="2">
        <v>1.44</v>
      </c>
      <c r="N34" s="2">
        <v>2352.4</v>
      </c>
      <c r="O34" s="2">
        <v>78.209999999999994</v>
      </c>
      <c r="P34" s="2">
        <v>139.1</v>
      </c>
      <c r="Q34" s="2">
        <v>1.78</v>
      </c>
      <c r="R34" s="2">
        <v>2352.4</v>
      </c>
      <c r="S34" s="2">
        <v>55.82</v>
      </c>
      <c r="T34" s="2">
        <v>93.35</v>
      </c>
      <c r="U34" s="2">
        <v>1.67</v>
      </c>
      <c r="AD34" s="2">
        <v>5.52</v>
      </c>
      <c r="AE34" s="2">
        <v>5.97</v>
      </c>
      <c r="AJ34" s="2">
        <v>6.58</v>
      </c>
      <c r="AK34" s="2">
        <v>6.54</v>
      </c>
      <c r="AW34" s="2">
        <v>1559.02</v>
      </c>
      <c r="BC34" s="2">
        <v>116.13</v>
      </c>
      <c r="BF34" s="2">
        <f>AW34/BC34</f>
        <v>13.424782571256351</v>
      </c>
      <c r="BP34" s="36">
        <v>1.0589999999999999</v>
      </c>
      <c r="BQ34" s="36">
        <v>0.86899999999999999</v>
      </c>
      <c r="BR34" s="36">
        <v>8.4510000000000005</v>
      </c>
      <c r="BS34" s="36">
        <v>1.7050000000000001</v>
      </c>
      <c r="BT34" s="36">
        <v>0.22600000000000001</v>
      </c>
    </row>
    <row r="35" spans="1:72" x14ac:dyDescent="0.25">
      <c r="A35" s="1">
        <v>8</v>
      </c>
      <c r="B35" s="1" t="s">
        <v>195</v>
      </c>
      <c r="C35" s="1">
        <v>2019</v>
      </c>
      <c r="D35" s="1" t="s">
        <v>196</v>
      </c>
      <c r="E35" s="1" t="s">
        <v>434</v>
      </c>
      <c r="F35" s="1" t="s">
        <v>435</v>
      </c>
      <c r="G35" s="1" t="s">
        <v>436</v>
      </c>
      <c r="H35" s="1">
        <v>0</v>
      </c>
      <c r="I35" s="38"/>
      <c r="J35" s="2">
        <v>874.4</v>
      </c>
      <c r="K35" s="2">
        <v>39.67</v>
      </c>
      <c r="L35" s="2">
        <v>58.9</v>
      </c>
      <c r="M35" s="2">
        <v>1.48</v>
      </c>
      <c r="W35" s="2">
        <v>73.5</v>
      </c>
      <c r="AX35" s="2">
        <v>1120</v>
      </c>
      <c r="AY35" s="2">
        <v>768</v>
      </c>
      <c r="BD35" s="2">
        <v>153</v>
      </c>
      <c r="BE35" s="2">
        <v>154</v>
      </c>
      <c r="BG35" s="2">
        <f t="shared" ref="BG35:BH40" si="2">AX35/BD35</f>
        <v>7.3202614379084965</v>
      </c>
      <c r="BH35" s="2">
        <f t="shared" si="2"/>
        <v>4.9870129870129869</v>
      </c>
    </row>
    <row r="36" spans="1:72" x14ac:dyDescent="0.25">
      <c r="A36" s="1">
        <v>8</v>
      </c>
      <c r="B36" s="1" t="s">
        <v>195</v>
      </c>
      <c r="C36" s="1">
        <v>2019</v>
      </c>
      <c r="D36" s="1" t="s">
        <v>196</v>
      </c>
      <c r="E36" s="1" t="s">
        <v>192</v>
      </c>
      <c r="F36" s="1" t="s">
        <v>181</v>
      </c>
      <c r="G36" s="1" t="s">
        <v>176</v>
      </c>
      <c r="H36" s="1">
        <v>1000</v>
      </c>
      <c r="I36" s="38"/>
      <c r="J36" s="2">
        <v>905.4</v>
      </c>
      <c r="K36" s="2">
        <v>41.14</v>
      </c>
      <c r="L36" s="2">
        <v>58</v>
      </c>
      <c r="M36" s="2">
        <v>1.41</v>
      </c>
      <c r="W36" s="2">
        <v>73.3</v>
      </c>
      <c r="AX36" s="2">
        <v>1151</v>
      </c>
      <c r="AY36" s="2">
        <v>813</v>
      </c>
      <c r="BD36" s="2">
        <v>142</v>
      </c>
      <c r="BE36" s="2">
        <v>149</v>
      </c>
      <c r="BG36" s="2">
        <f t="shared" si="2"/>
        <v>8.1056338028169019</v>
      </c>
      <c r="BH36" s="2">
        <f t="shared" si="2"/>
        <v>5.4563758389261743</v>
      </c>
    </row>
    <row r="37" spans="1:72" x14ac:dyDescent="0.25">
      <c r="A37" s="1">
        <v>8</v>
      </c>
      <c r="B37" s="1" t="s">
        <v>195</v>
      </c>
      <c r="C37" s="1">
        <v>2019</v>
      </c>
      <c r="D37" s="1" t="s">
        <v>196</v>
      </c>
      <c r="E37" s="1" t="s">
        <v>192</v>
      </c>
      <c r="F37" s="1" t="s">
        <v>181</v>
      </c>
      <c r="G37" s="1" t="s">
        <v>176</v>
      </c>
      <c r="H37" s="1">
        <v>2000</v>
      </c>
      <c r="I37" s="38"/>
      <c r="J37" s="2">
        <v>912.4</v>
      </c>
      <c r="K37" s="2">
        <v>41.48</v>
      </c>
      <c r="L37" s="2">
        <v>58.33</v>
      </c>
      <c r="M37" s="2">
        <v>1.41</v>
      </c>
      <c r="W37" s="2">
        <v>74.099999999999994</v>
      </c>
      <c r="AX37" s="2">
        <v>1181</v>
      </c>
      <c r="AY37" s="2">
        <v>850</v>
      </c>
      <c r="BD37" s="2">
        <v>135</v>
      </c>
      <c r="BE37" s="2">
        <v>144</v>
      </c>
      <c r="BG37" s="2">
        <f t="shared" si="2"/>
        <v>8.7481481481481485</v>
      </c>
      <c r="BH37" s="2">
        <f t="shared" si="2"/>
        <v>5.9027777777777777</v>
      </c>
    </row>
    <row r="38" spans="1:72" x14ac:dyDescent="0.25">
      <c r="A38" s="1">
        <v>8</v>
      </c>
      <c r="B38" s="1" t="s">
        <v>195</v>
      </c>
      <c r="C38" s="1">
        <v>2019</v>
      </c>
      <c r="D38" s="1" t="s">
        <v>196</v>
      </c>
      <c r="E38" s="1" t="s">
        <v>192</v>
      </c>
      <c r="F38" s="1" t="s">
        <v>181</v>
      </c>
      <c r="G38" s="1" t="s">
        <v>176</v>
      </c>
      <c r="H38" s="1">
        <v>3000</v>
      </c>
      <c r="I38" s="38"/>
      <c r="J38" s="2">
        <v>925.4</v>
      </c>
      <c r="K38" s="2">
        <v>42.1</v>
      </c>
      <c r="L38" s="2">
        <v>58.38</v>
      </c>
      <c r="M38" s="2">
        <v>1.39</v>
      </c>
      <c r="W38" s="2">
        <v>74</v>
      </c>
      <c r="AX38" s="2">
        <v>1210</v>
      </c>
      <c r="AY38" s="2">
        <v>885</v>
      </c>
      <c r="BD38" s="2">
        <v>127</v>
      </c>
      <c r="BE38" s="2">
        <v>139</v>
      </c>
      <c r="BG38" s="2">
        <f t="shared" si="2"/>
        <v>9.5275590551181111</v>
      </c>
      <c r="BH38" s="2">
        <f t="shared" si="2"/>
        <v>6.3669064748201443</v>
      </c>
    </row>
    <row r="39" spans="1:72" x14ac:dyDescent="0.25">
      <c r="A39" s="1">
        <v>8</v>
      </c>
      <c r="B39" s="1" t="s">
        <v>195</v>
      </c>
      <c r="C39" s="1">
        <v>2019</v>
      </c>
      <c r="D39" s="1" t="s">
        <v>196</v>
      </c>
      <c r="E39" s="1" t="s">
        <v>192</v>
      </c>
      <c r="F39" s="1" t="s">
        <v>181</v>
      </c>
      <c r="G39" s="1" t="s">
        <v>176</v>
      </c>
      <c r="H39" s="1">
        <v>4000</v>
      </c>
      <c r="I39" s="38"/>
      <c r="J39" s="2">
        <v>943.4</v>
      </c>
      <c r="K39" s="2">
        <v>42.95</v>
      </c>
      <c r="L39" s="2">
        <v>58.9</v>
      </c>
      <c r="M39" s="2">
        <v>1.37</v>
      </c>
      <c r="W39" s="2">
        <v>74.2</v>
      </c>
      <c r="AX39" s="2">
        <v>1244</v>
      </c>
      <c r="AY39" s="2">
        <v>918</v>
      </c>
      <c r="BD39" s="2">
        <v>123</v>
      </c>
      <c r="BE39" s="2">
        <v>135</v>
      </c>
      <c r="BG39" s="2">
        <f t="shared" si="2"/>
        <v>10.113821138211382</v>
      </c>
      <c r="BH39" s="2">
        <f t="shared" si="2"/>
        <v>6.8</v>
      </c>
    </row>
    <row r="40" spans="1:72" x14ac:dyDescent="0.25">
      <c r="A40" s="1">
        <v>8</v>
      </c>
      <c r="B40" s="1" t="s">
        <v>195</v>
      </c>
      <c r="C40" s="1">
        <v>2019</v>
      </c>
      <c r="D40" s="1" t="s">
        <v>196</v>
      </c>
      <c r="E40" s="1" t="s">
        <v>192</v>
      </c>
      <c r="F40" s="1" t="s">
        <v>181</v>
      </c>
      <c r="G40" s="1" t="s">
        <v>176</v>
      </c>
      <c r="H40" s="1">
        <v>5000</v>
      </c>
      <c r="I40" s="38"/>
      <c r="J40" s="2">
        <v>1013.4</v>
      </c>
      <c r="K40" s="2">
        <v>46.29</v>
      </c>
      <c r="L40" s="2">
        <v>58.62</v>
      </c>
      <c r="M40" s="2">
        <v>1.27</v>
      </c>
      <c r="W40" s="2">
        <v>74.099999999999994</v>
      </c>
      <c r="AX40" s="2">
        <v>1229</v>
      </c>
      <c r="AY40" s="2">
        <v>918</v>
      </c>
      <c r="BD40" s="2">
        <v>128</v>
      </c>
      <c r="BE40" s="2">
        <v>135</v>
      </c>
      <c r="BG40" s="2">
        <f t="shared" si="2"/>
        <v>9.6015625</v>
      </c>
      <c r="BH40" s="2">
        <f t="shared" si="2"/>
        <v>6.8</v>
      </c>
    </row>
    <row r="41" spans="1:72" x14ac:dyDescent="0.25">
      <c r="A41" s="1">
        <v>9</v>
      </c>
      <c r="B41" s="1" t="s">
        <v>198</v>
      </c>
      <c r="C41" s="1">
        <v>2019</v>
      </c>
      <c r="D41" s="1" t="s">
        <v>196</v>
      </c>
      <c r="E41" s="1" t="s">
        <v>434</v>
      </c>
      <c r="F41" s="1" t="s">
        <v>435</v>
      </c>
      <c r="G41" s="1" t="s">
        <v>436</v>
      </c>
      <c r="H41" s="1">
        <v>0</v>
      </c>
      <c r="J41" s="2">
        <v>1472.66</v>
      </c>
      <c r="K41" s="2">
        <v>59.64</v>
      </c>
      <c r="L41" s="2">
        <v>94.38</v>
      </c>
      <c r="M41" s="2">
        <v>1.58</v>
      </c>
      <c r="AD41" s="2">
        <v>6.24</v>
      </c>
      <c r="AH41" s="2">
        <v>2.1</v>
      </c>
      <c r="AX41" s="2">
        <v>827</v>
      </c>
      <c r="BD41" s="2">
        <v>201</v>
      </c>
      <c r="BG41" s="2">
        <f>AX41/BD41</f>
        <v>4.1144278606965177</v>
      </c>
    </row>
    <row r="42" spans="1:72" x14ac:dyDescent="0.25">
      <c r="A42" s="1">
        <v>9</v>
      </c>
      <c r="B42" s="1" t="s">
        <v>198</v>
      </c>
      <c r="C42" s="1">
        <v>2019</v>
      </c>
      <c r="D42" s="1" t="s">
        <v>196</v>
      </c>
      <c r="E42" s="1" t="s">
        <v>438</v>
      </c>
      <c r="F42" s="1" t="s">
        <v>439</v>
      </c>
      <c r="G42" s="1" t="s">
        <v>176</v>
      </c>
      <c r="H42" s="1">
        <v>45</v>
      </c>
      <c r="J42" s="2">
        <v>1671.38</v>
      </c>
      <c r="K42" s="2">
        <v>67.92</v>
      </c>
      <c r="L42" s="2">
        <v>100.5</v>
      </c>
      <c r="M42" s="2">
        <v>1.48</v>
      </c>
      <c r="AD42" s="2">
        <v>6.21</v>
      </c>
      <c r="AH42" s="2">
        <v>1.32</v>
      </c>
      <c r="AX42" s="2">
        <v>1175</v>
      </c>
      <c r="BD42" s="2">
        <v>180</v>
      </c>
      <c r="BG42" s="2">
        <f>AX42/BD42</f>
        <v>6.5277777777777777</v>
      </c>
    </row>
    <row r="43" spans="1:72" x14ac:dyDescent="0.25">
      <c r="A43" s="1">
        <v>9</v>
      </c>
      <c r="B43" s="1" t="s">
        <v>198</v>
      </c>
      <c r="C43" s="1">
        <v>2019</v>
      </c>
      <c r="D43" s="1" t="s">
        <v>196</v>
      </c>
      <c r="E43" s="1" t="s">
        <v>442</v>
      </c>
      <c r="F43" s="1" t="s">
        <v>3</v>
      </c>
      <c r="G43" s="1" t="s">
        <v>176</v>
      </c>
      <c r="H43" s="1">
        <v>20</v>
      </c>
      <c r="J43" s="2">
        <v>1604.18</v>
      </c>
      <c r="K43" s="2">
        <v>65.12</v>
      </c>
      <c r="L43" s="2">
        <v>92.62</v>
      </c>
      <c r="M43" s="2">
        <v>1.42</v>
      </c>
      <c r="AD43" s="2">
        <v>8.51</v>
      </c>
      <c r="AH43" s="2">
        <v>1.67</v>
      </c>
      <c r="AX43" s="2">
        <v>1167</v>
      </c>
      <c r="BD43" s="2">
        <v>171</v>
      </c>
      <c r="BG43" s="2">
        <f>AX43/BD43</f>
        <v>6.8245614035087723</v>
      </c>
    </row>
    <row r="44" spans="1:72" x14ac:dyDescent="0.25">
      <c r="A44" s="1">
        <v>10</v>
      </c>
      <c r="B44" s="1" t="s">
        <v>203</v>
      </c>
      <c r="C44" s="1">
        <v>2018</v>
      </c>
      <c r="D44" s="1" t="s">
        <v>179</v>
      </c>
      <c r="E44" s="1" t="s">
        <v>434</v>
      </c>
      <c r="F44" s="1" t="s">
        <v>435</v>
      </c>
      <c r="G44" s="1" t="s">
        <v>436</v>
      </c>
      <c r="H44" s="1">
        <v>0</v>
      </c>
      <c r="J44" s="2">
        <v>1001</v>
      </c>
      <c r="K44" s="2">
        <v>64</v>
      </c>
      <c r="L44" s="2">
        <v>90.88</v>
      </c>
      <c r="M44" s="2">
        <v>1.42</v>
      </c>
      <c r="N44" s="2">
        <v>2120</v>
      </c>
      <c r="O44" s="2">
        <v>93.67</v>
      </c>
      <c r="P44" s="2">
        <v>195.33</v>
      </c>
      <c r="Q44" s="2">
        <v>2.09</v>
      </c>
      <c r="R44" s="2">
        <v>2120</v>
      </c>
      <c r="S44" s="2">
        <v>63</v>
      </c>
      <c r="T44" s="2">
        <v>104.58</v>
      </c>
      <c r="U44" s="2">
        <v>1.66</v>
      </c>
    </row>
    <row r="45" spans="1:72" x14ac:dyDescent="0.25">
      <c r="A45" s="1">
        <v>10</v>
      </c>
      <c r="B45" s="1" t="s">
        <v>203</v>
      </c>
      <c r="C45" s="1">
        <v>2018</v>
      </c>
      <c r="D45" s="1" t="s">
        <v>179</v>
      </c>
      <c r="E45" s="1" t="s">
        <v>190</v>
      </c>
      <c r="F45" s="1" t="s">
        <v>3</v>
      </c>
      <c r="G45" s="1" t="s">
        <v>176</v>
      </c>
      <c r="H45" s="1">
        <v>40</v>
      </c>
      <c r="J45" s="2">
        <v>928.9</v>
      </c>
      <c r="K45" s="2">
        <v>55</v>
      </c>
      <c r="L45" s="2">
        <v>84.7</v>
      </c>
      <c r="M45" s="2">
        <v>1.54</v>
      </c>
      <c r="N45" s="2">
        <v>2079</v>
      </c>
      <c r="O45" s="2">
        <v>103.25</v>
      </c>
      <c r="P45" s="2">
        <v>206.67</v>
      </c>
      <c r="Q45" s="2">
        <v>2</v>
      </c>
      <c r="R45" s="2">
        <v>2079</v>
      </c>
      <c r="S45" s="2">
        <v>61.76</v>
      </c>
      <c r="T45" s="2">
        <v>101.28</v>
      </c>
      <c r="U45" s="2">
        <v>1.64</v>
      </c>
    </row>
    <row r="46" spans="1:72" x14ac:dyDescent="0.25">
      <c r="A46" s="1">
        <v>11</v>
      </c>
      <c r="B46" s="1" t="s">
        <v>207</v>
      </c>
      <c r="C46" s="1">
        <v>2017</v>
      </c>
      <c r="D46" s="1" t="s">
        <v>208</v>
      </c>
      <c r="E46" s="1" t="s">
        <v>434</v>
      </c>
      <c r="F46" s="1" t="s">
        <v>435</v>
      </c>
      <c r="G46" s="1" t="s">
        <v>436</v>
      </c>
      <c r="H46" s="1">
        <v>0</v>
      </c>
      <c r="J46" s="2">
        <v>1143.02</v>
      </c>
      <c r="K46" s="2">
        <v>39.36</v>
      </c>
      <c r="L46" s="2">
        <v>58.17</v>
      </c>
      <c r="M46" s="2">
        <v>1.48</v>
      </c>
      <c r="N46" s="2">
        <v>2099.4</v>
      </c>
      <c r="O46" s="2">
        <v>68.31</v>
      </c>
      <c r="P46" s="2">
        <v>163.76</v>
      </c>
      <c r="Q46" s="2">
        <v>2.4</v>
      </c>
      <c r="R46" s="2">
        <v>2099.4</v>
      </c>
      <c r="S46" s="2">
        <v>49.01</v>
      </c>
      <c r="T46" s="2">
        <v>93.36</v>
      </c>
      <c r="U46" s="2">
        <v>1.9</v>
      </c>
      <c r="AF46" s="2">
        <v>3.25</v>
      </c>
    </row>
    <row r="47" spans="1:72" x14ac:dyDescent="0.25">
      <c r="A47" s="1">
        <v>11</v>
      </c>
      <c r="B47" s="1" t="s">
        <v>207</v>
      </c>
      <c r="C47" s="1">
        <v>2017</v>
      </c>
      <c r="D47" s="1" t="s">
        <v>208</v>
      </c>
      <c r="E47" s="1" t="s">
        <v>438</v>
      </c>
      <c r="F47" s="1" t="s">
        <v>439</v>
      </c>
      <c r="G47" s="1" t="s">
        <v>176</v>
      </c>
      <c r="H47" s="1">
        <v>200</v>
      </c>
      <c r="J47" s="2">
        <v>1177.3599999999999</v>
      </c>
      <c r="K47" s="2">
        <v>40.58</v>
      </c>
      <c r="L47" s="2">
        <v>58.15</v>
      </c>
      <c r="M47" s="2">
        <v>1.43</v>
      </c>
      <c r="N47" s="2">
        <v>2185.6</v>
      </c>
      <c r="O47" s="2">
        <v>72.02</v>
      </c>
      <c r="P47" s="2">
        <v>163.99</v>
      </c>
      <c r="Q47" s="2">
        <v>2.2799999999999998</v>
      </c>
      <c r="R47" s="2">
        <v>2185.6</v>
      </c>
      <c r="S47" s="2">
        <v>51.06</v>
      </c>
      <c r="T47" s="2">
        <v>93.43</v>
      </c>
      <c r="U47" s="2">
        <v>1.83</v>
      </c>
      <c r="AF47" s="2">
        <v>1.91</v>
      </c>
    </row>
    <row r="48" spans="1:72" x14ac:dyDescent="0.25">
      <c r="A48" s="1">
        <v>11</v>
      </c>
      <c r="B48" s="1" t="s">
        <v>207</v>
      </c>
      <c r="C48" s="1">
        <v>2017</v>
      </c>
      <c r="D48" s="1" t="s">
        <v>208</v>
      </c>
      <c r="E48" s="1" t="s">
        <v>3</v>
      </c>
      <c r="F48" s="1" t="s">
        <v>3</v>
      </c>
      <c r="G48" s="1" t="s">
        <v>176</v>
      </c>
      <c r="H48" s="1">
        <v>250</v>
      </c>
      <c r="J48" s="2">
        <v>1247.73</v>
      </c>
      <c r="K48" s="2">
        <v>43.1</v>
      </c>
      <c r="L48" s="2">
        <v>59.12</v>
      </c>
      <c r="M48" s="2">
        <v>1.37</v>
      </c>
      <c r="N48" s="2">
        <v>2319.63</v>
      </c>
      <c r="O48" s="2">
        <v>76.56</v>
      </c>
      <c r="P48" s="2">
        <v>165.91</v>
      </c>
      <c r="Q48" s="2">
        <v>2.17</v>
      </c>
      <c r="R48" s="2">
        <v>2319.63</v>
      </c>
      <c r="S48" s="2">
        <v>54.25</v>
      </c>
      <c r="T48" s="2">
        <v>94.72</v>
      </c>
      <c r="U48" s="2">
        <v>1.75</v>
      </c>
      <c r="AF48" s="2">
        <v>1.92</v>
      </c>
    </row>
    <row r="49" spans="1:60" x14ac:dyDescent="0.25">
      <c r="A49" s="1">
        <v>12</v>
      </c>
      <c r="B49" s="1" t="s">
        <v>210</v>
      </c>
      <c r="C49" s="1">
        <v>2015</v>
      </c>
      <c r="D49" s="1" t="s">
        <v>170</v>
      </c>
      <c r="E49" s="1" t="s">
        <v>434</v>
      </c>
      <c r="F49" s="1" t="s">
        <v>435</v>
      </c>
      <c r="G49" s="1" t="s">
        <v>436</v>
      </c>
      <c r="H49" s="1">
        <v>0</v>
      </c>
      <c r="J49" s="2">
        <v>834.82</v>
      </c>
      <c r="K49" s="2">
        <v>37.799999999999997</v>
      </c>
      <c r="L49" s="2">
        <v>49.17</v>
      </c>
      <c r="M49" s="2">
        <v>1.3</v>
      </c>
      <c r="N49" s="2">
        <v>1260.42</v>
      </c>
      <c r="O49" s="2">
        <v>60.8</v>
      </c>
      <c r="P49" s="2">
        <v>109.9</v>
      </c>
      <c r="Q49" s="2">
        <v>1.81</v>
      </c>
      <c r="R49" s="2">
        <v>1260.42</v>
      </c>
      <c r="S49" s="2">
        <v>43.55</v>
      </c>
      <c r="T49" s="2">
        <v>64.349999999999994</v>
      </c>
      <c r="U49" s="2">
        <v>1.48</v>
      </c>
      <c r="AW49" s="2">
        <v>880.2</v>
      </c>
      <c r="AX49" s="2">
        <v>776.4</v>
      </c>
      <c r="AY49" s="2">
        <v>576</v>
      </c>
      <c r="BC49" s="2">
        <v>197.1</v>
      </c>
      <c r="BD49" s="2">
        <v>180.1</v>
      </c>
      <c r="BE49" s="2">
        <v>146.69999999999999</v>
      </c>
      <c r="BF49" s="2">
        <f t="shared" ref="BF49:BH53" si="3">AW49/BC49</f>
        <v>4.4657534246575343</v>
      </c>
      <c r="BG49" s="2">
        <f t="shared" si="3"/>
        <v>4.31093836757357</v>
      </c>
      <c r="BH49" s="2">
        <f t="shared" si="3"/>
        <v>3.9263803680981599</v>
      </c>
    </row>
    <row r="50" spans="1:60" x14ac:dyDescent="0.25">
      <c r="A50" s="1">
        <v>12</v>
      </c>
      <c r="B50" s="1" t="s">
        <v>210</v>
      </c>
      <c r="C50" s="1">
        <v>2015</v>
      </c>
      <c r="D50" s="1" t="s">
        <v>170</v>
      </c>
      <c r="E50" s="1" t="s">
        <v>438</v>
      </c>
      <c r="F50" s="1" t="s">
        <v>439</v>
      </c>
      <c r="G50" s="1" t="s">
        <v>177</v>
      </c>
      <c r="H50" s="1">
        <v>75</v>
      </c>
      <c r="J50" s="2">
        <v>833.42</v>
      </c>
      <c r="K50" s="2">
        <v>37.729999999999997</v>
      </c>
      <c r="L50" s="2">
        <v>49.67</v>
      </c>
      <c r="M50" s="2">
        <v>1.32</v>
      </c>
      <c r="N50" s="2">
        <v>1291.22</v>
      </c>
      <c r="O50" s="2">
        <v>65.400000000000006</v>
      </c>
      <c r="P50" s="2">
        <v>107.6</v>
      </c>
      <c r="Q50" s="2">
        <v>1.65</v>
      </c>
      <c r="R50" s="2">
        <v>1291.22</v>
      </c>
      <c r="S50" s="2">
        <v>44.65</v>
      </c>
      <c r="T50" s="2">
        <v>64.150000000000006</v>
      </c>
      <c r="U50" s="2">
        <v>1.44</v>
      </c>
      <c r="AW50" s="2">
        <v>1144</v>
      </c>
      <c r="AX50" s="2">
        <v>927.5</v>
      </c>
      <c r="AY50" s="2">
        <v>544.6</v>
      </c>
      <c r="BC50" s="2">
        <v>179.2</v>
      </c>
      <c r="BD50" s="2">
        <v>158.4</v>
      </c>
      <c r="BE50" s="2">
        <v>100.4</v>
      </c>
      <c r="BF50" s="2">
        <f t="shared" si="3"/>
        <v>6.3839285714285721</v>
      </c>
      <c r="BG50" s="2">
        <f t="shared" si="3"/>
        <v>5.8554292929292924</v>
      </c>
      <c r="BH50" s="2">
        <f t="shared" si="3"/>
        <v>5.4243027888446216</v>
      </c>
    </row>
    <row r="51" spans="1:60" x14ac:dyDescent="0.25">
      <c r="A51" s="1">
        <v>12</v>
      </c>
      <c r="B51" s="1" t="s">
        <v>210</v>
      </c>
      <c r="C51" s="1">
        <v>2015</v>
      </c>
      <c r="D51" s="1" t="s">
        <v>170</v>
      </c>
      <c r="E51" s="1" t="s">
        <v>213</v>
      </c>
      <c r="F51" s="1" t="s">
        <v>3</v>
      </c>
      <c r="G51" s="1" t="s">
        <v>177</v>
      </c>
      <c r="H51" s="1">
        <v>2.88</v>
      </c>
      <c r="J51" s="2">
        <v>846.02</v>
      </c>
      <c r="K51" s="2">
        <v>38.33</v>
      </c>
      <c r="L51" s="2">
        <v>50.6</v>
      </c>
      <c r="M51" s="2">
        <v>1.32</v>
      </c>
      <c r="N51" s="2">
        <v>1315.72</v>
      </c>
      <c r="O51" s="2">
        <v>67.099999999999994</v>
      </c>
      <c r="P51" s="2">
        <v>113.8</v>
      </c>
      <c r="Q51" s="2">
        <v>1.7</v>
      </c>
      <c r="R51" s="2">
        <v>1315.72</v>
      </c>
      <c r="S51" s="2">
        <v>45.53</v>
      </c>
      <c r="T51" s="2">
        <v>66.400000000000006</v>
      </c>
      <c r="U51" s="2">
        <v>1.46</v>
      </c>
      <c r="AW51" s="2">
        <v>906.6</v>
      </c>
      <c r="AX51" s="2">
        <v>873.6</v>
      </c>
      <c r="AY51" s="2">
        <v>608.70000000000005</v>
      </c>
      <c r="BC51" s="2">
        <v>177.8</v>
      </c>
      <c r="BD51" s="2">
        <v>146.5</v>
      </c>
      <c r="BE51" s="2">
        <v>130.4</v>
      </c>
      <c r="BF51" s="2">
        <f t="shared" si="3"/>
        <v>5.0989876265466814</v>
      </c>
      <c r="BG51" s="2">
        <f t="shared" si="3"/>
        <v>5.9631399317406144</v>
      </c>
      <c r="BH51" s="2">
        <f t="shared" si="3"/>
        <v>4.6679447852760738</v>
      </c>
    </row>
    <row r="52" spans="1:60" x14ac:dyDescent="0.25">
      <c r="A52" s="1">
        <v>12</v>
      </c>
      <c r="B52" s="1" t="s">
        <v>210</v>
      </c>
      <c r="C52" s="1">
        <v>2015</v>
      </c>
      <c r="D52" s="1" t="s">
        <v>170</v>
      </c>
      <c r="E52" s="1" t="s">
        <v>213</v>
      </c>
      <c r="F52" s="1" t="s">
        <v>3</v>
      </c>
      <c r="G52" s="1" t="s">
        <v>177</v>
      </c>
      <c r="H52" s="1">
        <v>5.76</v>
      </c>
      <c r="J52" s="2">
        <v>851.62</v>
      </c>
      <c r="K52" s="2">
        <v>38.6</v>
      </c>
      <c r="L52" s="2">
        <v>51.13</v>
      </c>
      <c r="M52" s="2">
        <v>1.32</v>
      </c>
      <c r="N52" s="2">
        <v>1329.72</v>
      </c>
      <c r="O52" s="2">
        <v>68.3</v>
      </c>
      <c r="P52" s="2">
        <v>113.2</v>
      </c>
      <c r="Q52" s="2">
        <v>1.66</v>
      </c>
      <c r="R52" s="2">
        <v>1329.72</v>
      </c>
      <c r="S52" s="2">
        <v>46.03</v>
      </c>
      <c r="T52" s="2">
        <v>66.650000000000006</v>
      </c>
      <c r="U52" s="2">
        <v>1.45</v>
      </c>
      <c r="AW52" s="2">
        <v>1016.3</v>
      </c>
      <c r="AX52" s="2">
        <v>9032</v>
      </c>
      <c r="AY52" s="2">
        <v>624.1</v>
      </c>
      <c r="BC52" s="2">
        <v>192.4</v>
      </c>
      <c r="BD52" s="2">
        <v>168.7</v>
      </c>
      <c r="BE52" s="2">
        <v>136.1</v>
      </c>
      <c r="BF52" s="2">
        <f t="shared" si="3"/>
        <v>5.2822245322245323</v>
      </c>
      <c r="BG52" s="2">
        <f t="shared" si="3"/>
        <v>53.538826318909308</v>
      </c>
      <c r="BH52" s="2">
        <f t="shared" si="3"/>
        <v>4.5855988243938288</v>
      </c>
    </row>
    <row r="53" spans="1:60" x14ac:dyDescent="0.25">
      <c r="A53" s="1">
        <v>12</v>
      </c>
      <c r="B53" s="1" t="s">
        <v>210</v>
      </c>
      <c r="C53" s="1">
        <v>2015</v>
      </c>
      <c r="D53" s="1" t="s">
        <v>170</v>
      </c>
      <c r="E53" s="1" t="s">
        <v>213</v>
      </c>
      <c r="F53" s="1" t="s">
        <v>3</v>
      </c>
      <c r="G53" s="1" t="s">
        <v>177</v>
      </c>
      <c r="H53" s="1">
        <v>11.52</v>
      </c>
      <c r="J53" s="2">
        <v>829.22</v>
      </c>
      <c r="K53" s="2">
        <v>37.53</v>
      </c>
      <c r="L53" s="2">
        <v>49.13</v>
      </c>
      <c r="M53" s="2">
        <v>1.31</v>
      </c>
      <c r="N53" s="2">
        <v>1298.92</v>
      </c>
      <c r="O53" s="2">
        <v>67.099999999999994</v>
      </c>
      <c r="P53" s="2">
        <v>109.1</v>
      </c>
      <c r="Q53" s="2">
        <v>1.63</v>
      </c>
      <c r="R53" s="2">
        <v>1298.92</v>
      </c>
      <c r="S53" s="2">
        <v>44.93</v>
      </c>
      <c r="T53" s="2">
        <v>64.13</v>
      </c>
      <c r="U53" s="2">
        <v>1.43</v>
      </c>
      <c r="AW53" s="2">
        <v>1104</v>
      </c>
      <c r="AX53" s="2">
        <v>918.8</v>
      </c>
      <c r="AY53" s="2">
        <v>651.4</v>
      </c>
      <c r="BC53" s="2">
        <v>186.8</v>
      </c>
      <c r="BD53" s="2">
        <v>174.8</v>
      </c>
      <c r="BE53" s="2">
        <v>123.6</v>
      </c>
      <c r="BF53" s="2">
        <f t="shared" si="3"/>
        <v>5.9100642398286931</v>
      </c>
      <c r="BG53" s="2">
        <f t="shared" si="3"/>
        <v>5.2562929061784889</v>
      </c>
      <c r="BH53" s="2">
        <f t="shared" si="3"/>
        <v>5.2702265372168284</v>
      </c>
    </row>
    <row r="54" spans="1:60" x14ac:dyDescent="0.25">
      <c r="A54" s="1">
        <v>13</v>
      </c>
      <c r="B54" s="1" t="s">
        <v>214</v>
      </c>
      <c r="C54" s="1">
        <v>2016</v>
      </c>
      <c r="D54" s="1" t="s">
        <v>179</v>
      </c>
      <c r="E54" s="1" t="s">
        <v>434</v>
      </c>
      <c r="F54" s="1" t="s">
        <v>435</v>
      </c>
      <c r="G54" s="1" t="s">
        <v>436</v>
      </c>
      <c r="H54" s="1">
        <v>0</v>
      </c>
      <c r="R54" s="2">
        <f>44+35*S54</f>
        <v>1892</v>
      </c>
      <c r="S54" s="2">
        <v>52.8</v>
      </c>
      <c r="T54" s="2">
        <v>81.099999999999994</v>
      </c>
      <c r="U54" s="2">
        <v>1.44</v>
      </c>
      <c r="AD54" s="2">
        <v>7.15</v>
      </c>
      <c r="AF54" s="2">
        <v>5</v>
      </c>
      <c r="AH54" s="2">
        <v>2.62</v>
      </c>
    </row>
    <row r="55" spans="1:60" x14ac:dyDescent="0.25">
      <c r="A55" s="1">
        <v>13</v>
      </c>
      <c r="B55" s="1" t="s">
        <v>214</v>
      </c>
      <c r="C55" s="1">
        <v>2016</v>
      </c>
      <c r="D55" s="1" t="s">
        <v>179</v>
      </c>
      <c r="E55" s="1" t="s">
        <v>438</v>
      </c>
      <c r="F55" s="1" t="s">
        <v>439</v>
      </c>
      <c r="G55" s="1" t="s">
        <v>176</v>
      </c>
      <c r="H55" s="1">
        <v>250</v>
      </c>
      <c r="R55" s="2">
        <f>44+35*S55</f>
        <v>1892</v>
      </c>
      <c r="S55" s="2">
        <v>52.8</v>
      </c>
      <c r="T55" s="2">
        <v>79</v>
      </c>
      <c r="U55" s="2">
        <v>1.41</v>
      </c>
      <c r="AD55" s="2">
        <v>7.02</v>
      </c>
      <c r="AF55" s="2">
        <v>5.17</v>
      </c>
      <c r="AH55" s="2">
        <v>2.67</v>
      </c>
    </row>
    <row r="56" spans="1:60" x14ac:dyDescent="0.25">
      <c r="A56" s="1">
        <v>13</v>
      </c>
      <c r="B56" s="1" t="s">
        <v>214</v>
      </c>
      <c r="C56" s="1">
        <v>2016</v>
      </c>
      <c r="D56" s="1" t="s">
        <v>179</v>
      </c>
      <c r="E56" s="1" t="s">
        <v>190</v>
      </c>
      <c r="F56" s="1" t="s">
        <v>3</v>
      </c>
      <c r="G56" s="1" t="s">
        <v>176</v>
      </c>
      <c r="H56" s="1">
        <v>100</v>
      </c>
      <c r="R56" s="2">
        <f>44+35*S56</f>
        <v>1874.5</v>
      </c>
      <c r="S56" s="2">
        <v>52.3</v>
      </c>
      <c r="T56" s="2">
        <v>80.900000000000006</v>
      </c>
      <c r="U56" s="2">
        <v>1.45</v>
      </c>
      <c r="AD56" s="2">
        <v>7.1</v>
      </c>
      <c r="AF56" s="2">
        <v>4.67</v>
      </c>
      <c r="AH56" s="2">
        <v>2.52</v>
      </c>
    </row>
    <row r="57" spans="1:60" x14ac:dyDescent="0.25">
      <c r="A57" s="1">
        <v>14</v>
      </c>
      <c r="B57" s="1" t="s">
        <v>210</v>
      </c>
      <c r="C57" s="1">
        <v>2009</v>
      </c>
      <c r="D57" s="1" t="s">
        <v>216</v>
      </c>
      <c r="E57" s="1" t="s">
        <v>434</v>
      </c>
      <c r="F57" s="1" t="s">
        <v>435</v>
      </c>
      <c r="G57" s="1" t="s">
        <v>436</v>
      </c>
      <c r="H57" s="1">
        <v>0</v>
      </c>
      <c r="R57" s="2">
        <f>41+S57*49</f>
        <v>584.9</v>
      </c>
      <c r="S57" s="2">
        <v>11.1</v>
      </c>
      <c r="T57" s="2">
        <v>28.85</v>
      </c>
      <c r="U57" s="2">
        <v>2.6</v>
      </c>
    </row>
    <row r="58" spans="1:60" x14ac:dyDescent="0.25">
      <c r="A58" s="1">
        <v>14</v>
      </c>
      <c r="B58" s="1" t="s">
        <v>210</v>
      </c>
      <c r="C58" s="1">
        <v>2009</v>
      </c>
      <c r="D58" s="1" t="s">
        <v>216</v>
      </c>
      <c r="E58" s="1" t="s">
        <v>443</v>
      </c>
      <c r="F58" s="1" t="s">
        <v>3</v>
      </c>
      <c r="G58" s="1" t="s">
        <v>218</v>
      </c>
      <c r="H58" s="1">
        <v>0.1</v>
      </c>
      <c r="R58" s="2">
        <f>41+S58*49</f>
        <v>802.45999999999992</v>
      </c>
      <c r="S58" s="2">
        <v>15.54</v>
      </c>
      <c r="T58" s="2">
        <v>29.82</v>
      </c>
      <c r="U58" s="2">
        <v>2.7</v>
      </c>
    </row>
    <row r="59" spans="1:60" x14ac:dyDescent="0.25">
      <c r="A59" s="1">
        <v>15</v>
      </c>
      <c r="B59" s="1" t="s">
        <v>219</v>
      </c>
      <c r="C59" s="1">
        <v>2012</v>
      </c>
      <c r="D59" s="1" t="s">
        <v>220</v>
      </c>
      <c r="E59" s="1" t="s">
        <v>444</v>
      </c>
      <c r="F59" s="1" t="s">
        <v>435</v>
      </c>
      <c r="G59" s="1" t="s">
        <v>436</v>
      </c>
      <c r="H59" s="1">
        <v>0</v>
      </c>
      <c r="J59" s="2">
        <v>542</v>
      </c>
      <c r="K59" s="2">
        <v>21.4</v>
      </c>
      <c r="L59" s="2">
        <v>41.3</v>
      </c>
      <c r="M59" s="2">
        <v>1.93</v>
      </c>
      <c r="N59" s="2">
        <v>1530.4</v>
      </c>
      <c r="O59" s="2">
        <v>70.599999999999994</v>
      </c>
      <c r="P59" s="2">
        <v>165</v>
      </c>
      <c r="Q59" s="2">
        <v>2.34</v>
      </c>
      <c r="R59" s="2">
        <f t="shared" ref="R59:R69" si="4">N59</f>
        <v>1530.4</v>
      </c>
      <c r="AW59" s="2">
        <v>452</v>
      </c>
      <c r="AY59" s="2">
        <v>345</v>
      </c>
      <c r="BC59" s="2">
        <v>90</v>
      </c>
      <c r="BE59" s="2">
        <v>143</v>
      </c>
      <c r="BF59" s="2">
        <f t="shared" ref="BF59:BF69" si="5">AW59/BC59</f>
        <v>5.0222222222222221</v>
      </c>
      <c r="BH59" s="2">
        <f>AY59/BE59</f>
        <v>2.4125874125874125</v>
      </c>
    </row>
    <row r="60" spans="1:60" x14ac:dyDescent="0.25">
      <c r="A60" s="1">
        <v>15</v>
      </c>
      <c r="B60" s="1" t="s">
        <v>219</v>
      </c>
      <c r="C60" s="1">
        <v>2012</v>
      </c>
      <c r="D60" s="1" t="s">
        <v>220</v>
      </c>
      <c r="E60" s="1" t="s">
        <v>445</v>
      </c>
      <c r="F60" s="1" t="s">
        <v>3</v>
      </c>
      <c r="G60" s="1" t="s">
        <v>176</v>
      </c>
      <c r="H60" s="1">
        <v>2</v>
      </c>
      <c r="J60" s="2">
        <v>545.5</v>
      </c>
      <c r="K60" s="2">
        <v>21.5</v>
      </c>
      <c r="L60" s="2">
        <v>39.4</v>
      </c>
      <c r="M60" s="2">
        <v>1.83</v>
      </c>
      <c r="N60" s="2">
        <v>1554.9</v>
      </c>
      <c r="O60" s="2">
        <v>72.099999999999994</v>
      </c>
      <c r="P60" s="2">
        <v>168</v>
      </c>
      <c r="Q60" s="2">
        <v>2.33</v>
      </c>
      <c r="R60" s="2">
        <f t="shared" si="4"/>
        <v>1554.9</v>
      </c>
      <c r="AW60" s="2">
        <v>466</v>
      </c>
      <c r="AY60" s="2">
        <v>438</v>
      </c>
      <c r="BC60" s="2">
        <v>83</v>
      </c>
      <c r="BE60" s="2">
        <v>94</v>
      </c>
      <c r="BF60" s="2">
        <f t="shared" si="5"/>
        <v>5.6144578313253009</v>
      </c>
      <c r="BH60" s="2">
        <f>AY60/BE60</f>
        <v>4.6595744680851068</v>
      </c>
    </row>
    <row r="61" spans="1:60" x14ac:dyDescent="0.25">
      <c r="A61" s="1">
        <v>15</v>
      </c>
      <c r="B61" s="1" t="s">
        <v>219</v>
      </c>
      <c r="C61" s="1">
        <v>2012</v>
      </c>
      <c r="D61" s="1" t="s">
        <v>220</v>
      </c>
      <c r="E61" s="1" t="s">
        <v>445</v>
      </c>
      <c r="F61" s="1" t="s">
        <v>3</v>
      </c>
      <c r="G61" s="1" t="s">
        <v>176</v>
      </c>
      <c r="H61" s="1">
        <v>4</v>
      </c>
      <c r="J61" s="2">
        <v>551.5</v>
      </c>
      <c r="K61" s="2">
        <v>21.9</v>
      </c>
      <c r="L61" s="2">
        <v>38.9</v>
      </c>
      <c r="M61" s="2">
        <v>1.78</v>
      </c>
      <c r="N61" s="2">
        <v>1602.9</v>
      </c>
      <c r="O61" s="2">
        <v>75.099999999999994</v>
      </c>
      <c r="P61" s="2">
        <v>173</v>
      </c>
      <c r="Q61" s="2">
        <v>2.2999999999999998</v>
      </c>
      <c r="R61" s="2">
        <f t="shared" si="4"/>
        <v>1602.9</v>
      </c>
      <c r="AW61" s="2">
        <v>492</v>
      </c>
      <c r="AY61" s="2">
        <v>499</v>
      </c>
      <c r="BC61" s="2">
        <v>64</v>
      </c>
      <c r="BE61" s="2">
        <v>65</v>
      </c>
      <c r="BF61" s="2">
        <f t="shared" si="5"/>
        <v>7.6875</v>
      </c>
      <c r="BH61" s="2">
        <f>AY61/BE61</f>
        <v>7.6769230769230772</v>
      </c>
    </row>
    <row r="62" spans="1:60" x14ac:dyDescent="0.25">
      <c r="A62" s="1">
        <v>15</v>
      </c>
      <c r="B62" s="1" t="s">
        <v>219</v>
      </c>
      <c r="C62" s="1">
        <v>2012</v>
      </c>
      <c r="D62" s="1" t="s">
        <v>220</v>
      </c>
      <c r="E62" s="1" t="s">
        <v>445</v>
      </c>
      <c r="F62" s="1" t="s">
        <v>3</v>
      </c>
      <c r="G62" s="1" t="s">
        <v>176</v>
      </c>
      <c r="H62" s="1">
        <v>6</v>
      </c>
      <c r="J62" s="2">
        <v>545</v>
      </c>
      <c r="K62" s="2">
        <v>21.6</v>
      </c>
      <c r="L62" s="2">
        <v>34.700000000000003</v>
      </c>
      <c r="M62" s="2">
        <v>1.61</v>
      </c>
      <c r="N62" s="2">
        <v>1544.6</v>
      </c>
      <c r="O62" s="2">
        <v>71.400000000000006</v>
      </c>
      <c r="P62" s="2">
        <v>165</v>
      </c>
      <c r="Q62" s="2">
        <v>2.31</v>
      </c>
      <c r="R62" s="2">
        <f t="shared" si="4"/>
        <v>1544.6</v>
      </c>
      <c r="AW62" s="2">
        <v>512</v>
      </c>
      <c r="AY62" s="2">
        <v>508</v>
      </c>
      <c r="BC62" s="2">
        <v>66</v>
      </c>
      <c r="BE62" s="2">
        <v>64</v>
      </c>
      <c r="BF62" s="2">
        <f t="shared" si="5"/>
        <v>7.7575757575757578</v>
      </c>
      <c r="BH62" s="2">
        <f>AY62/BE62</f>
        <v>7.9375</v>
      </c>
    </row>
    <row r="63" spans="1:60" x14ac:dyDescent="0.25">
      <c r="A63" s="1">
        <v>15</v>
      </c>
      <c r="B63" s="1" t="s">
        <v>219</v>
      </c>
      <c r="C63" s="1">
        <v>2012</v>
      </c>
      <c r="D63" s="1" t="s">
        <v>220</v>
      </c>
      <c r="E63" s="1" t="s">
        <v>445</v>
      </c>
      <c r="F63" s="1" t="s">
        <v>3</v>
      </c>
      <c r="G63" s="1" t="s">
        <v>176</v>
      </c>
      <c r="H63" s="1">
        <v>8</v>
      </c>
      <c r="J63" s="2">
        <v>534</v>
      </c>
      <c r="K63" s="2">
        <v>20.8</v>
      </c>
      <c r="L63" s="2">
        <v>35.4</v>
      </c>
      <c r="M63" s="2">
        <v>1.7</v>
      </c>
      <c r="N63" s="2">
        <v>1505.6</v>
      </c>
      <c r="O63" s="2">
        <v>69.400000000000006</v>
      </c>
      <c r="P63" s="2">
        <v>163</v>
      </c>
      <c r="Q63" s="2">
        <v>2.35</v>
      </c>
      <c r="R63" s="2">
        <f t="shared" si="4"/>
        <v>1505.6</v>
      </c>
      <c r="AW63" s="2">
        <v>516</v>
      </c>
      <c r="AY63" s="2">
        <v>506</v>
      </c>
      <c r="BC63" s="2">
        <v>66</v>
      </c>
      <c r="BE63" s="2">
        <v>62</v>
      </c>
      <c r="BF63" s="2">
        <f t="shared" si="5"/>
        <v>7.8181818181818183</v>
      </c>
      <c r="BH63" s="2">
        <f>AY63/BE63</f>
        <v>8.1612903225806459</v>
      </c>
    </row>
    <row r="64" spans="1:60" x14ac:dyDescent="0.25">
      <c r="A64" s="1">
        <v>16</v>
      </c>
      <c r="B64" s="1" t="s">
        <v>224</v>
      </c>
      <c r="C64" s="1">
        <v>2005</v>
      </c>
      <c r="D64" s="1" t="s">
        <v>179</v>
      </c>
      <c r="E64" s="1" t="s">
        <v>434</v>
      </c>
      <c r="F64" s="1" t="s">
        <v>435</v>
      </c>
      <c r="G64" s="1" t="s">
        <v>436</v>
      </c>
      <c r="H64" s="1">
        <v>0</v>
      </c>
      <c r="J64" s="2">
        <v>462.02</v>
      </c>
      <c r="K64" s="2">
        <v>29.93</v>
      </c>
      <c r="L64" s="2">
        <v>36.93</v>
      </c>
      <c r="M64" s="2">
        <v>1.23</v>
      </c>
      <c r="N64" s="2">
        <v>2188.02</v>
      </c>
      <c r="O64" s="2">
        <v>76.5</v>
      </c>
      <c r="P64" s="2">
        <v>132.94999999999999</v>
      </c>
      <c r="Q64" s="2">
        <v>1.75</v>
      </c>
      <c r="R64" s="2">
        <f t="shared" si="4"/>
        <v>2188.02</v>
      </c>
      <c r="S64" s="2">
        <v>61.29</v>
      </c>
      <c r="T64" s="2">
        <v>98.34</v>
      </c>
      <c r="U64" s="2">
        <v>1.647</v>
      </c>
      <c r="AW64" s="2">
        <v>1325</v>
      </c>
      <c r="BC64" s="2">
        <v>199</v>
      </c>
      <c r="BF64" s="2">
        <f t="shared" si="5"/>
        <v>6.658291457286432</v>
      </c>
    </row>
    <row r="65" spans="1:62" x14ac:dyDescent="0.25">
      <c r="A65" s="1">
        <v>16</v>
      </c>
      <c r="B65" s="1" t="s">
        <v>224</v>
      </c>
      <c r="C65" s="1">
        <v>2005</v>
      </c>
      <c r="D65" s="1" t="s">
        <v>179</v>
      </c>
      <c r="E65" s="1" t="s">
        <v>446</v>
      </c>
      <c r="F65" s="1" t="s">
        <v>181</v>
      </c>
      <c r="G65" s="1" t="s">
        <v>176</v>
      </c>
      <c r="H65" s="1">
        <v>50000</v>
      </c>
      <c r="J65" s="2">
        <v>477.98</v>
      </c>
      <c r="K65" s="2">
        <v>31.07</v>
      </c>
      <c r="L65" s="2">
        <v>37</v>
      </c>
      <c r="M65" s="2">
        <v>1.29</v>
      </c>
      <c r="N65" s="2">
        <v>2257.88</v>
      </c>
      <c r="O65" s="2">
        <v>78.95</v>
      </c>
      <c r="P65" s="2">
        <v>135.5</v>
      </c>
      <c r="Q65" s="2">
        <v>1.74</v>
      </c>
      <c r="R65" s="2">
        <f t="shared" si="4"/>
        <v>2257.88</v>
      </c>
      <c r="S65" s="2">
        <v>63.28</v>
      </c>
      <c r="T65" s="2">
        <v>98.83</v>
      </c>
      <c r="U65" s="2">
        <v>1.619</v>
      </c>
      <c r="AW65" s="2">
        <v>1286</v>
      </c>
      <c r="BC65" s="2">
        <v>207</v>
      </c>
      <c r="BF65" s="2">
        <f t="shared" si="5"/>
        <v>6.21256038647343</v>
      </c>
    </row>
    <row r="66" spans="1:62" x14ac:dyDescent="0.25">
      <c r="A66" s="1">
        <v>17</v>
      </c>
      <c r="B66" s="1" t="s">
        <v>224</v>
      </c>
      <c r="C66" s="1">
        <v>2005</v>
      </c>
      <c r="D66" s="1" t="s">
        <v>179</v>
      </c>
      <c r="E66" s="1" t="s">
        <v>434</v>
      </c>
      <c r="F66" s="1" t="s">
        <v>435</v>
      </c>
      <c r="G66" s="1" t="s">
        <v>436</v>
      </c>
      <c r="H66" s="1">
        <v>0</v>
      </c>
      <c r="J66" s="2">
        <v>462.02</v>
      </c>
      <c r="K66" s="2">
        <v>29.93</v>
      </c>
      <c r="L66" s="2">
        <v>36.93</v>
      </c>
      <c r="M66" s="2">
        <v>1.23</v>
      </c>
      <c r="N66" s="2">
        <v>2188.02</v>
      </c>
      <c r="O66" s="2">
        <v>76.5</v>
      </c>
      <c r="P66" s="2">
        <v>132.94999999999999</v>
      </c>
      <c r="Q66" s="2">
        <v>1.75</v>
      </c>
      <c r="R66" s="2">
        <f t="shared" si="4"/>
        <v>2188.02</v>
      </c>
      <c r="S66" s="2">
        <v>61.29</v>
      </c>
      <c r="T66" s="2">
        <v>98.34</v>
      </c>
      <c r="U66" s="2">
        <v>1.647</v>
      </c>
      <c r="AW66" s="2">
        <v>1325</v>
      </c>
      <c r="BC66" s="2">
        <v>199</v>
      </c>
      <c r="BF66" s="2">
        <f t="shared" si="5"/>
        <v>6.658291457286432</v>
      </c>
    </row>
    <row r="67" spans="1:62" x14ac:dyDescent="0.25">
      <c r="A67" s="1">
        <v>17</v>
      </c>
      <c r="B67" s="1" t="s">
        <v>224</v>
      </c>
      <c r="C67" s="1">
        <v>2005</v>
      </c>
      <c r="D67" s="1" t="s">
        <v>179</v>
      </c>
      <c r="E67" s="1" t="s">
        <v>447</v>
      </c>
      <c r="F67" s="1" t="s">
        <v>181</v>
      </c>
      <c r="G67" s="1" t="s">
        <v>176</v>
      </c>
      <c r="H67" s="1">
        <v>50000</v>
      </c>
      <c r="J67" s="2">
        <v>470</v>
      </c>
      <c r="K67" s="2">
        <v>30.5</v>
      </c>
      <c r="L67" s="2">
        <v>36.93</v>
      </c>
      <c r="M67" s="2">
        <v>1.21</v>
      </c>
      <c r="N67" s="2">
        <v>2241.98</v>
      </c>
      <c r="O67" s="2">
        <v>78.59</v>
      </c>
      <c r="P67" s="2">
        <v>136</v>
      </c>
      <c r="Q67" s="2">
        <v>1.75</v>
      </c>
      <c r="R67" s="2">
        <f t="shared" si="4"/>
        <v>2241.98</v>
      </c>
      <c r="S67" s="2">
        <v>62.83</v>
      </c>
      <c r="T67" s="2">
        <v>99.54</v>
      </c>
      <c r="U67" s="2">
        <v>1.639</v>
      </c>
      <c r="AW67" s="2">
        <v>1386</v>
      </c>
      <c r="BC67" s="2">
        <v>204</v>
      </c>
      <c r="BF67" s="2">
        <f t="shared" si="5"/>
        <v>6.7941176470588234</v>
      </c>
    </row>
    <row r="68" spans="1:62" x14ac:dyDescent="0.25">
      <c r="A68" s="1">
        <v>18</v>
      </c>
      <c r="B68" s="1" t="s">
        <v>224</v>
      </c>
      <c r="C68" s="1">
        <v>2005</v>
      </c>
      <c r="D68" s="1" t="s">
        <v>179</v>
      </c>
      <c r="E68" s="1" t="s">
        <v>434</v>
      </c>
      <c r="F68" s="1" t="s">
        <v>435</v>
      </c>
      <c r="G68" s="1" t="s">
        <v>436</v>
      </c>
      <c r="H68" s="1">
        <v>0</v>
      </c>
      <c r="J68" s="2">
        <v>462.02</v>
      </c>
      <c r="K68" s="2">
        <v>29.93</v>
      </c>
      <c r="L68" s="2">
        <v>36.93</v>
      </c>
      <c r="M68" s="2">
        <v>1.23</v>
      </c>
      <c r="N68" s="2">
        <v>2188.02</v>
      </c>
      <c r="O68" s="2">
        <v>76.5</v>
      </c>
      <c r="P68" s="2">
        <v>132.94999999999999</v>
      </c>
      <c r="Q68" s="2">
        <v>1.75</v>
      </c>
      <c r="R68" s="2">
        <f t="shared" si="4"/>
        <v>2188.02</v>
      </c>
      <c r="S68" s="2">
        <v>61.29</v>
      </c>
      <c r="T68" s="2">
        <v>98.34</v>
      </c>
      <c r="U68" s="2">
        <v>1.647</v>
      </c>
      <c r="AW68" s="2">
        <v>1325</v>
      </c>
      <c r="BC68" s="2">
        <v>199</v>
      </c>
      <c r="BF68" s="2">
        <f t="shared" si="5"/>
        <v>6.658291457286432</v>
      </c>
    </row>
    <row r="69" spans="1:62" x14ac:dyDescent="0.25">
      <c r="A69" s="1">
        <v>18</v>
      </c>
      <c r="B69" s="1" t="s">
        <v>224</v>
      </c>
      <c r="C69" s="1">
        <v>2005</v>
      </c>
      <c r="D69" s="1" t="s">
        <v>179</v>
      </c>
      <c r="E69" s="1" t="s">
        <v>448</v>
      </c>
      <c r="F69" s="1" t="s">
        <v>181</v>
      </c>
      <c r="G69" s="1" t="s">
        <v>176</v>
      </c>
      <c r="H69" s="1">
        <v>50000</v>
      </c>
      <c r="J69" s="2">
        <v>458.94</v>
      </c>
      <c r="K69" s="2">
        <v>29.71</v>
      </c>
      <c r="L69" s="2">
        <v>35.79</v>
      </c>
      <c r="M69" s="2">
        <v>1.21</v>
      </c>
      <c r="N69" s="2">
        <v>2208.04</v>
      </c>
      <c r="O69" s="2">
        <v>77.55</v>
      </c>
      <c r="P69" s="2">
        <v>134.5</v>
      </c>
      <c r="Q69" s="2">
        <v>1.75</v>
      </c>
      <c r="R69" s="2">
        <f t="shared" si="4"/>
        <v>2208.04</v>
      </c>
      <c r="S69" s="2">
        <v>61.86</v>
      </c>
      <c r="T69" s="2">
        <v>98.34</v>
      </c>
      <c r="U69" s="2">
        <v>1.6379999999999999</v>
      </c>
      <c r="AW69" s="2">
        <v>1400</v>
      </c>
      <c r="BC69" s="2">
        <v>211</v>
      </c>
      <c r="BF69" s="2">
        <f t="shared" si="5"/>
        <v>6.6350710900473935</v>
      </c>
    </row>
    <row r="70" spans="1:62" x14ac:dyDescent="0.25">
      <c r="A70" s="1">
        <v>19</v>
      </c>
      <c r="B70" s="1" t="s">
        <v>227</v>
      </c>
      <c r="C70" s="1">
        <v>2010</v>
      </c>
      <c r="D70" s="1" t="s">
        <v>170</v>
      </c>
      <c r="E70" s="1" t="s">
        <v>434</v>
      </c>
      <c r="F70" s="1" t="s">
        <v>435</v>
      </c>
      <c r="G70" s="1" t="s">
        <v>436</v>
      </c>
      <c r="H70" s="1">
        <v>0</v>
      </c>
      <c r="R70" s="2">
        <v>1265</v>
      </c>
      <c r="S70" s="2">
        <v>43.82</v>
      </c>
      <c r="T70" s="2">
        <v>64.400000000000006</v>
      </c>
      <c r="U70" s="2">
        <f>T70/S70</f>
        <v>1.4696485623003197</v>
      </c>
      <c r="BJ70" s="2">
        <v>8.3000000000000007</v>
      </c>
    </row>
    <row r="71" spans="1:62" x14ac:dyDescent="0.25">
      <c r="A71" s="1">
        <v>19</v>
      </c>
      <c r="B71" s="1" t="s">
        <v>227</v>
      </c>
      <c r="C71" s="1">
        <v>2010</v>
      </c>
      <c r="D71" s="1" t="s">
        <v>170</v>
      </c>
      <c r="E71" s="1" t="s">
        <v>228</v>
      </c>
      <c r="F71" s="1" t="s">
        <v>3</v>
      </c>
      <c r="G71" s="1" t="s">
        <v>177</v>
      </c>
      <c r="H71" s="1">
        <v>0.5</v>
      </c>
      <c r="R71" s="2">
        <v>1396</v>
      </c>
      <c r="S71" s="2">
        <v>48.5</v>
      </c>
      <c r="T71" s="2">
        <v>66.5</v>
      </c>
      <c r="U71" s="2">
        <f>T71/S71</f>
        <v>1.3711340206185567</v>
      </c>
      <c r="BJ71" s="2">
        <v>4.7</v>
      </c>
    </row>
    <row r="72" spans="1:62" x14ac:dyDescent="0.25">
      <c r="A72" s="1">
        <v>19</v>
      </c>
      <c r="B72" s="1" t="s">
        <v>227</v>
      </c>
      <c r="C72" s="1">
        <v>2010</v>
      </c>
      <c r="D72" s="1" t="s">
        <v>170</v>
      </c>
      <c r="E72" s="1" t="s">
        <v>228</v>
      </c>
      <c r="F72" s="1" t="s">
        <v>3</v>
      </c>
      <c r="G72" s="1" t="s">
        <v>177</v>
      </c>
      <c r="H72" s="1">
        <v>1</v>
      </c>
      <c r="R72" s="2">
        <v>1415</v>
      </c>
      <c r="S72" s="2">
        <v>49.18</v>
      </c>
      <c r="T72" s="2">
        <v>67.2</v>
      </c>
      <c r="U72" s="2">
        <f>T72/S72</f>
        <v>1.3664091093940627</v>
      </c>
      <c r="BJ72" s="2">
        <v>4.5</v>
      </c>
    </row>
    <row r="73" spans="1:62" x14ac:dyDescent="0.25">
      <c r="A73" s="1">
        <v>20</v>
      </c>
      <c r="B73" s="1" t="s">
        <v>229</v>
      </c>
      <c r="C73" s="1">
        <v>2010</v>
      </c>
      <c r="D73" s="1" t="s">
        <v>170</v>
      </c>
      <c r="E73" s="1" t="s">
        <v>434</v>
      </c>
      <c r="F73" s="1" t="s">
        <v>435</v>
      </c>
      <c r="G73" s="1" t="s">
        <v>436</v>
      </c>
      <c r="H73" s="1">
        <v>0</v>
      </c>
      <c r="R73" s="2">
        <v>694.15</v>
      </c>
      <c r="S73" s="2">
        <v>40.340000000000003</v>
      </c>
      <c r="T73" s="2">
        <v>59.65</v>
      </c>
      <c r="U73" s="2">
        <v>1.44</v>
      </c>
      <c r="AW73" s="2">
        <v>983.85</v>
      </c>
      <c r="AX73" s="2">
        <v>782.83</v>
      </c>
      <c r="BC73" s="2">
        <v>110.86</v>
      </c>
      <c r="BD73" s="2">
        <v>111.28</v>
      </c>
      <c r="BF73" s="2">
        <f t="shared" ref="BF73:BG76" si="6">AW73/BC73</f>
        <v>8.8747068374526439</v>
      </c>
      <c r="BG73" s="2">
        <f t="shared" si="6"/>
        <v>7.034777138749102</v>
      </c>
    </row>
    <row r="74" spans="1:62" x14ac:dyDescent="0.25">
      <c r="A74" s="1">
        <v>20</v>
      </c>
      <c r="B74" s="1" t="s">
        <v>229</v>
      </c>
      <c r="C74" s="1">
        <v>2010</v>
      </c>
      <c r="D74" s="1" t="s">
        <v>170</v>
      </c>
      <c r="E74" s="1" t="s">
        <v>449</v>
      </c>
      <c r="F74" s="1" t="s">
        <v>175</v>
      </c>
      <c r="G74" s="1" t="s">
        <v>218</v>
      </c>
      <c r="H74" s="1">
        <v>6.7000000000000002E-6</v>
      </c>
      <c r="R74" s="2">
        <v>742.55</v>
      </c>
      <c r="S74" s="2">
        <v>42.64</v>
      </c>
      <c r="T74" s="2">
        <v>60</v>
      </c>
      <c r="U74" s="2">
        <v>1.4</v>
      </c>
      <c r="AW74" s="2">
        <v>1078.25</v>
      </c>
      <c r="AX74" s="2">
        <v>1014.94</v>
      </c>
      <c r="BC74" s="2">
        <v>125.83</v>
      </c>
      <c r="BD74" s="2">
        <v>139.05000000000001</v>
      </c>
      <c r="BF74" s="2">
        <f t="shared" si="6"/>
        <v>8.5691011682428666</v>
      </c>
      <c r="BG74" s="2">
        <f t="shared" si="6"/>
        <v>7.2991010427903626</v>
      </c>
    </row>
    <row r="75" spans="1:62" x14ac:dyDescent="0.25">
      <c r="A75" s="1">
        <v>21</v>
      </c>
      <c r="B75" s="1" t="s">
        <v>229</v>
      </c>
      <c r="C75" s="1">
        <v>2010</v>
      </c>
      <c r="D75" s="1" t="s">
        <v>170</v>
      </c>
      <c r="E75" s="1" t="s">
        <v>434</v>
      </c>
      <c r="F75" s="1" t="s">
        <v>435</v>
      </c>
      <c r="G75" s="1" t="s">
        <v>436</v>
      </c>
      <c r="H75" s="1">
        <v>0</v>
      </c>
      <c r="R75" s="2">
        <v>394.11</v>
      </c>
      <c r="S75" s="2">
        <v>15.02</v>
      </c>
      <c r="T75" s="2">
        <v>46.2</v>
      </c>
      <c r="U75" s="2">
        <v>3.15</v>
      </c>
      <c r="AW75" s="2">
        <v>879.59</v>
      </c>
      <c r="AX75" s="2">
        <v>699.82</v>
      </c>
      <c r="BC75" s="2">
        <v>92.82</v>
      </c>
      <c r="BD75" s="2">
        <v>93.65</v>
      </c>
      <c r="BF75" s="2">
        <f t="shared" si="6"/>
        <v>9.4762982115923311</v>
      </c>
      <c r="BG75" s="2">
        <f t="shared" si="6"/>
        <v>7.4727175654030971</v>
      </c>
    </row>
    <row r="76" spans="1:62" x14ac:dyDescent="0.25">
      <c r="A76" s="1">
        <v>21</v>
      </c>
      <c r="B76" s="1" t="s">
        <v>229</v>
      </c>
      <c r="C76" s="1">
        <v>2010</v>
      </c>
      <c r="D76" s="1" t="s">
        <v>170</v>
      </c>
      <c r="E76" s="1" t="s">
        <v>449</v>
      </c>
      <c r="F76" s="1" t="s">
        <v>175</v>
      </c>
      <c r="G76" s="1" t="s">
        <v>218</v>
      </c>
      <c r="H76" s="1">
        <v>6.7000000000000002E-6</v>
      </c>
      <c r="R76" s="2">
        <v>368.9</v>
      </c>
      <c r="S76" s="2">
        <v>15.22</v>
      </c>
      <c r="T76" s="2">
        <v>46.93</v>
      </c>
      <c r="U76" s="2">
        <v>2.99</v>
      </c>
      <c r="AW76" s="2">
        <v>1008.31</v>
      </c>
      <c r="AX76" s="2">
        <v>827.15</v>
      </c>
      <c r="BC76" s="2">
        <v>114.54</v>
      </c>
      <c r="BD76" s="2">
        <v>104.69</v>
      </c>
      <c r="BF76" s="2">
        <f t="shared" si="6"/>
        <v>8.8031255456609028</v>
      </c>
      <c r="BG76" s="2">
        <f t="shared" si="6"/>
        <v>7.9009456490591266</v>
      </c>
    </row>
    <row r="77" spans="1:62" x14ac:dyDescent="0.25">
      <c r="A77" s="1">
        <v>22</v>
      </c>
      <c r="B77" s="1" t="s">
        <v>231</v>
      </c>
      <c r="C77" s="1">
        <v>2010</v>
      </c>
      <c r="D77" s="1" t="s">
        <v>196</v>
      </c>
      <c r="E77" s="1" t="s">
        <v>434</v>
      </c>
      <c r="F77" s="1" t="s">
        <v>435</v>
      </c>
      <c r="G77" s="1" t="s">
        <v>436</v>
      </c>
      <c r="H77" s="1">
        <v>0</v>
      </c>
      <c r="R77" s="2">
        <v>685</v>
      </c>
      <c r="S77" s="2">
        <v>24.46</v>
      </c>
      <c r="T77" s="2">
        <v>53.16</v>
      </c>
      <c r="U77" s="2">
        <v>2.17</v>
      </c>
    </row>
    <row r="78" spans="1:62" x14ac:dyDescent="0.25">
      <c r="A78" s="1">
        <v>22</v>
      </c>
      <c r="B78" s="1" t="s">
        <v>231</v>
      </c>
      <c r="C78" s="1">
        <v>2010</v>
      </c>
      <c r="D78" s="1" t="s">
        <v>196</v>
      </c>
      <c r="E78" s="1" t="s">
        <v>450</v>
      </c>
      <c r="F78" s="1" t="s">
        <v>3</v>
      </c>
      <c r="G78" s="1" t="s">
        <v>176</v>
      </c>
      <c r="H78" s="1">
        <v>200</v>
      </c>
      <c r="R78" s="2">
        <v>872</v>
      </c>
      <c r="S78" s="2">
        <v>31.14</v>
      </c>
      <c r="T78" s="2">
        <v>57.68</v>
      </c>
      <c r="U78" s="2">
        <v>1.85</v>
      </c>
    </row>
    <row r="79" spans="1:62" x14ac:dyDescent="0.25">
      <c r="A79" s="1">
        <v>23</v>
      </c>
      <c r="B79" s="1" t="s">
        <v>231</v>
      </c>
      <c r="C79" s="1">
        <v>2010</v>
      </c>
      <c r="D79" s="1" t="s">
        <v>196</v>
      </c>
      <c r="E79" s="1" t="s">
        <v>434</v>
      </c>
      <c r="F79" s="1" t="s">
        <v>435</v>
      </c>
      <c r="G79" s="1" t="s">
        <v>436</v>
      </c>
      <c r="H79" s="1">
        <v>0</v>
      </c>
      <c r="R79" s="2">
        <v>685</v>
      </c>
      <c r="S79" s="2">
        <v>24.46</v>
      </c>
      <c r="T79" s="2">
        <v>53.16</v>
      </c>
      <c r="U79" s="2">
        <v>2.17</v>
      </c>
    </row>
    <row r="80" spans="1:62" x14ac:dyDescent="0.25">
      <c r="A80" s="1">
        <v>23</v>
      </c>
      <c r="B80" s="1" t="s">
        <v>231</v>
      </c>
      <c r="C80" s="1">
        <v>2010</v>
      </c>
      <c r="D80" s="1" t="s">
        <v>196</v>
      </c>
      <c r="E80" s="1" t="s">
        <v>451</v>
      </c>
      <c r="F80" s="1" t="s">
        <v>3</v>
      </c>
      <c r="G80" s="1" t="s">
        <v>176</v>
      </c>
      <c r="H80" s="1">
        <v>200</v>
      </c>
      <c r="R80" s="2">
        <v>892</v>
      </c>
      <c r="S80" s="2">
        <v>31.86</v>
      </c>
      <c r="T80" s="2">
        <v>59.22</v>
      </c>
      <c r="U80" s="2">
        <v>1.86</v>
      </c>
    </row>
    <row r="81" spans="1:66" x14ac:dyDescent="0.25">
      <c r="A81" s="1">
        <v>24</v>
      </c>
      <c r="B81" s="1" t="s">
        <v>231</v>
      </c>
      <c r="C81" s="1">
        <v>2010</v>
      </c>
      <c r="D81" s="1" t="s">
        <v>196</v>
      </c>
      <c r="E81" s="1" t="s">
        <v>434</v>
      </c>
      <c r="F81" s="1" t="s">
        <v>435</v>
      </c>
      <c r="G81" s="1" t="s">
        <v>436</v>
      </c>
      <c r="H81" s="1">
        <v>0</v>
      </c>
      <c r="R81" s="2">
        <v>685</v>
      </c>
      <c r="S81" s="2">
        <v>24.46</v>
      </c>
      <c r="T81" s="2">
        <v>53.16</v>
      </c>
      <c r="U81" s="2">
        <v>2.17</v>
      </c>
    </row>
    <row r="82" spans="1:66" x14ac:dyDescent="0.25">
      <c r="A82" s="1">
        <v>24</v>
      </c>
      <c r="B82" s="1" t="s">
        <v>231</v>
      </c>
      <c r="C82" s="1">
        <v>2010</v>
      </c>
      <c r="D82" s="1" t="s">
        <v>196</v>
      </c>
      <c r="E82" s="1" t="s">
        <v>452</v>
      </c>
      <c r="F82" s="1" t="s">
        <v>3</v>
      </c>
      <c r="G82" s="1" t="s">
        <v>176</v>
      </c>
      <c r="H82" s="1">
        <v>55</v>
      </c>
      <c r="R82" s="2">
        <v>898</v>
      </c>
      <c r="S82" s="2">
        <v>32.07</v>
      </c>
      <c r="T82" s="2">
        <v>57.92</v>
      </c>
      <c r="U82" s="2">
        <v>1.81</v>
      </c>
    </row>
    <row r="83" spans="1:66" x14ac:dyDescent="0.25">
      <c r="A83" s="1">
        <v>25</v>
      </c>
      <c r="B83" s="1" t="s">
        <v>191</v>
      </c>
      <c r="C83" s="1">
        <v>2018</v>
      </c>
      <c r="D83" s="1" t="s">
        <v>179</v>
      </c>
      <c r="E83" s="1" t="s">
        <v>434</v>
      </c>
      <c r="F83" s="1" t="s">
        <v>435</v>
      </c>
      <c r="G83" s="1" t="s">
        <v>436</v>
      </c>
      <c r="H83" s="1">
        <v>0</v>
      </c>
      <c r="J83" s="6">
        <v>1137.94</v>
      </c>
      <c r="K83" s="2">
        <v>52.14</v>
      </c>
      <c r="L83" s="2">
        <v>60.95</v>
      </c>
      <c r="M83" s="2">
        <v>1.169</v>
      </c>
      <c r="N83" s="2">
        <v>3328.03</v>
      </c>
      <c r="O83" s="2">
        <v>104.29</v>
      </c>
      <c r="P83" s="2">
        <v>179.52</v>
      </c>
      <c r="Q83" s="2">
        <v>1.732</v>
      </c>
      <c r="R83" s="2">
        <f t="shared" ref="R83:R89" si="7">N83</f>
        <v>3328.03</v>
      </c>
      <c r="S83" s="2">
        <v>78.209999999999994</v>
      </c>
      <c r="T83" s="2">
        <v>120.44</v>
      </c>
      <c r="U83" s="2">
        <v>1.54</v>
      </c>
      <c r="BJ83" s="2">
        <v>5</v>
      </c>
      <c r="BK83" s="2">
        <v>76.8</v>
      </c>
      <c r="BL83" s="2">
        <v>22.7</v>
      </c>
      <c r="BM83" s="2">
        <v>19.100000000000001</v>
      </c>
      <c r="BN83" s="2">
        <v>11.2</v>
      </c>
    </row>
    <row r="84" spans="1:66" x14ac:dyDescent="0.25">
      <c r="A84" s="1">
        <v>25</v>
      </c>
      <c r="B84" s="1" t="s">
        <v>191</v>
      </c>
      <c r="C84" s="1">
        <v>2018</v>
      </c>
      <c r="D84" s="1" t="s">
        <v>179</v>
      </c>
      <c r="E84" s="1" t="s">
        <v>192</v>
      </c>
      <c r="F84" s="1" t="s">
        <v>181</v>
      </c>
      <c r="G84" s="1" t="s">
        <v>176</v>
      </c>
      <c r="H84" s="1">
        <v>1000</v>
      </c>
      <c r="J84" s="6">
        <v>1141.93</v>
      </c>
      <c r="K84" s="2">
        <v>52.33</v>
      </c>
      <c r="L84" s="2">
        <v>60.48</v>
      </c>
      <c r="M84" s="2">
        <v>1.1579999999999999</v>
      </c>
      <c r="N84" s="2">
        <v>3340.84</v>
      </c>
      <c r="O84" s="2">
        <v>104.71</v>
      </c>
      <c r="P84" s="2">
        <v>179.43</v>
      </c>
      <c r="Q84" s="2">
        <v>1.7330000000000001</v>
      </c>
      <c r="R84" s="2">
        <f t="shared" si="7"/>
        <v>3340.84</v>
      </c>
      <c r="S84" s="2">
        <v>78.52</v>
      </c>
      <c r="T84" s="2">
        <v>120.69</v>
      </c>
      <c r="U84" s="2">
        <v>1.5369999999999999</v>
      </c>
      <c r="BJ84" s="2">
        <v>3.3</v>
      </c>
      <c r="BK84" s="2">
        <v>77.099999999999994</v>
      </c>
      <c r="BL84" s="2">
        <v>22.5</v>
      </c>
      <c r="BM84" s="2">
        <v>19.8</v>
      </c>
      <c r="BN84" s="2">
        <v>9.5</v>
      </c>
    </row>
    <row r="85" spans="1:66" x14ac:dyDescent="0.25">
      <c r="A85" s="1">
        <v>25</v>
      </c>
      <c r="B85" s="1" t="s">
        <v>191</v>
      </c>
      <c r="C85" s="1">
        <v>2018</v>
      </c>
      <c r="D85" s="1" t="s">
        <v>179</v>
      </c>
      <c r="E85" s="1" t="s">
        <v>192</v>
      </c>
      <c r="F85" s="1" t="s">
        <v>181</v>
      </c>
      <c r="G85" s="1" t="s">
        <v>176</v>
      </c>
      <c r="H85" s="1">
        <v>2000</v>
      </c>
      <c r="J85" s="6">
        <v>1127.02</v>
      </c>
      <c r="K85" s="2">
        <v>51.62</v>
      </c>
      <c r="L85" s="2">
        <v>59.62</v>
      </c>
      <c r="M85" s="2">
        <v>1.157</v>
      </c>
      <c r="N85" s="2">
        <v>3329.92</v>
      </c>
      <c r="O85" s="2">
        <v>104.9</v>
      </c>
      <c r="P85" s="2">
        <v>178.95</v>
      </c>
      <c r="Q85" s="2">
        <v>1.722</v>
      </c>
      <c r="R85" s="2">
        <f t="shared" si="7"/>
        <v>3329.92</v>
      </c>
      <c r="S85" s="2">
        <v>78.260000000000005</v>
      </c>
      <c r="T85" s="2">
        <v>119.89</v>
      </c>
      <c r="U85" s="2">
        <v>1.532</v>
      </c>
      <c r="BJ85" s="2">
        <v>2.5</v>
      </c>
      <c r="BK85" s="2">
        <v>76.599999999999994</v>
      </c>
      <c r="BL85" s="2">
        <v>22.5</v>
      </c>
      <c r="BM85" s="2">
        <v>19.8</v>
      </c>
      <c r="BN85" s="2">
        <v>10.4</v>
      </c>
    </row>
    <row r="86" spans="1:66" x14ac:dyDescent="0.25">
      <c r="A86" s="1">
        <v>25</v>
      </c>
      <c r="B86" s="1" t="s">
        <v>191</v>
      </c>
      <c r="C86" s="1">
        <v>2018</v>
      </c>
      <c r="D86" s="1" t="s">
        <v>179</v>
      </c>
      <c r="E86" s="1" t="s">
        <v>192</v>
      </c>
      <c r="F86" s="1" t="s">
        <v>181</v>
      </c>
      <c r="G86" s="1" t="s">
        <v>176</v>
      </c>
      <c r="H86" s="1">
        <v>3000</v>
      </c>
      <c r="J86" s="6">
        <v>1127.02</v>
      </c>
      <c r="K86" s="2">
        <v>51.62</v>
      </c>
      <c r="L86" s="2">
        <v>59.29</v>
      </c>
      <c r="M86" s="2">
        <v>1.1519999999999999</v>
      </c>
      <c r="N86" s="2">
        <v>3359.11</v>
      </c>
      <c r="O86" s="2">
        <v>106.29</v>
      </c>
      <c r="P86" s="2">
        <v>180.24</v>
      </c>
      <c r="Q86" s="2">
        <v>1.7270000000000001</v>
      </c>
      <c r="R86" s="2">
        <f t="shared" si="7"/>
        <v>3359.11</v>
      </c>
      <c r="S86" s="2">
        <v>78.95</v>
      </c>
      <c r="T86" s="2">
        <v>120.95</v>
      </c>
      <c r="U86" s="2">
        <v>1.532</v>
      </c>
      <c r="BJ86" s="2">
        <v>6.7</v>
      </c>
      <c r="BK86" s="2">
        <v>77.2</v>
      </c>
      <c r="BL86" s="2">
        <v>22.9</v>
      </c>
      <c r="BM86" s="2">
        <v>19.899999999999999</v>
      </c>
      <c r="BN86" s="2">
        <v>8.9</v>
      </c>
    </row>
    <row r="87" spans="1:66" x14ac:dyDescent="0.25">
      <c r="A87" s="1">
        <v>25</v>
      </c>
      <c r="B87" s="1" t="s">
        <v>191</v>
      </c>
      <c r="C87" s="1">
        <v>2018</v>
      </c>
      <c r="D87" s="1" t="s">
        <v>179</v>
      </c>
      <c r="E87" s="1" t="s">
        <v>192</v>
      </c>
      <c r="F87" s="1" t="s">
        <v>181</v>
      </c>
      <c r="G87" s="1" t="s">
        <v>176</v>
      </c>
      <c r="H87" s="1">
        <v>4000</v>
      </c>
      <c r="J87" s="6">
        <v>1137.0999999999999</v>
      </c>
      <c r="K87" s="2">
        <v>52.1</v>
      </c>
      <c r="L87" s="2">
        <v>59.76</v>
      </c>
      <c r="M87" s="2">
        <v>1.1479999999999999</v>
      </c>
      <c r="N87" s="2">
        <v>3365.2</v>
      </c>
      <c r="O87" s="2">
        <v>106.1</v>
      </c>
      <c r="P87" s="2">
        <v>179.9</v>
      </c>
      <c r="Q87" s="2">
        <v>1.7110000000000001</v>
      </c>
      <c r="R87" s="2">
        <f t="shared" si="7"/>
        <v>3365.2</v>
      </c>
      <c r="S87" s="2">
        <v>79.099999999999994</v>
      </c>
      <c r="T87" s="2">
        <v>120.31</v>
      </c>
      <c r="U87" s="2">
        <v>1.5209999999999999</v>
      </c>
      <c r="BJ87" s="2">
        <v>6.7</v>
      </c>
      <c r="BK87" s="2">
        <v>76.8</v>
      </c>
      <c r="BL87" s="2">
        <v>22</v>
      </c>
      <c r="BM87" s="2">
        <v>19.8</v>
      </c>
      <c r="BN87" s="2">
        <v>10.4</v>
      </c>
    </row>
    <row r="88" spans="1:66" x14ac:dyDescent="0.25">
      <c r="A88" s="1">
        <v>25</v>
      </c>
      <c r="B88" s="1" t="s">
        <v>191</v>
      </c>
      <c r="C88" s="1">
        <v>2018</v>
      </c>
      <c r="D88" s="1" t="s">
        <v>179</v>
      </c>
      <c r="E88" s="1" t="s">
        <v>192</v>
      </c>
      <c r="F88" s="1" t="s">
        <v>181</v>
      </c>
      <c r="G88" s="1" t="s">
        <v>176</v>
      </c>
      <c r="H88" s="1">
        <v>5000</v>
      </c>
      <c r="J88" s="6">
        <v>1149.07</v>
      </c>
      <c r="K88" s="2">
        <v>52.67</v>
      </c>
      <c r="L88" s="2">
        <v>60.05</v>
      </c>
      <c r="M88" s="2">
        <v>1.143</v>
      </c>
      <c r="N88" s="2">
        <v>3414.13</v>
      </c>
      <c r="O88" s="2">
        <v>107.86</v>
      </c>
      <c r="P88" s="2">
        <v>180.43</v>
      </c>
      <c r="Q88" s="2">
        <v>1.6890000000000001</v>
      </c>
      <c r="R88" s="2">
        <f t="shared" si="7"/>
        <v>3414.13</v>
      </c>
      <c r="S88" s="2">
        <v>80.260000000000005</v>
      </c>
      <c r="T88" s="2">
        <v>120.71</v>
      </c>
      <c r="U88" s="2">
        <v>1.504</v>
      </c>
      <c r="BJ88" s="2">
        <v>5</v>
      </c>
      <c r="BK88" s="2">
        <v>77.400000000000006</v>
      </c>
      <c r="BL88" s="2">
        <v>22.1</v>
      </c>
      <c r="BM88" s="2">
        <v>19.7</v>
      </c>
      <c r="BN88" s="2">
        <v>10</v>
      </c>
    </row>
    <row r="89" spans="1:66" x14ac:dyDescent="0.25">
      <c r="A89" s="1">
        <v>25</v>
      </c>
      <c r="B89" s="1" t="s">
        <v>191</v>
      </c>
      <c r="C89" s="1">
        <v>2018</v>
      </c>
      <c r="D89" s="1" t="s">
        <v>179</v>
      </c>
      <c r="E89" s="1" t="s">
        <v>192</v>
      </c>
      <c r="F89" s="1" t="s">
        <v>181</v>
      </c>
      <c r="G89" s="1" t="s">
        <v>176</v>
      </c>
      <c r="H89" s="1">
        <v>6000</v>
      </c>
      <c r="J89" s="6">
        <v>1145.08</v>
      </c>
      <c r="K89" s="2">
        <v>52.48</v>
      </c>
      <c r="L89" s="2">
        <v>60.14</v>
      </c>
      <c r="M89" s="2">
        <v>1.1479999999999999</v>
      </c>
      <c r="N89" s="2">
        <v>3417.07</v>
      </c>
      <c r="O89" s="2">
        <v>108.19</v>
      </c>
      <c r="P89" s="2">
        <v>180.71</v>
      </c>
      <c r="Q89" s="2">
        <v>1.6919999999999999</v>
      </c>
      <c r="R89" s="2">
        <f t="shared" si="7"/>
        <v>3417.07</v>
      </c>
      <c r="S89" s="2">
        <v>80.33</v>
      </c>
      <c r="T89" s="2">
        <v>121.22</v>
      </c>
      <c r="U89" s="2">
        <v>1.5089999999999999</v>
      </c>
      <c r="BJ89" s="2">
        <v>6.7</v>
      </c>
      <c r="BK89" s="2">
        <v>76.599999999999994</v>
      </c>
      <c r="BL89" s="2">
        <v>22.3</v>
      </c>
      <c r="BM89" s="2">
        <v>19.3</v>
      </c>
      <c r="BN89" s="2">
        <v>9.6</v>
      </c>
    </row>
    <row r="90" spans="1:66" x14ac:dyDescent="0.25">
      <c r="A90" s="1">
        <v>26</v>
      </c>
      <c r="B90" s="1" t="s">
        <v>233</v>
      </c>
      <c r="C90" s="1">
        <v>2018</v>
      </c>
      <c r="D90" s="1" t="s">
        <v>179</v>
      </c>
      <c r="E90" s="1" t="s">
        <v>434</v>
      </c>
      <c r="F90" s="1" t="s">
        <v>435</v>
      </c>
      <c r="G90" s="1" t="s">
        <v>436</v>
      </c>
      <c r="H90" s="1">
        <v>0</v>
      </c>
      <c r="J90" s="2">
        <v>759.94</v>
      </c>
      <c r="K90" s="2">
        <v>34.14</v>
      </c>
      <c r="L90" s="2">
        <v>54.95</v>
      </c>
      <c r="M90" s="2">
        <v>1.5920000000000001</v>
      </c>
      <c r="R90" s="2">
        <v>1747.85</v>
      </c>
      <c r="S90" s="2">
        <v>48.71</v>
      </c>
      <c r="T90" s="2">
        <f>U90*S90</f>
        <v>76.815669999999997</v>
      </c>
      <c r="U90" s="2">
        <v>1.577</v>
      </c>
      <c r="AW90" s="2">
        <v>753</v>
      </c>
      <c r="BC90" s="2">
        <v>155</v>
      </c>
      <c r="BF90" s="2">
        <f t="shared" ref="BF90:BF98" si="8">AW90/BC90</f>
        <v>4.8580645161290326</v>
      </c>
      <c r="BJ90" s="2">
        <v>5.71</v>
      </c>
    </row>
    <row r="91" spans="1:66" x14ac:dyDescent="0.25">
      <c r="A91" s="1">
        <v>26</v>
      </c>
      <c r="B91" s="1" t="s">
        <v>233</v>
      </c>
      <c r="C91" s="1">
        <v>2018</v>
      </c>
      <c r="D91" s="1" t="s">
        <v>179</v>
      </c>
      <c r="E91" s="1" t="s">
        <v>228</v>
      </c>
      <c r="F91" s="1" t="s">
        <v>3</v>
      </c>
      <c r="G91" s="1" t="s">
        <v>176</v>
      </c>
      <c r="H91" s="1">
        <v>0.01</v>
      </c>
      <c r="J91" s="2">
        <v>757</v>
      </c>
      <c r="K91" s="2">
        <v>34</v>
      </c>
      <c r="L91" s="2">
        <v>54.52</v>
      </c>
      <c r="M91" s="2">
        <v>1.57</v>
      </c>
      <c r="R91" s="2">
        <v>1754.85</v>
      </c>
      <c r="S91" s="2">
        <v>48.91</v>
      </c>
      <c r="T91" s="2">
        <f>U91*S91</f>
        <v>77.228889999999993</v>
      </c>
      <c r="U91" s="2">
        <v>1.579</v>
      </c>
      <c r="AW91" s="2">
        <v>820</v>
      </c>
      <c r="BC91" s="2">
        <v>167</v>
      </c>
      <c r="BF91" s="2">
        <f t="shared" si="8"/>
        <v>4.9101796407185629</v>
      </c>
      <c r="BJ91" s="2">
        <v>4</v>
      </c>
    </row>
    <row r="92" spans="1:66" x14ac:dyDescent="0.25">
      <c r="A92" s="1">
        <v>26</v>
      </c>
      <c r="B92" s="1" t="s">
        <v>233</v>
      </c>
      <c r="C92" s="1">
        <v>2018</v>
      </c>
      <c r="D92" s="1" t="s">
        <v>179</v>
      </c>
      <c r="E92" s="1" t="s">
        <v>228</v>
      </c>
      <c r="F92" s="1" t="s">
        <v>3</v>
      </c>
      <c r="G92" s="1" t="s">
        <v>176</v>
      </c>
      <c r="H92" s="1">
        <v>0.05</v>
      </c>
      <c r="J92" s="2">
        <v>801.94</v>
      </c>
      <c r="K92" s="2">
        <v>36.14</v>
      </c>
      <c r="L92" s="2">
        <v>55.05</v>
      </c>
      <c r="M92" s="2">
        <v>1.526</v>
      </c>
      <c r="R92" s="2">
        <v>1776.9</v>
      </c>
      <c r="S92" s="2">
        <v>49.54</v>
      </c>
      <c r="T92" s="2">
        <f>U92*S92</f>
        <v>77.381479999999996</v>
      </c>
      <c r="U92" s="2">
        <v>1.5620000000000001</v>
      </c>
      <c r="AW92" s="2">
        <v>765</v>
      </c>
      <c r="BC92" s="2">
        <v>172</v>
      </c>
      <c r="BF92" s="2">
        <f t="shared" si="8"/>
        <v>4.4476744186046515</v>
      </c>
      <c r="BJ92" s="2">
        <v>2.29</v>
      </c>
    </row>
    <row r="93" spans="1:66" x14ac:dyDescent="0.25">
      <c r="A93" s="1">
        <v>26</v>
      </c>
      <c r="B93" s="1" t="s">
        <v>233</v>
      </c>
      <c r="C93" s="1">
        <v>2018</v>
      </c>
      <c r="D93" s="1" t="s">
        <v>179</v>
      </c>
      <c r="E93" s="1" t="s">
        <v>228</v>
      </c>
      <c r="F93" s="1" t="s">
        <v>3</v>
      </c>
      <c r="G93" s="1" t="s">
        <v>176</v>
      </c>
      <c r="H93" s="1">
        <v>0.1</v>
      </c>
      <c r="J93" s="2">
        <v>816.01</v>
      </c>
      <c r="K93" s="2">
        <v>36.81</v>
      </c>
      <c r="L93" s="2">
        <v>55.43</v>
      </c>
      <c r="M93" s="2">
        <v>1.508</v>
      </c>
      <c r="R93" s="2">
        <v>1828</v>
      </c>
      <c r="S93" s="2">
        <v>51</v>
      </c>
      <c r="T93" s="2">
        <f>U93*S93</f>
        <v>78.132000000000005</v>
      </c>
      <c r="U93" s="2">
        <v>1.532</v>
      </c>
      <c r="AW93" s="2">
        <v>686</v>
      </c>
      <c r="BC93" s="2">
        <v>151</v>
      </c>
      <c r="BF93" s="2">
        <f t="shared" si="8"/>
        <v>4.5430463576158937</v>
      </c>
      <c r="BJ93" s="2">
        <v>2.86</v>
      </c>
    </row>
    <row r="94" spans="1:66" x14ac:dyDescent="0.25">
      <c r="A94" s="1">
        <v>26</v>
      </c>
      <c r="B94" s="1" t="s">
        <v>233</v>
      </c>
      <c r="C94" s="1">
        <v>2018</v>
      </c>
      <c r="D94" s="1" t="s">
        <v>179</v>
      </c>
      <c r="E94" s="1" t="s">
        <v>228</v>
      </c>
      <c r="F94" s="1" t="s">
        <v>3</v>
      </c>
      <c r="G94" s="1" t="s">
        <v>176</v>
      </c>
      <c r="H94" s="1">
        <v>0.5</v>
      </c>
      <c r="J94" s="2">
        <v>801.1</v>
      </c>
      <c r="K94" s="2">
        <v>36.1</v>
      </c>
      <c r="L94" s="2">
        <v>55.24</v>
      </c>
      <c r="M94" s="2">
        <v>1.5369999999999999</v>
      </c>
      <c r="R94" s="2">
        <v>1788.1</v>
      </c>
      <c r="S94" s="2">
        <v>49.86</v>
      </c>
      <c r="T94" s="2">
        <f>U94*S94</f>
        <v>78.180480000000003</v>
      </c>
      <c r="U94" s="2">
        <v>1.5680000000000001</v>
      </c>
      <c r="AW94" s="2">
        <v>610</v>
      </c>
      <c r="BC94" s="2">
        <v>152</v>
      </c>
      <c r="BF94" s="2">
        <f t="shared" si="8"/>
        <v>4.0131578947368425</v>
      </c>
      <c r="BJ94" s="2">
        <v>2.29</v>
      </c>
    </row>
    <row r="95" spans="1:66" x14ac:dyDescent="0.25">
      <c r="A95" s="1">
        <v>27</v>
      </c>
      <c r="B95" s="1" t="s">
        <v>234</v>
      </c>
      <c r="C95" s="1">
        <v>2019</v>
      </c>
      <c r="D95" s="1" t="s">
        <v>179</v>
      </c>
      <c r="E95" s="1" t="s">
        <v>434</v>
      </c>
      <c r="F95" s="1" t="s">
        <v>435</v>
      </c>
      <c r="G95" s="1" t="s">
        <v>436</v>
      </c>
      <c r="H95" s="1">
        <v>0</v>
      </c>
      <c r="J95" s="2">
        <v>791.82</v>
      </c>
      <c r="K95" s="2">
        <v>31.2</v>
      </c>
      <c r="L95" s="2">
        <v>50.68</v>
      </c>
      <c r="M95" s="2">
        <v>1.62</v>
      </c>
      <c r="N95" s="2">
        <v>1315.96</v>
      </c>
      <c r="O95" s="2">
        <v>60.66</v>
      </c>
      <c r="P95" s="2">
        <v>142.80000000000001</v>
      </c>
      <c r="Q95" s="2">
        <v>2.35</v>
      </c>
      <c r="R95" s="2">
        <v>1315.96</v>
      </c>
      <c r="S95" s="2">
        <v>39.78</v>
      </c>
      <c r="T95" s="2">
        <v>78.099999999999994</v>
      </c>
      <c r="U95" s="2">
        <v>1.96</v>
      </c>
      <c r="AJ95" s="2">
        <v>9.3000000000000007</v>
      </c>
      <c r="AW95" s="2">
        <v>1160</v>
      </c>
      <c r="BC95" s="2">
        <v>191.24</v>
      </c>
      <c r="BF95" s="2">
        <f t="shared" si="8"/>
        <v>6.0656766366868853</v>
      </c>
      <c r="BL95" s="2">
        <v>21.76</v>
      </c>
    </row>
    <row r="96" spans="1:66" x14ac:dyDescent="0.25">
      <c r="A96" s="1">
        <v>27</v>
      </c>
      <c r="B96" s="1" t="s">
        <v>234</v>
      </c>
      <c r="C96" s="1">
        <v>2019</v>
      </c>
      <c r="D96" s="1" t="s">
        <v>179</v>
      </c>
      <c r="E96" s="1" t="s">
        <v>235</v>
      </c>
      <c r="F96" s="1" t="s">
        <v>3</v>
      </c>
      <c r="G96" s="1" t="s">
        <v>176</v>
      </c>
      <c r="H96" s="1">
        <v>50</v>
      </c>
      <c r="J96" s="2">
        <v>789.3</v>
      </c>
      <c r="K96" s="2">
        <v>31.1</v>
      </c>
      <c r="L96" s="2">
        <v>50.19</v>
      </c>
      <c r="M96" s="2">
        <v>1.61</v>
      </c>
      <c r="N96" s="2">
        <v>1329.4</v>
      </c>
      <c r="O96" s="2">
        <v>62.32</v>
      </c>
      <c r="P96" s="2">
        <v>138.9</v>
      </c>
      <c r="Q96" s="2">
        <v>2.23</v>
      </c>
      <c r="R96" s="2">
        <v>1329.4</v>
      </c>
      <c r="S96" s="2">
        <v>40.200000000000003</v>
      </c>
      <c r="T96" s="2">
        <v>77.23</v>
      </c>
      <c r="U96" s="2">
        <v>1.92</v>
      </c>
      <c r="AJ96" s="2">
        <v>8.9700000000000006</v>
      </c>
      <c r="AW96" s="2">
        <v>1176</v>
      </c>
      <c r="BC96" s="2">
        <v>188.22</v>
      </c>
      <c r="BF96" s="2">
        <f t="shared" si="8"/>
        <v>6.2480076506216129</v>
      </c>
      <c r="BL96" s="2">
        <v>23.34</v>
      </c>
    </row>
    <row r="97" spans="1:64" x14ac:dyDescent="0.25">
      <c r="A97" s="1">
        <v>27</v>
      </c>
      <c r="B97" s="1" t="s">
        <v>234</v>
      </c>
      <c r="C97" s="1">
        <v>2019</v>
      </c>
      <c r="D97" s="1" t="s">
        <v>179</v>
      </c>
      <c r="E97" s="1" t="s">
        <v>235</v>
      </c>
      <c r="F97" s="1" t="s">
        <v>3</v>
      </c>
      <c r="G97" s="1" t="s">
        <v>176</v>
      </c>
      <c r="H97" s="1">
        <v>100</v>
      </c>
      <c r="J97" s="2">
        <v>780.8</v>
      </c>
      <c r="K97" s="2">
        <v>30.74</v>
      </c>
      <c r="L97" s="2">
        <v>48.68</v>
      </c>
      <c r="M97" s="2">
        <v>1.58</v>
      </c>
      <c r="N97" s="2">
        <v>1430.52</v>
      </c>
      <c r="O97" s="2">
        <v>67.66</v>
      </c>
      <c r="P97" s="2">
        <v>133.5</v>
      </c>
      <c r="Q97" s="2">
        <v>1.97</v>
      </c>
      <c r="R97" s="2">
        <v>1430.52</v>
      </c>
      <c r="S97" s="2">
        <v>43.36</v>
      </c>
      <c r="T97" s="2">
        <v>74.56</v>
      </c>
      <c r="U97" s="2">
        <v>1.72</v>
      </c>
      <c r="AJ97" s="2">
        <v>9.17</v>
      </c>
      <c r="AW97" s="2">
        <v>1193</v>
      </c>
      <c r="BC97" s="2">
        <v>190.41</v>
      </c>
      <c r="BF97" s="2">
        <f t="shared" si="8"/>
        <v>6.2654272359644976</v>
      </c>
      <c r="BL97" s="2">
        <v>23.09</v>
      </c>
    </row>
    <row r="98" spans="1:64" x14ac:dyDescent="0.25">
      <c r="A98" s="1">
        <v>27</v>
      </c>
      <c r="B98" s="1" t="s">
        <v>234</v>
      </c>
      <c r="C98" s="1">
        <v>2019</v>
      </c>
      <c r="D98" s="1" t="s">
        <v>179</v>
      </c>
      <c r="E98" s="1" t="s">
        <v>235</v>
      </c>
      <c r="F98" s="1" t="s">
        <v>3</v>
      </c>
      <c r="G98" s="1" t="s">
        <v>176</v>
      </c>
      <c r="H98" s="1">
        <v>150</v>
      </c>
      <c r="J98" s="2">
        <v>776.6</v>
      </c>
      <c r="K98" s="2">
        <v>30.57</v>
      </c>
      <c r="L98" s="2">
        <v>48.21</v>
      </c>
      <c r="M98" s="2">
        <v>1.58</v>
      </c>
      <c r="N98" s="2">
        <v>1326.52</v>
      </c>
      <c r="O98" s="2">
        <v>62.76</v>
      </c>
      <c r="P98" s="2">
        <v>132.9</v>
      </c>
      <c r="Q98" s="2">
        <v>2.12</v>
      </c>
      <c r="R98" s="2">
        <v>1326.52</v>
      </c>
      <c r="S98" s="2">
        <v>40.11</v>
      </c>
      <c r="T98" s="2">
        <v>74.040000000000006</v>
      </c>
      <c r="U98" s="2">
        <v>1.85</v>
      </c>
      <c r="AJ98" s="2">
        <v>9.31</v>
      </c>
      <c r="AW98" s="2">
        <v>1180</v>
      </c>
      <c r="BC98" s="2">
        <v>187.08</v>
      </c>
      <c r="BF98" s="2">
        <f t="shared" si="8"/>
        <v>6.3074620483215735</v>
      </c>
      <c r="BL98" s="2">
        <v>21.61</v>
      </c>
    </row>
    <row r="99" spans="1:64" x14ac:dyDescent="0.25">
      <c r="A99" s="1">
        <v>28</v>
      </c>
      <c r="B99" s="1" t="s">
        <v>236</v>
      </c>
      <c r="C99" s="1">
        <v>2009</v>
      </c>
      <c r="D99" s="1" t="s">
        <v>170</v>
      </c>
      <c r="E99" s="1" t="s">
        <v>434</v>
      </c>
      <c r="F99" s="1" t="s">
        <v>435</v>
      </c>
      <c r="G99" s="1" t="s">
        <v>436</v>
      </c>
      <c r="H99" s="1">
        <v>0</v>
      </c>
      <c r="J99" s="2">
        <v>936.56</v>
      </c>
      <c r="K99" s="2">
        <v>32.020000000000003</v>
      </c>
      <c r="L99" s="2">
        <v>63.89</v>
      </c>
      <c r="M99" s="2">
        <v>2</v>
      </c>
      <c r="N99" s="2">
        <v>2352.8000000000002</v>
      </c>
      <c r="O99" s="2">
        <v>67.44</v>
      </c>
      <c r="P99" s="2">
        <v>162.52000000000001</v>
      </c>
      <c r="Q99" s="2">
        <v>2.41</v>
      </c>
      <c r="R99" s="2">
        <v>2352.8000000000002</v>
      </c>
      <c r="S99" s="2">
        <f>(R99-40)/49</f>
        <v>47.2</v>
      </c>
      <c r="T99" s="2">
        <v>106.16</v>
      </c>
      <c r="U99" s="2">
        <v>2.25</v>
      </c>
    </row>
    <row r="100" spans="1:64" x14ac:dyDescent="0.25">
      <c r="A100" s="1">
        <v>28</v>
      </c>
      <c r="B100" s="1" t="s">
        <v>236</v>
      </c>
      <c r="C100" s="1">
        <v>2009</v>
      </c>
      <c r="D100" s="1" t="s">
        <v>170</v>
      </c>
      <c r="E100" s="1" t="s">
        <v>192</v>
      </c>
      <c r="F100" s="1" t="s">
        <v>3</v>
      </c>
      <c r="G100" s="1" t="s">
        <v>176</v>
      </c>
      <c r="H100" s="1">
        <v>80</v>
      </c>
      <c r="J100" s="2">
        <v>956.44</v>
      </c>
      <c r="K100" s="2">
        <v>32.729999999999997</v>
      </c>
      <c r="L100" s="2">
        <v>63.39</v>
      </c>
      <c r="M100" s="2">
        <v>1.94</v>
      </c>
      <c r="N100" s="2">
        <v>2381.08</v>
      </c>
      <c r="O100" s="2">
        <v>67.84</v>
      </c>
      <c r="P100" s="2">
        <v>159.47999999999999</v>
      </c>
      <c r="Q100" s="2">
        <v>2.35</v>
      </c>
      <c r="R100" s="2">
        <v>2381.08</v>
      </c>
      <c r="S100" s="2">
        <f>(R100-40)/49</f>
        <v>47.777142857142856</v>
      </c>
      <c r="T100" s="2">
        <v>104.57</v>
      </c>
      <c r="U100" s="2">
        <v>2.19</v>
      </c>
    </row>
    <row r="101" spans="1:64" x14ac:dyDescent="0.25">
      <c r="A101" s="1">
        <v>28</v>
      </c>
      <c r="B101" s="1" t="s">
        <v>236</v>
      </c>
      <c r="C101" s="1">
        <v>2009</v>
      </c>
      <c r="D101" s="1" t="s">
        <v>170</v>
      </c>
      <c r="E101" s="1" t="s">
        <v>192</v>
      </c>
      <c r="F101" s="1" t="s">
        <v>3</v>
      </c>
      <c r="G101" s="1" t="s">
        <v>176</v>
      </c>
      <c r="H101" s="1">
        <v>120</v>
      </c>
      <c r="J101" s="2">
        <v>957</v>
      </c>
      <c r="K101" s="2">
        <v>32.75</v>
      </c>
      <c r="L101" s="2">
        <v>62.93</v>
      </c>
      <c r="M101" s="2">
        <v>1.92</v>
      </c>
      <c r="N101" s="2">
        <v>2422.8000000000002</v>
      </c>
      <c r="O101" s="2">
        <v>69.8</v>
      </c>
      <c r="P101" s="2">
        <v>161.06</v>
      </c>
      <c r="Q101" s="2">
        <v>2.31</v>
      </c>
      <c r="R101" s="2">
        <v>2422.8000000000002</v>
      </c>
      <c r="S101" s="2">
        <f>(R101-40)/49</f>
        <v>48.628571428571433</v>
      </c>
      <c r="T101" s="2">
        <v>104.99</v>
      </c>
      <c r="U101" s="2">
        <v>2.16</v>
      </c>
    </row>
    <row r="102" spans="1:64" x14ac:dyDescent="0.25">
      <c r="A102" s="1">
        <v>28</v>
      </c>
      <c r="B102" s="1" t="s">
        <v>236</v>
      </c>
      <c r="C102" s="1">
        <v>2009</v>
      </c>
      <c r="D102" s="1" t="s">
        <v>170</v>
      </c>
      <c r="E102" s="1" t="s">
        <v>192</v>
      </c>
      <c r="F102" s="1" t="s">
        <v>3</v>
      </c>
      <c r="G102" s="1" t="s">
        <v>176</v>
      </c>
      <c r="H102" s="1">
        <v>200</v>
      </c>
      <c r="J102" s="2">
        <v>939.92</v>
      </c>
      <c r="K102" s="2">
        <v>32.14</v>
      </c>
      <c r="L102" s="2">
        <v>63.45</v>
      </c>
      <c r="M102" s="2">
        <v>1.97</v>
      </c>
      <c r="N102" s="2">
        <v>2417.9</v>
      </c>
      <c r="O102" s="2">
        <v>70.38</v>
      </c>
      <c r="P102" s="2">
        <v>160.68</v>
      </c>
      <c r="Q102" s="2">
        <v>2.2799999999999998</v>
      </c>
      <c r="R102" s="2">
        <v>2417.9</v>
      </c>
      <c r="S102" s="2">
        <f>(R102-40)/49</f>
        <v>48.528571428571432</v>
      </c>
      <c r="T102" s="2">
        <v>105.12</v>
      </c>
      <c r="U102" s="2">
        <v>2.17</v>
      </c>
    </row>
    <row r="103" spans="1:64" x14ac:dyDescent="0.25">
      <c r="A103" s="1">
        <v>29</v>
      </c>
      <c r="B103" s="1" t="s">
        <v>239</v>
      </c>
      <c r="C103" s="1">
        <v>2010</v>
      </c>
      <c r="E103" s="1" t="s">
        <v>434</v>
      </c>
      <c r="F103" s="1" t="s">
        <v>435</v>
      </c>
      <c r="G103" s="1" t="s">
        <v>436</v>
      </c>
      <c r="H103" s="1">
        <v>0</v>
      </c>
      <c r="J103" s="2">
        <v>426.93</v>
      </c>
      <c r="K103" s="2">
        <v>18.420000000000002</v>
      </c>
      <c r="L103" s="2">
        <v>32.68</v>
      </c>
      <c r="M103" s="2">
        <v>1.776</v>
      </c>
      <c r="R103" s="2">
        <v>426.93</v>
      </c>
      <c r="S103" s="2">
        <v>18.420000000000002</v>
      </c>
      <c r="T103" s="2">
        <v>32.68</v>
      </c>
      <c r="U103" s="2">
        <v>1.776</v>
      </c>
      <c r="BJ103" s="2">
        <v>0.88</v>
      </c>
    </row>
    <row r="104" spans="1:64" x14ac:dyDescent="0.25">
      <c r="A104" s="1">
        <v>29</v>
      </c>
      <c r="B104" s="1" t="s">
        <v>239</v>
      </c>
      <c r="C104" s="1">
        <v>2010</v>
      </c>
      <c r="E104" s="1" t="s">
        <v>192</v>
      </c>
      <c r="F104" s="1" t="s">
        <v>181</v>
      </c>
      <c r="G104" s="1" t="s">
        <v>176</v>
      </c>
      <c r="H104" s="1">
        <v>1000</v>
      </c>
      <c r="J104" s="2">
        <v>444.15</v>
      </c>
      <c r="K104" s="2">
        <v>19.3</v>
      </c>
      <c r="L104" s="2">
        <v>33</v>
      </c>
      <c r="M104" s="2">
        <v>1.7050000000000001</v>
      </c>
      <c r="R104" s="2">
        <v>444.15</v>
      </c>
      <c r="S104" s="2">
        <v>19.3</v>
      </c>
      <c r="T104" s="2">
        <v>33</v>
      </c>
      <c r="U104" s="2">
        <v>1.7050000000000001</v>
      </c>
      <c r="BJ104" s="2">
        <v>0.37</v>
      </c>
    </row>
    <row r="105" spans="1:64" x14ac:dyDescent="0.25">
      <c r="A105" s="1">
        <v>29</v>
      </c>
      <c r="B105" s="1" t="s">
        <v>239</v>
      </c>
      <c r="C105" s="1">
        <v>2010</v>
      </c>
      <c r="E105" s="1" t="s">
        <v>192</v>
      </c>
      <c r="F105" s="1" t="s">
        <v>181</v>
      </c>
      <c r="G105" s="1" t="s">
        <v>176</v>
      </c>
      <c r="H105" s="1">
        <v>2000</v>
      </c>
      <c r="J105" s="2">
        <v>430.08</v>
      </c>
      <c r="K105" s="2">
        <v>18.059999999999999</v>
      </c>
      <c r="L105" s="2">
        <v>32.630000000000003</v>
      </c>
      <c r="M105" s="2">
        <v>1.758</v>
      </c>
      <c r="R105" s="2">
        <v>430.08</v>
      </c>
      <c r="S105" s="2">
        <v>18.059999999999999</v>
      </c>
      <c r="T105" s="2">
        <v>32.630000000000003</v>
      </c>
      <c r="U105" s="2">
        <v>1.758</v>
      </c>
      <c r="BJ105" s="2">
        <v>0.37</v>
      </c>
    </row>
    <row r="106" spans="1:64" x14ac:dyDescent="0.25">
      <c r="A106" s="1">
        <v>29</v>
      </c>
      <c r="B106" s="1" t="s">
        <v>239</v>
      </c>
      <c r="C106" s="1">
        <v>2010</v>
      </c>
      <c r="E106" s="1" t="s">
        <v>192</v>
      </c>
      <c r="F106" s="1" t="s">
        <v>181</v>
      </c>
      <c r="G106" s="1" t="s">
        <v>176</v>
      </c>
      <c r="H106" s="1">
        <v>3000</v>
      </c>
      <c r="J106" s="2">
        <v>425.04</v>
      </c>
      <c r="K106" s="2">
        <v>18.329999999999998</v>
      </c>
      <c r="L106" s="2">
        <v>32.270000000000003</v>
      </c>
      <c r="M106" s="2">
        <v>1.7529999999999999</v>
      </c>
      <c r="R106" s="2">
        <v>425.04</v>
      </c>
      <c r="S106" s="2">
        <v>18.329999999999998</v>
      </c>
      <c r="T106" s="2">
        <v>32.270000000000003</v>
      </c>
      <c r="U106" s="2">
        <v>1.7529999999999999</v>
      </c>
      <c r="BJ106" s="2">
        <v>1.47</v>
      </c>
    </row>
    <row r="107" spans="1:64" x14ac:dyDescent="0.25">
      <c r="A107" s="1">
        <v>29</v>
      </c>
      <c r="B107" s="1" t="s">
        <v>239</v>
      </c>
      <c r="C107" s="1">
        <v>2010</v>
      </c>
      <c r="E107" s="1" t="s">
        <v>192</v>
      </c>
      <c r="F107" s="1" t="s">
        <v>181</v>
      </c>
      <c r="G107" s="1" t="s">
        <v>176</v>
      </c>
      <c r="H107" s="1">
        <v>4000</v>
      </c>
      <c r="J107" s="2">
        <v>436.8</v>
      </c>
      <c r="K107" s="2">
        <v>18.89</v>
      </c>
      <c r="L107" s="2">
        <v>33</v>
      </c>
      <c r="M107" s="2">
        <v>1.7150000000000001</v>
      </c>
      <c r="R107" s="2">
        <v>436.8</v>
      </c>
      <c r="S107" s="2">
        <v>18.89</v>
      </c>
      <c r="T107" s="2">
        <v>33</v>
      </c>
      <c r="U107" s="2">
        <v>1.7150000000000001</v>
      </c>
      <c r="BJ107" s="2">
        <v>1.1000000000000001</v>
      </c>
    </row>
    <row r="108" spans="1:64" x14ac:dyDescent="0.25">
      <c r="A108" s="1">
        <v>29</v>
      </c>
      <c r="B108" s="1" t="s">
        <v>239</v>
      </c>
      <c r="C108" s="1">
        <v>2010</v>
      </c>
      <c r="E108" s="1" t="s">
        <v>192</v>
      </c>
      <c r="F108" s="1" t="s">
        <v>181</v>
      </c>
      <c r="G108" s="1" t="s">
        <v>176</v>
      </c>
      <c r="H108" s="1">
        <v>5000</v>
      </c>
      <c r="J108" s="2">
        <v>426.09</v>
      </c>
      <c r="K108" s="2">
        <v>18.39</v>
      </c>
      <c r="L108" s="2">
        <v>32.450000000000003</v>
      </c>
      <c r="M108" s="2">
        <v>1.7629999999999999</v>
      </c>
      <c r="R108" s="2">
        <v>426.09</v>
      </c>
      <c r="S108" s="2">
        <v>18.39</v>
      </c>
      <c r="T108" s="2">
        <v>32.450000000000003</v>
      </c>
      <c r="U108" s="2">
        <v>1.7629999999999999</v>
      </c>
      <c r="BJ108" s="2">
        <v>1.1000000000000001</v>
      </c>
    </row>
    <row r="109" spans="1:64" x14ac:dyDescent="0.25">
      <c r="A109" s="1">
        <v>30</v>
      </c>
      <c r="B109" s="1" t="s">
        <v>240</v>
      </c>
      <c r="C109" s="1">
        <v>2010</v>
      </c>
      <c r="D109" s="1" t="s">
        <v>170</v>
      </c>
      <c r="E109" s="1" t="s">
        <v>434</v>
      </c>
      <c r="F109" s="1" t="s">
        <v>435</v>
      </c>
      <c r="G109" s="1" t="s">
        <v>436</v>
      </c>
      <c r="H109" s="1">
        <v>0</v>
      </c>
      <c r="R109" s="2">
        <v>971.8</v>
      </c>
      <c r="S109" s="2">
        <v>45.39</v>
      </c>
      <c r="T109" s="2">
        <v>78.89</v>
      </c>
      <c r="U109" s="2">
        <v>1.74</v>
      </c>
      <c r="AH109" s="2">
        <v>0.7</v>
      </c>
    </row>
    <row r="110" spans="1:64" x14ac:dyDescent="0.25">
      <c r="A110" s="1">
        <v>30</v>
      </c>
      <c r="B110" s="1" t="s">
        <v>240</v>
      </c>
      <c r="C110" s="1">
        <v>2010</v>
      </c>
      <c r="D110" s="1" t="s">
        <v>170</v>
      </c>
      <c r="E110" s="1" t="s">
        <v>190</v>
      </c>
      <c r="F110" s="1" t="s">
        <v>3</v>
      </c>
      <c r="G110" s="1" t="s">
        <v>176</v>
      </c>
      <c r="H110" s="1">
        <v>40</v>
      </c>
      <c r="R110" s="2">
        <v>982.9</v>
      </c>
      <c r="S110" s="2">
        <v>45.97</v>
      </c>
      <c r="T110" s="2">
        <v>78.239999999999995</v>
      </c>
      <c r="U110" s="2">
        <v>1.7</v>
      </c>
      <c r="AH110" s="2">
        <v>0.51</v>
      </c>
    </row>
    <row r="111" spans="1:64" x14ac:dyDescent="0.25">
      <c r="A111" s="1">
        <v>31</v>
      </c>
      <c r="B111" s="1" t="s">
        <v>240</v>
      </c>
      <c r="C111" s="1">
        <v>2010</v>
      </c>
      <c r="D111" s="1" t="s">
        <v>170</v>
      </c>
      <c r="E111" s="1" t="s">
        <v>434</v>
      </c>
      <c r="F111" s="1" t="s">
        <v>435</v>
      </c>
      <c r="G111" s="1" t="s">
        <v>436</v>
      </c>
      <c r="H111" s="1">
        <v>0</v>
      </c>
      <c r="R111" s="2">
        <v>917.6</v>
      </c>
      <c r="S111" s="2">
        <v>41.13</v>
      </c>
      <c r="T111" s="2">
        <v>74.91</v>
      </c>
      <c r="U111" s="2">
        <v>1.82</v>
      </c>
      <c r="AH111" s="2">
        <v>4.79</v>
      </c>
    </row>
    <row r="112" spans="1:64" x14ac:dyDescent="0.25">
      <c r="A112" s="1">
        <v>31</v>
      </c>
      <c r="B112" s="1" t="s">
        <v>240</v>
      </c>
      <c r="C112" s="1">
        <v>2010</v>
      </c>
      <c r="D112" s="1" t="s">
        <v>170</v>
      </c>
      <c r="E112" s="1" t="s">
        <v>190</v>
      </c>
      <c r="F112" s="1" t="s">
        <v>3</v>
      </c>
      <c r="G112" s="1" t="s">
        <v>176</v>
      </c>
      <c r="H112" s="1">
        <v>40</v>
      </c>
      <c r="R112" s="2">
        <v>951.3</v>
      </c>
      <c r="S112" s="2">
        <v>44.51</v>
      </c>
      <c r="T112" s="2">
        <v>76.569999999999993</v>
      </c>
      <c r="U112" s="2">
        <v>1.72</v>
      </c>
      <c r="AH112" s="2">
        <v>3.67</v>
      </c>
    </row>
    <row r="113" spans="1:60" x14ac:dyDescent="0.25">
      <c r="A113" s="1">
        <v>32</v>
      </c>
      <c r="B113" s="1" t="s">
        <v>242</v>
      </c>
      <c r="C113" s="1">
        <v>2014</v>
      </c>
      <c r="D113" s="1" t="s">
        <v>179</v>
      </c>
      <c r="E113" s="1" t="s">
        <v>434</v>
      </c>
      <c r="F113" s="1" t="s">
        <v>435</v>
      </c>
      <c r="G113" s="1" t="s">
        <v>436</v>
      </c>
      <c r="H113" s="1">
        <v>0</v>
      </c>
      <c r="J113" s="2">
        <v>1143</v>
      </c>
      <c r="K113" s="2">
        <v>50</v>
      </c>
      <c r="L113" s="2">
        <v>68.2</v>
      </c>
      <c r="M113" s="2">
        <v>1.36</v>
      </c>
      <c r="N113" s="2">
        <v>2638.5</v>
      </c>
      <c r="O113" s="2">
        <v>99.7</v>
      </c>
      <c r="P113" s="2">
        <v>186.3</v>
      </c>
      <c r="Q113" s="2">
        <v>1.87</v>
      </c>
      <c r="R113" s="2">
        <v>2638.5</v>
      </c>
      <c r="S113" s="2">
        <v>70.099999999999994</v>
      </c>
      <c r="T113" s="2">
        <v>116.1</v>
      </c>
      <c r="U113" s="2">
        <v>1.66</v>
      </c>
    </row>
    <row r="114" spans="1:60" x14ac:dyDescent="0.25">
      <c r="A114" s="1">
        <v>32</v>
      </c>
      <c r="B114" s="1" t="s">
        <v>242</v>
      </c>
      <c r="C114" s="1">
        <v>2014</v>
      </c>
      <c r="D114" s="1" t="s">
        <v>179</v>
      </c>
      <c r="E114" s="1" t="s">
        <v>245</v>
      </c>
      <c r="F114" s="1" t="s">
        <v>181</v>
      </c>
      <c r="G114" s="1" t="s">
        <v>176</v>
      </c>
      <c r="H114" s="1">
        <v>25000</v>
      </c>
      <c r="J114" s="2">
        <v>1173.8</v>
      </c>
      <c r="K114" s="2">
        <v>51.4</v>
      </c>
      <c r="L114" s="2">
        <v>68.3</v>
      </c>
      <c r="M114" s="2">
        <v>1.33</v>
      </c>
      <c r="N114" s="2">
        <v>2702.3</v>
      </c>
      <c r="O114" s="2">
        <v>101.9</v>
      </c>
      <c r="P114" s="2">
        <v>195.1</v>
      </c>
      <c r="Q114" s="2">
        <v>1.92</v>
      </c>
      <c r="R114" s="2">
        <v>2702.3</v>
      </c>
      <c r="S114" s="2">
        <v>71.900000000000006</v>
      </c>
      <c r="T114" s="2">
        <v>119.7</v>
      </c>
      <c r="U114" s="2">
        <v>1.67</v>
      </c>
    </row>
    <row r="115" spans="1:60" x14ac:dyDescent="0.25">
      <c r="A115" s="1">
        <v>32</v>
      </c>
      <c r="B115" s="1" t="s">
        <v>242</v>
      </c>
      <c r="C115" s="1">
        <v>2014</v>
      </c>
      <c r="D115" s="1" t="s">
        <v>179</v>
      </c>
      <c r="E115" s="1" t="s">
        <v>245</v>
      </c>
      <c r="F115" s="1" t="s">
        <v>181</v>
      </c>
      <c r="G115" s="1" t="s">
        <v>176</v>
      </c>
      <c r="H115" s="1">
        <v>50000</v>
      </c>
      <c r="J115" s="2">
        <v>1184.8</v>
      </c>
      <c r="K115" s="2">
        <v>51.9</v>
      </c>
      <c r="L115" s="2">
        <v>69</v>
      </c>
      <c r="M115" s="2">
        <v>1.33</v>
      </c>
      <c r="N115" s="2">
        <v>2719.3</v>
      </c>
      <c r="O115" s="2">
        <v>102.3</v>
      </c>
      <c r="P115" s="2">
        <v>193.4</v>
      </c>
      <c r="Q115" s="2">
        <v>1.89</v>
      </c>
      <c r="R115" s="2">
        <v>2719.3</v>
      </c>
      <c r="S115" s="2">
        <v>72.3</v>
      </c>
      <c r="T115" s="2">
        <v>119.4</v>
      </c>
      <c r="U115" s="2">
        <v>1.65</v>
      </c>
    </row>
    <row r="116" spans="1:60" x14ac:dyDescent="0.25">
      <c r="A116" s="1">
        <v>32</v>
      </c>
      <c r="B116" s="1" t="s">
        <v>242</v>
      </c>
      <c r="C116" s="1">
        <v>2014</v>
      </c>
      <c r="D116" s="1" t="s">
        <v>179</v>
      </c>
      <c r="E116" s="1" t="s">
        <v>245</v>
      </c>
      <c r="F116" s="1" t="s">
        <v>181</v>
      </c>
      <c r="G116" s="1" t="s">
        <v>176</v>
      </c>
      <c r="H116" s="1">
        <v>75000</v>
      </c>
      <c r="J116" s="2">
        <v>1138.5999999999999</v>
      </c>
      <c r="K116" s="2">
        <v>49.8</v>
      </c>
      <c r="L116" s="2">
        <v>66.2</v>
      </c>
      <c r="M116" s="2">
        <v>1.33</v>
      </c>
      <c r="N116" s="2">
        <v>2628.1</v>
      </c>
      <c r="O116" s="2">
        <v>99.3</v>
      </c>
      <c r="P116" s="2">
        <v>187.5</v>
      </c>
      <c r="Q116" s="2">
        <v>1.89</v>
      </c>
      <c r="R116" s="2">
        <v>2628.1</v>
      </c>
      <c r="S116" s="2">
        <v>69.900000000000006</v>
      </c>
      <c r="T116" s="2">
        <v>115.4</v>
      </c>
      <c r="U116" s="2">
        <v>1.65</v>
      </c>
    </row>
    <row r="117" spans="1:60" x14ac:dyDescent="0.25">
      <c r="A117" s="1">
        <v>33</v>
      </c>
      <c r="B117" s="1" t="s">
        <v>242</v>
      </c>
      <c r="C117" s="1">
        <v>2014</v>
      </c>
      <c r="D117" s="1" t="s">
        <v>179</v>
      </c>
      <c r="E117" s="1" t="s">
        <v>434</v>
      </c>
      <c r="F117" s="1" t="s">
        <v>435</v>
      </c>
      <c r="G117" s="1" t="s">
        <v>436</v>
      </c>
      <c r="H117" s="1">
        <v>0</v>
      </c>
      <c r="J117" s="2">
        <v>1151.8</v>
      </c>
      <c r="K117" s="2">
        <v>50.4</v>
      </c>
      <c r="L117" s="2">
        <v>68.2</v>
      </c>
      <c r="M117" s="2">
        <v>1.36</v>
      </c>
      <c r="N117" s="2">
        <v>2701.3</v>
      </c>
      <c r="O117" s="2">
        <v>103.3</v>
      </c>
      <c r="P117" s="2">
        <v>194.3</v>
      </c>
      <c r="Q117" s="2">
        <v>1.88</v>
      </c>
      <c r="R117" s="2">
        <v>2701.3</v>
      </c>
      <c r="S117" s="2">
        <v>71.8</v>
      </c>
      <c r="T117" s="2">
        <v>119.3</v>
      </c>
      <c r="U117" s="2">
        <v>1.66</v>
      </c>
    </row>
    <row r="118" spans="1:60" x14ac:dyDescent="0.25">
      <c r="A118" s="1">
        <v>33</v>
      </c>
      <c r="B118" s="1" t="s">
        <v>242</v>
      </c>
      <c r="C118" s="1">
        <v>2014</v>
      </c>
      <c r="D118" s="1" t="s">
        <v>179</v>
      </c>
      <c r="E118" s="1" t="s">
        <v>245</v>
      </c>
      <c r="F118" s="1" t="s">
        <v>181</v>
      </c>
      <c r="G118" s="1" t="s">
        <v>176</v>
      </c>
      <c r="H118" s="1">
        <v>25000</v>
      </c>
      <c r="J118" s="2">
        <v>1195.8</v>
      </c>
      <c r="K118" s="2">
        <v>52.4</v>
      </c>
      <c r="L118" s="2">
        <v>70.099999999999994</v>
      </c>
      <c r="M118" s="2">
        <v>1.34</v>
      </c>
      <c r="N118" s="2">
        <v>2730.3</v>
      </c>
      <c r="O118" s="2">
        <v>102.3</v>
      </c>
      <c r="P118" s="2">
        <v>195.3</v>
      </c>
      <c r="Q118" s="2">
        <v>1.91</v>
      </c>
      <c r="R118" s="2">
        <v>2730.3</v>
      </c>
      <c r="S118" s="2">
        <v>72.599999999999994</v>
      </c>
      <c r="T118" s="2">
        <v>120.9</v>
      </c>
      <c r="U118" s="2">
        <v>1.66</v>
      </c>
    </row>
    <row r="119" spans="1:60" x14ac:dyDescent="0.25">
      <c r="A119" s="1">
        <v>33</v>
      </c>
      <c r="B119" s="1" t="s">
        <v>242</v>
      </c>
      <c r="C119" s="1">
        <v>2014</v>
      </c>
      <c r="D119" s="1" t="s">
        <v>179</v>
      </c>
      <c r="E119" s="1" t="s">
        <v>245</v>
      </c>
      <c r="F119" s="1" t="s">
        <v>181</v>
      </c>
      <c r="G119" s="1" t="s">
        <v>176</v>
      </c>
      <c r="H119" s="1">
        <v>50000</v>
      </c>
      <c r="J119" s="2">
        <v>1173.8</v>
      </c>
      <c r="K119" s="2">
        <v>51.4</v>
      </c>
      <c r="L119" s="2">
        <v>67.8</v>
      </c>
      <c r="M119" s="2">
        <v>1.32</v>
      </c>
      <c r="N119" s="2">
        <v>2763.8</v>
      </c>
      <c r="O119" s="2">
        <v>106</v>
      </c>
      <c r="P119" s="2">
        <v>196.7</v>
      </c>
      <c r="Q119" s="2">
        <v>1.86</v>
      </c>
      <c r="R119" s="2">
        <v>2763.8</v>
      </c>
      <c r="S119" s="2">
        <v>73.5</v>
      </c>
      <c r="T119" s="2">
        <v>120.1</v>
      </c>
      <c r="U119" s="2">
        <v>1.63</v>
      </c>
    </row>
    <row r="120" spans="1:60" x14ac:dyDescent="0.25">
      <c r="A120" s="1">
        <v>33</v>
      </c>
      <c r="B120" s="1" t="s">
        <v>242</v>
      </c>
      <c r="C120" s="1">
        <v>2014</v>
      </c>
      <c r="D120" s="1" t="s">
        <v>179</v>
      </c>
      <c r="E120" s="1" t="s">
        <v>245</v>
      </c>
      <c r="F120" s="1" t="s">
        <v>181</v>
      </c>
      <c r="G120" s="1" t="s">
        <v>176</v>
      </c>
      <c r="H120" s="1">
        <v>75000</v>
      </c>
      <c r="J120" s="2">
        <v>1176</v>
      </c>
      <c r="K120" s="2">
        <v>51.5</v>
      </c>
      <c r="L120" s="2">
        <v>68.599999999999994</v>
      </c>
      <c r="M120" s="2">
        <v>1.33</v>
      </c>
      <c r="N120" s="2">
        <v>2677.5</v>
      </c>
      <c r="O120" s="2">
        <v>100.1</v>
      </c>
      <c r="P120" s="2">
        <v>193.6</v>
      </c>
      <c r="Q120" s="2">
        <v>1.93</v>
      </c>
      <c r="R120" s="2">
        <v>2677.5</v>
      </c>
      <c r="S120" s="2">
        <v>71.2</v>
      </c>
      <c r="T120" s="2">
        <v>119.3</v>
      </c>
      <c r="U120" s="2">
        <v>1.68</v>
      </c>
    </row>
    <row r="121" spans="1:60" x14ac:dyDescent="0.25">
      <c r="A121" s="1">
        <v>34</v>
      </c>
      <c r="B121" s="1" t="s">
        <v>242</v>
      </c>
      <c r="C121" s="1">
        <v>2014</v>
      </c>
      <c r="D121" s="1" t="s">
        <v>179</v>
      </c>
      <c r="E121" s="1" t="s">
        <v>434</v>
      </c>
      <c r="F121" s="1" t="s">
        <v>435</v>
      </c>
      <c r="G121" s="1" t="s">
        <v>436</v>
      </c>
      <c r="H121" s="1">
        <v>0</v>
      </c>
      <c r="J121" s="2">
        <v>1083.5999999999999</v>
      </c>
      <c r="K121" s="2">
        <v>47.3</v>
      </c>
      <c r="L121" s="2">
        <v>67.099999999999994</v>
      </c>
      <c r="M121" s="2">
        <v>1.42</v>
      </c>
      <c r="N121" s="2">
        <v>2345.1</v>
      </c>
      <c r="O121" s="2">
        <v>84.1</v>
      </c>
      <c r="P121" s="2">
        <v>157.6</v>
      </c>
      <c r="Q121" s="2">
        <v>1.87</v>
      </c>
      <c r="R121" s="2">
        <v>2345.1</v>
      </c>
      <c r="S121" s="2">
        <v>62.2</v>
      </c>
      <c r="T121" s="2">
        <v>103.8</v>
      </c>
      <c r="U121" s="2">
        <v>1.67</v>
      </c>
      <c r="AX121" s="2">
        <v>735</v>
      </c>
      <c r="AY121" s="2">
        <v>491</v>
      </c>
      <c r="BD121" s="2">
        <v>97</v>
      </c>
      <c r="BE121" s="2">
        <v>92</v>
      </c>
      <c r="BG121" s="2">
        <f t="shared" ref="BG121:BH128" si="9">AX121/BD121</f>
        <v>7.5773195876288657</v>
      </c>
      <c r="BH121" s="2">
        <f t="shared" si="9"/>
        <v>5.3369565217391308</v>
      </c>
    </row>
    <row r="122" spans="1:60" x14ac:dyDescent="0.25">
      <c r="A122" s="1">
        <v>34</v>
      </c>
      <c r="B122" s="1" t="s">
        <v>242</v>
      </c>
      <c r="C122" s="1">
        <v>2014</v>
      </c>
      <c r="D122" s="1" t="s">
        <v>179</v>
      </c>
      <c r="E122" s="1" t="s">
        <v>245</v>
      </c>
      <c r="F122" s="1" t="s">
        <v>181</v>
      </c>
      <c r="G122" s="1" t="s">
        <v>176</v>
      </c>
      <c r="H122" s="1">
        <v>25000</v>
      </c>
      <c r="J122" s="2">
        <v>1176</v>
      </c>
      <c r="K122" s="2">
        <v>51.5</v>
      </c>
      <c r="L122" s="2">
        <v>70.900000000000006</v>
      </c>
      <c r="M122" s="2">
        <v>1.37</v>
      </c>
      <c r="N122" s="2">
        <v>2458.5</v>
      </c>
      <c r="O122" s="2">
        <v>85.5</v>
      </c>
      <c r="P122" s="2">
        <v>162.19999999999999</v>
      </c>
      <c r="Q122" s="2">
        <v>1.9</v>
      </c>
      <c r="R122" s="2">
        <v>2458.5</v>
      </c>
      <c r="S122" s="2">
        <v>65.3</v>
      </c>
      <c r="T122" s="2">
        <v>107.9</v>
      </c>
      <c r="U122" s="2">
        <v>1.65</v>
      </c>
      <c r="AX122" s="2">
        <v>728</v>
      </c>
      <c r="AY122" s="2">
        <v>469</v>
      </c>
      <c r="BD122" s="2">
        <v>101</v>
      </c>
      <c r="BE122" s="2">
        <v>90</v>
      </c>
      <c r="BG122" s="2">
        <f t="shared" si="9"/>
        <v>7.2079207920792081</v>
      </c>
      <c r="BH122" s="2">
        <f t="shared" si="9"/>
        <v>5.2111111111111112</v>
      </c>
    </row>
    <row r="123" spans="1:60" x14ac:dyDescent="0.25">
      <c r="A123" s="1">
        <v>34</v>
      </c>
      <c r="B123" s="1" t="s">
        <v>242</v>
      </c>
      <c r="C123" s="1">
        <v>2014</v>
      </c>
      <c r="D123" s="1" t="s">
        <v>179</v>
      </c>
      <c r="E123" s="1" t="s">
        <v>245</v>
      </c>
      <c r="F123" s="1" t="s">
        <v>181</v>
      </c>
      <c r="G123" s="1" t="s">
        <v>176</v>
      </c>
      <c r="H123" s="1">
        <v>50000</v>
      </c>
      <c r="J123" s="2">
        <v>1118.8</v>
      </c>
      <c r="K123" s="2">
        <v>48.9</v>
      </c>
      <c r="L123" s="2">
        <v>68.2</v>
      </c>
      <c r="M123" s="2">
        <v>1.4</v>
      </c>
      <c r="N123" s="2">
        <v>2464.3000000000002</v>
      </c>
      <c r="O123" s="2">
        <v>89.7</v>
      </c>
      <c r="P123" s="2">
        <v>165</v>
      </c>
      <c r="Q123" s="2">
        <v>1.84</v>
      </c>
      <c r="R123" s="2">
        <v>2464.3000000000002</v>
      </c>
      <c r="S123" s="2">
        <v>65.400000000000006</v>
      </c>
      <c r="T123" s="2">
        <v>107.4</v>
      </c>
      <c r="U123" s="2">
        <v>1.64</v>
      </c>
      <c r="AX123" s="2">
        <v>825</v>
      </c>
      <c r="AY123" s="2">
        <v>520</v>
      </c>
      <c r="BD123" s="2">
        <v>108</v>
      </c>
      <c r="BE123" s="2">
        <v>92</v>
      </c>
      <c r="BG123" s="2">
        <f t="shared" si="9"/>
        <v>7.6388888888888893</v>
      </c>
      <c r="BH123" s="2">
        <f t="shared" si="9"/>
        <v>5.6521739130434785</v>
      </c>
    </row>
    <row r="124" spans="1:60" x14ac:dyDescent="0.25">
      <c r="A124" s="1">
        <v>34</v>
      </c>
      <c r="B124" s="1" t="s">
        <v>242</v>
      </c>
      <c r="C124" s="1">
        <v>2014</v>
      </c>
      <c r="D124" s="1" t="s">
        <v>179</v>
      </c>
      <c r="E124" s="1" t="s">
        <v>245</v>
      </c>
      <c r="F124" s="1" t="s">
        <v>181</v>
      </c>
      <c r="G124" s="1" t="s">
        <v>176</v>
      </c>
      <c r="H124" s="1">
        <v>75000</v>
      </c>
      <c r="J124" s="2">
        <v>1114.4000000000001</v>
      </c>
      <c r="K124" s="2">
        <v>48.7</v>
      </c>
      <c r="L124" s="2">
        <v>67.7</v>
      </c>
      <c r="M124" s="2">
        <v>1.39</v>
      </c>
      <c r="N124" s="2">
        <v>2434.4</v>
      </c>
      <c r="O124" s="2">
        <v>88</v>
      </c>
      <c r="P124" s="2">
        <v>162.80000000000001</v>
      </c>
      <c r="Q124" s="2">
        <v>1.85</v>
      </c>
      <c r="R124" s="2">
        <v>2434.4</v>
      </c>
      <c r="S124" s="2">
        <v>64.599999999999994</v>
      </c>
      <c r="T124" s="2">
        <v>106.3</v>
      </c>
      <c r="U124" s="2">
        <v>1.64</v>
      </c>
      <c r="AX124" s="2">
        <v>738</v>
      </c>
      <c r="AY124" s="2">
        <v>450</v>
      </c>
      <c r="BD124" s="2">
        <v>102</v>
      </c>
      <c r="BE124" s="2">
        <v>84</v>
      </c>
      <c r="BG124" s="2">
        <f t="shared" si="9"/>
        <v>7.2352941176470589</v>
      </c>
      <c r="BH124" s="2">
        <f t="shared" si="9"/>
        <v>5.3571428571428568</v>
      </c>
    </row>
    <row r="125" spans="1:60" x14ac:dyDescent="0.25">
      <c r="A125" s="1">
        <v>35</v>
      </c>
      <c r="B125" s="1" t="s">
        <v>242</v>
      </c>
      <c r="C125" s="1">
        <v>2014</v>
      </c>
      <c r="D125" s="1" t="s">
        <v>179</v>
      </c>
      <c r="E125" s="1" t="s">
        <v>434</v>
      </c>
      <c r="F125" s="1" t="s">
        <v>435</v>
      </c>
      <c r="G125" s="1" t="s">
        <v>436</v>
      </c>
      <c r="H125" s="1">
        <v>0</v>
      </c>
      <c r="J125" s="2">
        <v>1125.4000000000001</v>
      </c>
      <c r="K125" s="2">
        <v>49.2</v>
      </c>
      <c r="L125" s="2">
        <v>69.3</v>
      </c>
      <c r="M125" s="2">
        <v>1.41</v>
      </c>
      <c r="N125" s="2">
        <v>2448.4</v>
      </c>
      <c r="O125" s="2">
        <v>88.2</v>
      </c>
      <c r="P125" s="2">
        <v>161.80000000000001</v>
      </c>
      <c r="Q125" s="2">
        <v>1.84</v>
      </c>
      <c r="R125" s="2">
        <v>2448.4</v>
      </c>
      <c r="S125" s="2">
        <v>65</v>
      </c>
      <c r="T125" s="2">
        <v>106.8</v>
      </c>
      <c r="U125" s="2">
        <v>1.64</v>
      </c>
      <c r="AX125" s="2">
        <v>732</v>
      </c>
      <c r="AY125" s="2">
        <v>484</v>
      </c>
      <c r="BD125" s="2">
        <v>99</v>
      </c>
      <c r="BE125" s="2">
        <v>84</v>
      </c>
      <c r="BG125" s="2">
        <f t="shared" si="9"/>
        <v>7.3939393939393936</v>
      </c>
      <c r="BH125" s="2">
        <f t="shared" si="9"/>
        <v>5.7619047619047619</v>
      </c>
    </row>
    <row r="126" spans="1:60" x14ac:dyDescent="0.25">
      <c r="A126" s="1">
        <v>35</v>
      </c>
      <c r="B126" s="1" t="s">
        <v>242</v>
      </c>
      <c r="C126" s="1">
        <v>2014</v>
      </c>
      <c r="D126" s="1" t="s">
        <v>179</v>
      </c>
      <c r="E126" s="1" t="s">
        <v>245</v>
      </c>
      <c r="F126" s="1" t="s">
        <v>181</v>
      </c>
      <c r="G126" s="1" t="s">
        <v>176</v>
      </c>
      <c r="H126" s="1">
        <v>25000</v>
      </c>
      <c r="J126" s="2">
        <v>1154</v>
      </c>
      <c r="K126" s="2">
        <v>50.5</v>
      </c>
      <c r="L126" s="2">
        <v>71</v>
      </c>
      <c r="M126" s="2">
        <v>1.41</v>
      </c>
      <c r="N126" s="2">
        <v>2532.5</v>
      </c>
      <c r="O126" s="2">
        <v>91.9</v>
      </c>
      <c r="P126" s="2">
        <v>166.9</v>
      </c>
      <c r="Q126" s="2">
        <v>1.82</v>
      </c>
      <c r="R126" s="2">
        <v>2532.5</v>
      </c>
      <c r="S126" s="2">
        <v>67.2</v>
      </c>
      <c r="T126" s="2">
        <v>109.9</v>
      </c>
      <c r="U126" s="2">
        <v>1.63</v>
      </c>
      <c r="AX126" s="2">
        <v>715</v>
      </c>
      <c r="AY126" s="2">
        <v>432</v>
      </c>
      <c r="BD126" s="2">
        <v>88</v>
      </c>
      <c r="BE126" s="2">
        <v>89</v>
      </c>
      <c r="BG126" s="2">
        <f t="shared" si="9"/>
        <v>8.125</v>
      </c>
      <c r="BH126" s="2">
        <f t="shared" si="9"/>
        <v>4.8539325842696632</v>
      </c>
    </row>
    <row r="127" spans="1:60" x14ac:dyDescent="0.25">
      <c r="A127" s="1">
        <v>35</v>
      </c>
      <c r="B127" s="1" t="s">
        <v>242</v>
      </c>
      <c r="C127" s="1">
        <v>2014</v>
      </c>
      <c r="D127" s="1" t="s">
        <v>179</v>
      </c>
      <c r="E127" s="1" t="s">
        <v>245</v>
      </c>
      <c r="F127" s="1" t="s">
        <v>181</v>
      </c>
      <c r="G127" s="1" t="s">
        <v>176</v>
      </c>
      <c r="H127" s="1">
        <v>50000</v>
      </c>
      <c r="J127" s="2">
        <v>1171.5999999999999</v>
      </c>
      <c r="K127" s="2">
        <v>51.3</v>
      </c>
      <c r="L127" s="2">
        <v>71.099999999999994</v>
      </c>
      <c r="M127" s="2">
        <v>1.39</v>
      </c>
      <c r="N127" s="2">
        <v>2625.1</v>
      </c>
      <c r="O127" s="2">
        <v>96.9</v>
      </c>
      <c r="P127" s="2">
        <v>176.9</v>
      </c>
      <c r="Q127" s="2">
        <v>1.83</v>
      </c>
      <c r="R127" s="2">
        <v>2625.1</v>
      </c>
      <c r="S127" s="2">
        <v>69.8</v>
      </c>
      <c r="T127" s="2">
        <v>114.1</v>
      </c>
      <c r="U127" s="2">
        <v>1.64</v>
      </c>
      <c r="AX127" s="2">
        <v>732</v>
      </c>
      <c r="AY127" s="2">
        <v>430</v>
      </c>
      <c r="BD127" s="2">
        <v>101</v>
      </c>
      <c r="BE127" s="2">
        <v>80</v>
      </c>
      <c r="BG127" s="2">
        <f t="shared" si="9"/>
        <v>7.2475247524752477</v>
      </c>
      <c r="BH127" s="2">
        <f t="shared" si="9"/>
        <v>5.375</v>
      </c>
    </row>
    <row r="128" spans="1:60" x14ac:dyDescent="0.25">
      <c r="A128" s="1">
        <v>35</v>
      </c>
      <c r="B128" s="1" t="s">
        <v>242</v>
      </c>
      <c r="C128" s="1">
        <v>2014</v>
      </c>
      <c r="D128" s="1" t="s">
        <v>179</v>
      </c>
      <c r="E128" s="1" t="s">
        <v>245</v>
      </c>
      <c r="F128" s="1" t="s">
        <v>181</v>
      </c>
      <c r="G128" s="1" t="s">
        <v>176</v>
      </c>
      <c r="H128" s="1">
        <v>75000</v>
      </c>
      <c r="J128" s="2">
        <v>1156.2</v>
      </c>
      <c r="K128" s="2">
        <v>50.6</v>
      </c>
      <c r="L128" s="2">
        <v>69.400000000000006</v>
      </c>
      <c r="M128" s="2">
        <v>1.37</v>
      </c>
      <c r="N128" s="2">
        <v>2534.6999999999998</v>
      </c>
      <c r="O128" s="2">
        <v>91.9</v>
      </c>
      <c r="P128" s="2">
        <v>164.5</v>
      </c>
      <c r="Q128" s="2">
        <v>1.8</v>
      </c>
      <c r="R128" s="2">
        <v>2534.6999999999998</v>
      </c>
      <c r="S128" s="2">
        <v>67.400000000000006</v>
      </c>
      <c r="T128" s="2">
        <v>108</v>
      </c>
      <c r="U128" s="2">
        <v>1.6</v>
      </c>
      <c r="AX128" s="2">
        <v>709</v>
      </c>
      <c r="AY128" s="2">
        <v>446</v>
      </c>
      <c r="BD128" s="2">
        <v>90</v>
      </c>
      <c r="BE128" s="2">
        <v>84</v>
      </c>
      <c r="BG128" s="2">
        <f t="shared" si="9"/>
        <v>7.8777777777777782</v>
      </c>
      <c r="BH128" s="2">
        <f t="shared" si="9"/>
        <v>5.3095238095238093</v>
      </c>
    </row>
    <row r="129" spans="1:74" x14ac:dyDescent="0.25">
      <c r="A129" s="1">
        <v>36</v>
      </c>
      <c r="B129" s="1" t="s">
        <v>246</v>
      </c>
      <c r="C129" s="1">
        <v>2014</v>
      </c>
      <c r="D129" s="1" t="s">
        <v>179</v>
      </c>
      <c r="E129" s="1" t="s">
        <v>434</v>
      </c>
      <c r="F129" s="1" t="s">
        <v>435</v>
      </c>
      <c r="G129" s="1" t="s">
        <v>436</v>
      </c>
      <c r="H129" s="1">
        <v>0</v>
      </c>
      <c r="J129" s="2">
        <v>971.2</v>
      </c>
      <c r="K129" s="2">
        <v>44.2</v>
      </c>
      <c r="L129" s="2">
        <v>60.6</v>
      </c>
      <c r="M129" s="2">
        <v>1.37</v>
      </c>
      <c r="N129" s="2">
        <v>1963.4</v>
      </c>
      <c r="O129" s="2">
        <v>90.2</v>
      </c>
      <c r="P129" s="2">
        <v>151.4</v>
      </c>
      <c r="Q129" s="2">
        <v>1.68</v>
      </c>
      <c r="R129" s="2">
        <v>1963.4</v>
      </c>
      <c r="S129" s="2">
        <v>60</v>
      </c>
      <c r="T129" s="2">
        <v>91.8</v>
      </c>
      <c r="U129" s="2">
        <v>1.53</v>
      </c>
      <c r="AW129" s="2">
        <v>738</v>
      </c>
      <c r="BC129" s="2">
        <v>146</v>
      </c>
      <c r="BF129" s="2">
        <f t="shared" ref="BF129:BF135" si="10">AW129/BC129</f>
        <v>5.0547945205479454</v>
      </c>
    </row>
    <row r="130" spans="1:74" x14ac:dyDescent="0.25">
      <c r="A130" s="1">
        <v>36</v>
      </c>
      <c r="B130" s="1" t="s">
        <v>246</v>
      </c>
      <c r="C130" s="1">
        <v>2014</v>
      </c>
      <c r="D130" s="1" t="s">
        <v>179</v>
      </c>
      <c r="E130" s="1" t="s">
        <v>245</v>
      </c>
      <c r="F130" s="1" t="s">
        <v>181</v>
      </c>
      <c r="G130" s="1" t="s">
        <v>176</v>
      </c>
      <c r="H130" s="1">
        <v>25000</v>
      </c>
      <c r="J130" s="2">
        <v>983.8</v>
      </c>
      <c r="K130" s="2">
        <v>44.8</v>
      </c>
      <c r="L130" s="2">
        <v>60.1</v>
      </c>
      <c r="M130" s="2">
        <v>1.33</v>
      </c>
      <c r="N130" s="2">
        <v>1979.3</v>
      </c>
      <c r="O130" s="2">
        <v>90.5</v>
      </c>
      <c r="P130" s="2">
        <v>155.1</v>
      </c>
      <c r="Q130" s="2">
        <v>1.72</v>
      </c>
      <c r="R130" s="2">
        <v>1979.3</v>
      </c>
      <c r="S130" s="2">
        <v>60.5</v>
      </c>
      <c r="T130" s="2">
        <v>92.7</v>
      </c>
      <c r="U130" s="2">
        <v>1.53</v>
      </c>
      <c r="AW130" s="2">
        <v>715</v>
      </c>
      <c r="BC130" s="2">
        <v>142</v>
      </c>
      <c r="BF130" s="2">
        <f t="shared" si="10"/>
        <v>5.035211267605634</v>
      </c>
    </row>
    <row r="131" spans="1:74" x14ac:dyDescent="0.25">
      <c r="A131" s="1">
        <v>37</v>
      </c>
      <c r="B131" s="1" t="s">
        <v>249</v>
      </c>
      <c r="C131" s="1">
        <v>2016</v>
      </c>
      <c r="D131" s="1" t="s">
        <v>179</v>
      </c>
      <c r="E131" s="1" t="s">
        <v>434</v>
      </c>
      <c r="F131" s="1" t="s">
        <v>435</v>
      </c>
      <c r="G131" s="1" t="s">
        <v>436</v>
      </c>
      <c r="H131" s="1">
        <v>0</v>
      </c>
      <c r="J131" s="2">
        <v>1152.92</v>
      </c>
      <c r="K131" s="2">
        <v>39.64</v>
      </c>
      <c r="L131" s="2">
        <v>57.71</v>
      </c>
      <c r="M131" s="2">
        <v>1.46</v>
      </c>
      <c r="N131" s="2">
        <v>2228.92</v>
      </c>
      <c r="O131" s="2">
        <v>76.86</v>
      </c>
      <c r="P131" s="2">
        <v>160.29</v>
      </c>
      <c r="Q131" s="2">
        <v>2.09</v>
      </c>
      <c r="R131" s="2">
        <v>2228.92</v>
      </c>
      <c r="S131" s="2">
        <v>52.05</v>
      </c>
      <c r="T131" s="2">
        <v>109</v>
      </c>
      <c r="U131" s="2">
        <v>2.09</v>
      </c>
      <c r="Z131" s="2">
        <v>70.64</v>
      </c>
      <c r="AA131" s="2">
        <v>62.74</v>
      </c>
      <c r="AD131" s="2">
        <v>8.19</v>
      </c>
      <c r="AJ131" s="2">
        <v>8.49</v>
      </c>
      <c r="AW131" s="2">
        <v>1857.61</v>
      </c>
      <c r="AX131" s="2">
        <v>1740.43</v>
      </c>
      <c r="AY131" s="2">
        <v>1582.25</v>
      </c>
      <c r="BC131" s="2">
        <v>199.36</v>
      </c>
      <c r="BD131" s="2">
        <v>193.5</v>
      </c>
      <c r="BE131" s="2">
        <v>172</v>
      </c>
      <c r="BF131" s="2">
        <f t="shared" si="10"/>
        <v>9.3178671749598703</v>
      </c>
      <c r="BG131" s="2">
        <f t="shared" ref="BG131:BH135" si="11">AX131/BD131</f>
        <v>8.9944702842377264</v>
      </c>
      <c r="BH131" s="2">
        <f t="shared" si="11"/>
        <v>9.1991279069767433</v>
      </c>
    </row>
    <row r="132" spans="1:74" x14ac:dyDescent="0.25">
      <c r="A132" s="1">
        <v>37</v>
      </c>
      <c r="B132" s="1" t="s">
        <v>249</v>
      </c>
      <c r="C132" s="1">
        <v>2016</v>
      </c>
      <c r="D132" s="1" t="s">
        <v>179</v>
      </c>
      <c r="E132" s="1" t="s">
        <v>250</v>
      </c>
      <c r="F132" s="1" t="s">
        <v>3</v>
      </c>
      <c r="G132" s="1" t="s">
        <v>176</v>
      </c>
      <c r="H132" s="1">
        <v>100</v>
      </c>
      <c r="J132" s="2">
        <v>1164.1199999999999</v>
      </c>
      <c r="K132" s="2">
        <v>40.04</v>
      </c>
      <c r="L132" s="2">
        <v>58.36</v>
      </c>
      <c r="M132" s="2">
        <v>1.46</v>
      </c>
      <c r="N132" s="2">
        <v>2240.12</v>
      </c>
      <c r="O132" s="2">
        <v>76.86</v>
      </c>
      <c r="P132" s="2">
        <v>159.93</v>
      </c>
      <c r="Q132" s="2">
        <v>2.08</v>
      </c>
      <c r="R132" s="2">
        <v>2240.12</v>
      </c>
      <c r="S132" s="2">
        <v>52.31</v>
      </c>
      <c r="T132" s="2">
        <v>109.15</v>
      </c>
      <c r="U132" s="2">
        <v>2.09</v>
      </c>
      <c r="Z132" s="2">
        <v>74.5</v>
      </c>
      <c r="AA132" s="2">
        <v>74.86</v>
      </c>
      <c r="AD132" s="6">
        <v>7.94</v>
      </c>
      <c r="AE132" s="6"/>
      <c r="AF132" s="6"/>
      <c r="AG132" s="6"/>
      <c r="AJ132" s="2">
        <v>8.1199999999999992</v>
      </c>
      <c r="AW132" s="2">
        <v>1861.5</v>
      </c>
      <c r="AX132" s="2">
        <v>1748.35</v>
      </c>
      <c r="AY132" s="2">
        <v>1630.83</v>
      </c>
      <c r="BC132" s="2">
        <v>191.6</v>
      </c>
      <c r="BD132" s="2">
        <v>187.25</v>
      </c>
      <c r="BE132" s="2">
        <v>175.5</v>
      </c>
      <c r="BF132" s="2">
        <f t="shared" si="10"/>
        <v>9.7155532359081427</v>
      </c>
      <c r="BG132" s="2">
        <f t="shared" si="11"/>
        <v>9.3369826435246992</v>
      </c>
      <c r="BH132" s="2">
        <f t="shared" si="11"/>
        <v>9.2924786324786322</v>
      </c>
    </row>
    <row r="133" spans="1:74" x14ac:dyDescent="0.25">
      <c r="A133" s="1">
        <v>37</v>
      </c>
      <c r="B133" s="1" t="s">
        <v>249</v>
      </c>
      <c r="C133" s="1">
        <v>2016</v>
      </c>
      <c r="D133" s="1" t="s">
        <v>179</v>
      </c>
      <c r="E133" s="1" t="s">
        <v>250</v>
      </c>
      <c r="F133" s="1" t="s">
        <v>3</v>
      </c>
      <c r="G133" s="1" t="s">
        <v>176</v>
      </c>
      <c r="H133" s="1">
        <v>150</v>
      </c>
      <c r="J133" s="2">
        <v>1164.96</v>
      </c>
      <c r="K133" s="2">
        <v>40.07</v>
      </c>
      <c r="L133" s="2">
        <v>57.36</v>
      </c>
      <c r="M133" s="2">
        <v>1.43</v>
      </c>
      <c r="N133" s="2">
        <v>2267.96</v>
      </c>
      <c r="O133" s="2">
        <v>78.790000000000006</v>
      </c>
      <c r="P133" s="2">
        <v>162.71</v>
      </c>
      <c r="Q133" s="2">
        <v>2.06</v>
      </c>
      <c r="R133" s="2">
        <v>2267.96</v>
      </c>
      <c r="S133" s="2">
        <v>52.98</v>
      </c>
      <c r="T133" s="2">
        <v>110.04</v>
      </c>
      <c r="U133" s="2">
        <v>2.08</v>
      </c>
      <c r="Z133" s="2">
        <v>71.900000000000006</v>
      </c>
      <c r="AA133" s="2">
        <v>67.8</v>
      </c>
      <c r="AD133" s="6">
        <v>7.3</v>
      </c>
      <c r="AE133" s="6"/>
      <c r="AF133" s="6"/>
      <c r="AG133" s="6"/>
      <c r="AJ133" s="2">
        <v>7.83</v>
      </c>
      <c r="AW133" s="2">
        <v>1867.5</v>
      </c>
      <c r="AX133" s="2">
        <v>1833.25</v>
      </c>
      <c r="AY133" s="2">
        <v>1583</v>
      </c>
      <c r="BC133" s="2">
        <v>185.5</v>
      </c>
      <c r="BD133" s="2">
        <v>181.5</v>
      </c>
      <c r="BE133" s="2">
        <v>171.25</v>
      </c>
      <c r="BF133" s="2">
        <f t="shared" si="10"/>
        <v>10.067385444743936</v>
      </c>
      <c r="BG133" s="2">
        <f t="shared" si="11"/>
        <v>10.100550964187327</v>
      </c>
      <c r="BH133" s="2">
        <f t="shared" si="11"/>
        <v>9.2437956204379557</v>
      </c>
    </row>
    <row r="134" spans="1:74" x14ac:dyDescent="0.25">
      <c r="A134" s="1">
        <v>37</v>
      </c>
      <c r="B134" s="1" t="s">
        <v>249</v>
      </c>
      <c r="C134" s="1">
        <v>2016</v>
      </c>
      <c r="D134" s="1" t="s">
        <v>179</v>
      </c>
      <c r="E134" s="1" t="s">
        <v>250</v>
      </c>
      <c r="F134" s="1" t="s">
        <v>3</v>
      </c>
      <c r="G134" s="1" t="s">
        <v>176</v>
      </c>
      <c r="H134" s="1">
        <v>200</v>
      </c>
      <c r="J134" s="2">
        <v>1233</v>
      </c>
      <c r="K134" s="2">
        <v>42.5</v>
      </c>
      <c r="L134" s="2">
        <v>57.46</v>
      </c>
      <c r="M134" s="2">
        <v>1.35</v>
      </c>
      <c r="N134" s="2">
        <v>2374</v>
      </c>
      <c r="O134" s="2">
        <v>81.5</v>
      </c>
      <c r="P134" s="2">
        <v>161.79</v>
      </c>
      <c r="Q134" s="2">
        <v>1.99</v>
      </c>
      <c r="R134" s="2">
        <v>2374</v>
      </c>
      <c r="S134" s="2">
        <v>55.5</v>
      </c>
      <c r="T134" s="2">
        <v>109.63</v>
      </c>
      <c r="U134" s="2">
        <v>1.98</v>
      </c>
      <c r="Z134" s="2">
        <v>67.7</v>
      </c>
      <c r="AA134" s="2">
        <v>61.5</v>
      </c>
      <c r="AD134" s="6">
        <v>7.02</v>
      </c>
      <c r="AE134" s="6"/>
      <c r="AF134" s="6"/>
      <c r="AG134" s="6"/>
      <c r="AJ134" s="2">
        <v>7.64</v>
      </c>
      <c r="AW134" s="2">
        <v>1995.75</v>
      </c>
      <c r="AX134" s="2">
        <v>1838.5</v>
      </c>
      <c r="AY134" s="2">
        <v>1595.25</v>
      </c>
      <c r="BC134" s="2">
        <v>178.5</v>
      </c>
      <c r="BD134" s="2">
        <v>173</v>
      </c>
      <c r="BE134" s="2">
        <v>165.5</v>
      </c>
      <c r="BF134" s="2">
        <f t="shared" si="10"/>
        <v>11.180672268907562</v>
      </c>
      <c r="BG134" s="2">
        <f t="shared" si="11"/>
        <v>10.627167630057803</v>
      </c>
      <c r="BH134" s="2">
        <f t="shared" si="11"/>
        <v>9.6389728096676741</v>
      </c>
    </row>
    <row r="135" spans="1:74" x14ac:dyDescent="0.25">
      <c r="A135" s="1">
        <v>37</v>
      </c>
      <c r="B135" s="1" t="s">
        <v>249</v>
      </c>
      <c r="C135" s="1">
        <v>2016</v>
      </c>
      <c r="D135" s="1" t="s">
        <v>179</v>
      </c>
      <c r="E135" s="1" t="s">
        <v>250</v>
      </c>
      <c r="F135" s="1" t="s">
        <v>3</v>
      </c>
      <c r="G135" s="1" t="s">
        <v>176</v>
      </c>
      <c r="H135" s="1">
        <v>250</v>
      </c>
      <c r="J135" s="2">
        <v>1273.04</v>
      </c>
      <c r="K135" s="2">
        <v>43.93</v>
      </c>
      <c r="L135" s="2">
        <v>58.18</v>
      </c>
      <c r="M135" s="2">
        <v>1.32</v>
      </c>
      <c r="N135" s="2">
        <v>2462.04</v>
      </c>
      <c r="O135" s="2">
        <v>84.93</v>
      </c>
      <c r="P135" s="2">
        <v>162.57</v>
      </c>
      <c r="Q135" s="2">
        <v>1.92</v>
      </c>
      <c r="R135" s="2">
        <v>2462.04</v>
      </c>
      <c r="S135" s="2">
        <v>57.6</v>
      </c>
      <c r="T135" s="2">
        <v>110.38</v>
      </c>
      <c r="U135" s="2">
        <v>1.92</v>
      </c>
      <c r="Z135" s="2">
        <v>74.599999999999994</v>
      </c>
      <c r="AA135" s="2">
        <v>67.900000000000006</v>
      </c>
      <c r="AD135" s="6">
        <v>6.15</v>
      </c>
      <c r="AE135" s="6"/>
      <c r="AF135" s="6"/>
      <c r="AG135" s="6"/>
      <c r="AJ135" s="2">
        <v>6.54</v>
      </c>
      <c r="AW135" s="2">
        <v>2007.5</v>
      </c>
      <c r="AX135" s="2">
        <v>1927.5</v>
      </c>
      <c r="AY135" s="2">
        <v>1775.75</v>
      </c>
      <c r="BC135" s="2">
        <v>178.25</v>
      </c>
      <c r="BD135" s="2">
        <v>170.75</v>
      </c>
      <c r="BE135" s="2">
        <v>168.75</v>
      </c>
      <c r="BF135" s="2">
        <f t="shared" si="10"/>
        <v>11.26227208976157</v>
      </c>
      <c r="BG135" s="2">
        <f t="shared" si="11"/>
        <v>11.288433382137628</v>
      </c>
      <c r="BH135" s="2">
        <f t="shared" si="11"/>
        <v>10.522962962962962</v>
      </c>
    </row>
    <row r="136" spans="1:74" x14ac:dyDescent="0.25">
      <c r="A136" s="1">
        <v>38</v>
      </c>
      <c r="B136" s="1" t="s">
        <v>249</v>
      </c>
      <c r="C136" s="1">
        <v>2017</v>
      </c>
      <c r="D136" s="1" t="s">
        <v>179</v>
      </c>
      <c r="E136" s="1" t="s">
        <v>434</v>
      </c>
      <c r="F136" s="1" t="s">
        <v>435</v>
      </c>
      <c r="G136" s="1" t="s">
        <v>436</v>
      </c>
      <c r="H136" s="1">
        <v>0</v>
      </c>
      <c r="K136" s="1"/>
      <c r="M136" s="1"/>
      <c r="S136" s="2">
        <v>52.05</v>
      </c>
      <c r="T136" s="2">
        <v>91.9</v>
      </c>
      <c r="U136" s="2">
        <v>1.77</v>
      </c>
      <c r="BP136" s="36">
        <v>0.2</v>
      </c>
      <c r="BQ136" s="36">
        <v>0.5</v>
      </c>
      <c r="BU136" s="36">
        <v>11.4</v>
      </c>
      <c r="BV136" s="36">
        <v>2.2999999999999998</v>
      </c>
    </row>
    <row r="137" spans="1:74" x14ac:dyDescent="0.25">
      <c r="A137" s="1">
        <v>38</v>
      </c>
      <c r="B137" s="1" t="s">
        <v>249</v>
      </c>
      <c r="C137" s="1">
        <v>2017</v>
      </c>
      <c r="D137" s="1" t="s">
        <v>179</v>
      </c>
      <c r="E137" s="1" t="s">
        <v>250</v>
      </c>
      <c r="F137" s="1" t="s">
        <v>3</v>
      </c>
      <c r="G137" s="1" t="s">
        <v>176</v>
      </c>
      <c r="H137" s="1">
        <v>100</v>
      </c>
      <c r="K137" s="1"/>
      <c r="M137" s="1"/>
      <c r="S137" s="6">
        <v>52.31</v>
      </c>
      <c r="T137" s="2">
        <v>92.24</v>
      </c>
      <c r="U137" s="2">
        <v>1.76</v>
      </c>
      <c r="BP137" s="36">
        <v>0.2</v>
      </c>
      <c r="BQ137" s="36">
        <v>0.5</v>
      </c>
      <c r="BU137" s="36">
        <v>10.8</v>
      </c>
      <c r="BV137" s="36">
        <v>2.1</v>
      </c>
    </row>
    <row r="138" spans="1:74" x14ac:dyDescent="0.25">
      <c r="A138" s="1">
        <v>38</v>
      </c>
      <c r="B138" s="1" t="s">
        <v>249</v>
      </c>
      <c r="C138" s="1">
        <v>2017</v>
      </c>
      <c r="D138" s="1" t="s">
        <v>179</v>
      </c>
      <c r="E138" s="1" t="s">
        <v>250</v>
      </c>
      <c r="F138" s="1" t="s">
        <v>3</v>
      </c>
      <c r="G138" s="1" t="s">
        <v>176</v>
      </c>
      <c r="H138" s="1">
        <v>150</v>
      </c>
      <c r="M138" s="1"/>
      <c r="S138" s="6">
        <v>52.98</v>
      </c>
      <c r="T138" s="2">
        <v>92.48</v>
      </c>
      <c r="U138" s="2">
        <v>1.75</v>
      </c>
      <c r="BP138" s="36">
        <v>0.2</v>
      </c>
      <c r="BQ138" s="36">
        <v>0.5</v>
      </c>
      <c r="BU138" s="36">
        <v>11.4</v>
      </c>
      <c r="BV138" s="36">
        <v>2.7</v>
      </c>
    </row>
    <row r="139" spans="1:74" x14ac:dyDescent="0.25">
      <c r="A139" s="1">
        <v>38</v>
      </c>
      <c r="B139" s="1" t="s">
        <v>249</v>
      </c>
      <c r="C139" s="1">
        <v>2017</v>
      </c>
      <c r="D139" s="1" t="s">
        <v>179</v>
      </c>
      <c r="E139" s="1" t="s">
        <v>250</v>
      </c>
      <c r="F139" s="1" t="s">
        <v>3</v>
      </c>
      <c r="G139" s="1" t="s">
        <v>176</v>
      </c>
      <c r="H139" s="1">
        <v>200</v>
      </c>
      <c r="M139" s="1"/>
      <c r="S139" s="6">
        <v>55.5</v>
      </c>
      <c r="T139" s="6">
        <v>92.26</v>
      </c>
      <c r="U139" s="2">
        <v>1.66</v>
      </c>
      <c r="BP139" s="36">
        <v>0.2</v>
      </c>
      <c r="BQ139" s="36">
        <v>0.6</v>
      </c>
      <c r="BU139" s="36">
        <v>18.7</v>
      </c>
      <c r="BV139" s="36">
        <v>3.4</v>
      </c>
    </row>
    <row r="140" spans="1:74" x14ac:dyDescent="0.25">
      <c r="A140" s="1">
        <v>38</v>
      </c>
      <c r="B140" s="1" t="s">
        <v>249</v>
      </c>
      <c r="C140" s="1">
        <v>2017</v>
      </c>
      <c r="D140" s="1" t="s">
        <v>179</v>
      </c>
      <c r="E140" s="1" t="s">
        <v>250</v>
      </c>
      <c r="F140" s="1" t="s">
        <v>3</v>
      </c>
      <c r="G140" s="1" t="s">
        <v>176</v>
      </c>
      <c r="H140" s="1">
        <v>250</v>
      </c>
      <c r="M140" s="1"/>
      <c r="S140" s="6">
        <v>57.6</v>
      </c>
      <c r="T140" s="6">
        <v>92.98</v>
      </c>
      <c r="U140" s="2">
        <v>1.61</v>
      </c>
      <c r="BP140" s="36">
        <v>0.2</v>
      </c>
      <c r="BQ140" s="36">
        <v>0.6</v>
      </c>
      <c r="BU140" s="36">
        <v>19</v>
      </c>
      <c r="BV140" s="36">
        <v>3.2</v>
      </c>
    </row>
    <row r="141" spans="1:74" x14ac:dyDescent="0.25">
      <c r="A141" s="1">
        <v>39</v>
      </c>
      <c r="B141" s="1" t="s">
        <v>195</v>
      </c>
      <c r="C141" s="1">
        <v>2019</v>
      </c>
      <c r="D141" s="1" t="s">
        <v>196</v>
      </c>
      <c r="E141" s="1" t="s">
        <v>434</v>
      </c>
      <c r="F141" s="1" t="s">
        <v>435</v>
      </c>
      <c r="G141" s="1" t="s">
        <v>436</v>
      </c>
      <c r="H141" s="1">
        <v>0</v>
      </c>
      <c r="J141" s="2">
        <v>858</v>
      </c>
      <c r="K141" s="2">
        <f>443/9</f>
        <v>49.222222222222221</v>
      </c>
      <c r="L141" s="2">
        <v>70.22</v>
      </c>
      <c r="M141" s="2">
        <v>1.43</v>
      </c>
      <c r="R141" s="2">
        <v>858</v>
      </c>
      <c r="S141" s="2">
        <f>443/9</f>
        <v>49.222222222222221</v>
      </c>
      <c r="T141" s="2">
        <v>70.22</v>
      </c>
      <c r="U141" s="2">
        <v>1.43</v>
      </c>
      <c r="W141" s="2">
        <v>69.209999999999994</v>
      </c>
      <c r="Y141" s="2">
        <v>71.19</v>
      </c>
      <c r="BP141" s="36">
        <v>8.1999999999999998E-4</v>
      </c>
    </row>
    <row r="142" spans="1:74" x14ac:dyDescent="0.25">
      <c r="A142" s="1">
        <v>39</v>
      </c>
      <c r="B142" s="1" t="s">
        <v>195</v>
      </c>
      <c r="C142" s="1">
        <v>2019</v>
      </c>
      <c r="D142" s="1" t="s">
        <v>196</v>
      </c>
      <c r="E142" s="1" t="s">
        <v>192</v>
      </c>
      <c r="F142" s="1" t="s">
        <v>181</v>
      </c>
      <c r="G142" s="1" t="s">
        <v>176</v>
      </c>
      <c r="H142" s="1">
        <v>4000</v>
      </c>
      <c r="J142" s="6">
        <v>859</v>
      </c>
      <c r="K142" s="2">
        <f>446/9</f>
        <v>49.555555555555557</v>
      </c>
      <c r="L142" s="2">
        <v>69.67</v>
      </c>
      <c r="M142" s="2">
        <v>1.41</v>
      </c>
      <c r="R142" s="6">
        <v>859</v>
      </c>
      <c r="S142" s="2">
        <f>446/9</f>
        <v>49.555555555555557</v>
      </c>
      <c r="T142" s="2">
        <v>69.67</v>
      </c>
      <c r="U142" s="2">
        <v>1.41</v>
      </c>
      <c r="W142" s="2">
        <v>75.09</v>
      </c>
      <c r="Y142" s="2">
        <v>76.569999999999993</v>
      </c>
      <c r="BP142" s="36">
        <v>3.8899999999999998E-3</v>
      </c>
    </row>
    <row r="143" spans="1:74" x14ac:dyDescent="0.25">
      <c r="A143" s="1">
        <v>40</v>
      </c>
      <c r="B143" s="1" t="s">
        <v>195</v>
      </c>
      <c r="C143" s="1">
        <v>2019</v>
      </c>
      <c r="D143" s="1" t="s">
        <v>196</v>
      </c>
      <c r="E143" s="1" t="s">
        <v>434</v>
      </c>
      <c r="F143" s="1" t="s">
        <v>435</v>
      </c>
      <c r="G143" s="1" t="s">
        <v>436</v>
      </c>
      <c r="H143" s="1">
        <v>0</v>
      </c>
      <c r="J143" s="6">
        <v>728</v>
      </c>
      <c r="K143" s="2">
        <f>314/9</f>
        <v>34.888888888888886</v>
      </c>
      <c r="L143" s="2">
        <v>61.11</v>
      </c>
      <c r="M143" s="2">
        <v>1.75</v>
      </c>
      <c r="R143" s="6">
        <v>728</v>
      </c>
      <c r="S143" s="2">
        <f>314/9</f>
        <v>34.888888888888886</v>
      </c>
      <c r="T143" s="2">
        <v>61.11</v>
      </c>
      <c r="U143" s="2">
        <v>1.75</v>
      </c>
      <c r="W143" s="2">
        <v>59.77</v>
      </c>
      <c r="Y143" s="2">
        <v>58.11</v>
      </c>
      <c r="BP143" s="36">
        <v>1.754E-2</v>
      </c>
    </row>
    <row r="144" spans="1:74" x14ac:dyDescent="0.25">
      <c r="A144" s="1">
        <v>40</v>
      </c>
      <c r="B144" s="1" t="s">
        <v>195</v>
      </c>
      <c r="C144" s="1">
        <v>2019</v>
      </c>
      <c r="D144" s="1" t="s">
        <v>196</v>
      </c>
      <c r="E144" s="1" t="s">
        <v>192</v>
      </c>
      <c r="F144" s="1" t="s">
        <v>181</v>
      </c>
      <c r="G144" s="1" t="s">
        <v>176</v>
      </c>
      <c r="H144" s="1">
        <v>4000</v>
      </c>
      <c r="J144" s="6">
        <v>801</v>
      </c>
      <c r="K144" s="2">
        <f>388/9</f>
        <v>43.111111111111114</v>
      </c>
      <c r="L144" s="2">
        <v>63.11</v>
      </c>
      <c r="M144" s="2">
        <v>1.46</v>
      </c>
      <c r="R144" s="6">
        <v>801</v>
      </c>
      <c r="S144" s="2">
        <f>388/9</f>
        <v>43.111111111111114</v>
      </c>
      <c r="T144" s="2">
        <v>63.11</v>
      </c>
      <c r="U144" s="2">
        <v>1.46</v>
      </c>
      <c r="W144" s="2">
        <v>68.87</v>
      </c>
      <c r="Y144" s="2">
        <v>67.05</v>
      </c>
      <c r="BP144" s="36">
        <v>1.17E-2</v>
      </c>
    </row>
    <row r="145" spans="10:11" x14ac:dyDescent="0.25">
      <c r="J145" s="6"/>
      <c r="K145" s="6"/>
    </row>
  </sheetData>
  <pageMargins left="0.1" right="0.204166666666667" top="0.36527777777777798" bottom="0.36527777777777798" header="0.1" footer="0.1"/>
  <pageSetup paperSize="9" scale="20" orientation="landscape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contoh_data</vt:lpstr>
      <vt:lpstr>referensi</vt:lpstr>
      <vt:lpstr>data_keseluruhan</vt:lpstr>
      <vt:lpstr>Data_Performa_2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sholikin</dc:creator>
  <dc:description/>
  <cp:lastModifiedBy>mohammad sholikin</cp:lastModifiedBy>
  <cp:revision>1</cp:revision>
  <dcterms:created xsi:type="dcterms:W3CDTF">2021-05-24T21:52:56Z</dcterms:created>
  <dcterms:modified xsi:type="dcterms:W3CDTF">2022-05-16T21:48:49Z</dcterms:modified>
  <dc:language>en-US</dc:language>
</cp:coreProperties>
</file>