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ata\LUMS 4th\MS Thesis\Part 2\LLM_Code_Generation\Results\"/>
    </mc:Choice>
  </mc:AlternateContent>
  <bookViews>
    <workbookView xWindow="0" yWindow="0" windowWidth="17256" windowHeight="5688" activeTab="1"/>
  </bookViews>
  <sheets>
    <sheet name="Human Quality Factors TOPSIS" sheetId="1" r:id="rId1"/>
    <sheet name="Critical Quality Factors TOPSIS" sheetId="2" r:id="rId2"/>
  </sheets>
  <externalReferences>
    <externalReference r:id="rId3"/>
    <externalReference r:id="rId4"/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D21" i="1" l="1"/>
  <c r="F25" i="2"/>
  <c r="F21" i="2"/>
  <c r="D27" i="1"/>
  <c r="B42" i="2" a="1"/>
  <c r="B41" i="2" a="1"/>
  <c r="B40" i="2" a="1"/>
  <c r="C40" i="2" a="1"/>
  <c r="C41" i="2" a="1"/>
  <c r="C42" i="2" a="1"/>
  <c r="B39" i="2" a="1"/>
  <c r="C23" i="2"/>
  <c r="B23" i="2"/>
  <c r="B30" i="2" s="1"/>
  <c r="B18" i="2"/>
  <c r="C18" i="2"/>
  <c r="D18" i="2"/>
  <c r="E18" i="2"/>
  <c r="F18" i="2"/>
  <c r="B19" i="2"/>
  <c r="C19" i="2"/>
  <c r="D19" i="2"/>
  <c r="E19" i="2"/>
  <c r="F19" i="2"/>
  <c r="B20" i="2"/>
  <c r="C20" i="2"/>
  <c r="D20" i="2"/>
  <c r="E20" i="2"/>
  <c r="F20" i="2"/>
  <c r="B21" i="2"/>
  <c r="C21" i="2"/>
  <c r="D21" i="2"/>
  <c r="E21" i="2"/>
  <c r="B22" i="2"/>
  <c r="C22" i="2"/>
  <c r="D22" i="2"/>
  <c r="E22" i="2"/>
  <c r="F22" i="2"/>
  <c r="D23" i="2"/>
  <c r="D30" i="2" s="1"/>
  <c r="E23" i="2"/>
  <c r="E30" i="2" s="1"/>
  <c r="F23" i="2"/>
  <c r="F30" i="2" s="1"/>
  <c r="B24" i="2"/>
  <c r="C24" i="2"/>
  <c r="D24" i="2"/>
  <c r="E24" i="2"/>
  <c r="F24" i="2"/>
  <c r="B25" i="2"/>
  <c r="C25" i="2"/>
  <c r="D25" i="2"/>
  <c r="E25" i="2"/>
  <c r="B26" i="2"/>
  <c r="C26" i="2"/>
  <c r="D26" i="2"/>
  <c r="E26" i="2"/>
  <c r="F26" i="2"/>
  <c r="C17" i="2"/>
  <c r="C30" i="2" s="1"/>
  <c r="D17" i="2"/>
  <c r="E17" i="2"/>
  <c r="F17" i="2"/>
  <c r="B17" i="2"/>
  <c r="B31" i="1"/>
  <c r="C22" i="1"/>
  <c r="C28" i="1"/>
  <c r="D28" i="1"/>
  <c r="E28" i="1"/>
  <c r="F28" i="1"/>
  <c r="G28" i="1"/>
  <c r="H28" i="1"/>
  <c r="I28" i="1"/>
  <c r="J28" i="1"/>
  <c r="K28" i="1"/>
  <c r="L28" i="1"/>
  <c r="M28" i="1"/>
  <c r="N28" i="1"/>
  <c r="B28" i="1"/>
  <c r="C27" i="1"/>
  <c r="E27" i="1"/>
  <c r="F27" i="1"/>
  <c r="G27" i="1"/>
  <c r="H27" i="1"/>
  <c r="I27" i="1"/>
  <c r="J27" i="1"/>
  <c r="K27" i="1"/>
  <c r="L27" i="1"/>
  <c r="M27" i="1"/>
  <c r="N27" i="1"/>
  <c r="C26" i="1"/>
  <c r="D26" i="1"/>
  <c r="E26" i="1"/>
  <c r="F26" i="1"/>
  <c r="G26" i="1"/>
  <c r="H26" i="1"/>
  <c r="I26" i="1"/>
  <c r="J26" i="1"/>
  <c r="K26" i="1"/>
  <c r="L26" i="1"/>
  <c r="M26" i="1"/>
  <c r="N26" i="1"/>
  <c r="B26" i="1"/>
  <c r="C25" i="1"/>
  <c r="B25" i="1"/>
  <c r="D25" i="1"/>
  <c r="E25" i="1"/>
  <c r="F25" i="1"/>
  <c r="G25" i="1"/>
  <c r="H25" i="1"/>
  <c r="I25" i="1"/>
  <c r="J25" i="1"/>
  <c r="K25" i="1"/>
  <c r="L25" i="1"/>
  <c r="M25" i="1"/>
  <c r="N25" i="1"/>
  <c r="C24" i="1"/>
  <c r="D24" i="1"/>
  <c r="E24" i="1"/>
  <c r="F24" i="1"/>
  <c r="G24" i="1"/>
  <c r="H24" i="1"/>
  <c r="I24" i="1"/>
  <c r="J24" i="1"/>
  <c r="K24" i="1"/>
  <c r="L24" i="1"/>
  <c r="M24" i="1"/>
  <c r="N24" i="1"/>
  <c r="C23" i="1"/>
  <c r="D23" i="1"/>
  <c r="E23" i="1"/>
  <c r="F23" i="1"/>
  <c r="G23" i="1"/>
  <c r="H23" i="1"/>
  <c r="I23" i="1"/>
  <c r="J23" i="1"/>
  <c r="K23" i="1"/>
  <c r="L23" i="1"/>
  <c r="M23" i="1"/>
  <c r="N23" i="1"/>
  <c r="D22" i="1"/>
  <c r="E22" i="1"/>
  <c r="F22" i="1"/>
  <c r="G22" i="1"/>
  <c r="H22" i="1"/>
  <c r="I22" i="1"/>
  <c r="J22" i="1"/>
  <c r="K22" i="1"/>
  <c r="L22" i="1"/>
  <c r="M22" i="1"/>
  <c r="N22" i="1"/>
  <c r="C21" i="1"/>
  <c r="E21" i="1"/>
  <c r="F21" i="1"/>
  <c r="G21" i="1"/>
  <c r="H21" i="1"/>
  <c r="I21" i="1"/>
  <c r="J21" i="1"/>
  <c r="K21" i="1"/>
  <c r="L21" i="1"/>
  <c r="M21" i="1"/>
  <c r="N21" i="1"/>
  <c r="C20" i="1"/>
  <c r="D20" i="1"/>
  <c r="E20" i="1"/>
  <c r="F20" i="1"/>
  <c r="G20" i="1"/>
  <c r="H20" i="1"/>
  <c r="I20" i="1"/>
  <c r="J20" i="1"/>
  <c r="K20" i="1"/>
  <c r="L20" i="1"/>
  <c r="M20" i="1"/>
  <c r="N20" i="1"/>
  <c r="B20" i="1"/>
  <c r="I19" i="1"/>
  <c r="N19" i="1"/>
  <c r="C19" i="1"/>
  <c r="D19" i="1"/>
  <c r="E19" i="1"/>
  <c r="F19" i="1"/>
  <c r="G19" i="1"/>
  <c r="H19" i="1"/>
  <c r="J19" i="1"/>
  <c r="K19" i="1"/>
  <c r="L19" i="1"/>
  <c r="M19" i="1"/>
  <c r="B27" i="1"/>
  <c r="B21" i="1"/>
  <c r="B22" i="1"/>
  <c r="B23" i="1"/>
  <c r="B24" i="1"/>
  <c r="B19" i="1"/>
  <c r="E31" i="1"/>
  <c r="B44" i="1" a="1"/>
  <c r="K11" i="1"/>
  <c r="L11" i="1"/>
  <c r="M11" i="1"/>
  <c r="N11" i="1"/>
  <c r="F12" i="2"/>
  <c r="F11" i="2"/>
  <c r="F10" i="2"/>
  <c r="E12" i="2"/>
  <c r="E11" i="2"/>
  <c r="E10" i="2"/>
  <c r="D12" i="2"/>
  <c r="D11" i="2"/>
  <c r="D10" i="2"/>
  <c r="C12" i="2"/>
  <c r="C10" i="2"/>
  <c r="C40" i="2" l="1"/>
  <c r="C29" i="2"/>
  <c r="C41" i="2"/>
  <c r="C42" i="2"/>
  <c r="B29" i="2"/>
  <c r="D29" i="2"/>
  <c r="F29" i="2"/>
  <c r="B40" i="2" s="1"/>
  <c r="D40" i="2" s="1"/>
  <c r="E29" i="2"/>
  <c r="C42" i="1" a="1"/>
  <c r="C43" i="1" a="1"/>
  <c r="C44" i="1" a="1"/>
  <c r="B42" i="1" a="1"/>
  <c r="B43" i="1" a="1"/>
  <c r="B35" i="1" a="1"/>
  <c r="M31" i="1"/>
  <c r="N12" i="1"/>
  <c r="M12" i="1"/>
  <c r="L12" i="1"/>
  <c r="N10" i="1"/>
  <c r="M10" i="1"/>
  <c r="L10" i="1"/>
  <c r="K12" i="1"/>
  <c r="K10" i="1"/>
  <c r="B39" i="2" l="1"/>
  <c r="B42" i="2"/>
  <c r="D42" i="2" s="1"/>
  <c r="B41" i="2"/>
  <c r="D41" i="2" s="1"/>
  <c r="N32" i="1"/>
  <c r="L31" i="1"/>
  <c r="F32" i="1"/>
  <c r="C31" i="1"/>
  <c r="H32" i="1"/>
  <c r="H31" i="1"/>
  <c r="M32" i="1"/>
  <c r="L32" i="1"/>
  <c r="D31" i="1"/>
  <c r="D32" i="1"/>
  <c r="G32" i="1"/>
  <c r="G31" i="1"/>
  <c r="F31" i="1"/>
  <c r="I31" i="1"/>
  <c r="I32" i="1"/>
  <c r="J32" i="1"/>
  <c r="J31" i="1"/>
  <c r="B32" i="1"/>
  <c r="K32" i="1"/>
  <c r="K31" i="1"/>
  <c r="C32" i="1"/>
  <c r="E32" i="1"/>
  <c r="N31" i="1"/>
  <c r="F9" i="2"/>
  <c r="E9" i="2"/>
  <c r="D9" i="2"/>
  <c r="C9" i="2"/>
  <c r="F8" i="2"/>
  <c r="E8" i="2"/>
  <c r="D8" i="2"/>
  <c r="C8" i="2"/>
  <c r="F7" i="2"/>
  <c r="E7" i="2"/>
  <c r="D7" i="2"/>
  <c r="C7" i="2"/>
  <c r="F6" i="2"/>
  <c r="E6" i="2"/>
  <c r="D6" i="2"/>
  <c r="C6" i="2"/>
  <c r="F5" i="2"/>
  <c r="E5" i="2"/>
  <c r="D5" i="2"/>
  <c r="C5" i="2"/>
  <c r="F4" i="2"/>
  <c r="E4" i="2"/>
  <c r="D4" i="2"/>
  <c r="C4" i="2"/>
  <c r="F3" i="2"/>
  <c r="E3" i="2"/>
  <c r="D3" i="2"/>
  <c r="C3" i="2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  <c r="B44" i="1" l="1"/>
  <c r="C43" i="1"/>
  <c r="B42" i="1"/>
  <c r="C42" i="1"/>
  <c r="B43" i="1"/>
  <c r="C44" i="1"/>
  <c r="B35" i="1"/>
  <c r="D42" i="1" l="1"/>
  <c r="D43" i="1"/>
  <c r="D44" i="1"/>
  <c r="B36" i="2" a="1"/>
  <c r="B36" i="1" a="1"/>
  <c r="B36" i="1" s="1"/>
  <c r="C38" i="1" a="1"/>
  <c r="C38" i="1" s="1"/>
  <c r="B36" i="2" l="1"/>
  <c r="C36" i="2" a="1"/>
  <c r="C36" i="2" s="1"/>
  <c r="C37" i="2" a="1"/>
  <c r="C37" i="2" s="1"/>
  <c r="C35" i="2" a="1"/>
  <c r="C35" i="2" s="1"/>
  <c r="C38" i="2" a="1"/>
  <c r="C38" i="2" s="1"/>
  <c r="B34" i="2" a="1"/>
  <c r="B34" i="2" s="1"/>
  <c r="B38" i="2" a="1"/>
  <c r="B38" i="2" s="1"/>
  <c r="C33" i="2" a="1"/>
  <c r="C33" i="2" s="1"/>
  <c r="B37" i="2" a="1"/>
  <c r="B37" i="2" s="1"/>
  <c r="C34" i="2" a="1"/>
  <c r="C34" i="2" s="1"/>
  <c r="C39" i="2" a="1"/>
  <c r="C39" i="2" s="1"/>
  <c r="D39" i="2" s="1"/>
  <c r="B33" i="2" a="1"/>
  <c r="B33" i="2" s="1"/>
  <c r="B35" i="2" a="1"/>
  <c r="B35" i="2" s="1"/>
  <c r="C35" i="1" a="1"/>
  <c r="C35" i="1" s="1"/>
  <c r="B37" i="1" a="1"/>
  <c r="B37" i="1" s="1"/>
  <c r="B39" i="1" a="1"/>
  <c r="B39" i="1" s="1"/>
  <c r="C37" i="1" a="1"/>
  <c r="C37" i="1" s="1"/>
  <c r="C39" i="1" a="1"/>
  <c r="C39" i="1" s="1"/>
  <c r="C41" i="1" a="1"/>
  <c r="C41" i="1" s="1"/>
  <c r="C36" i="1" a="1"/>
  <c r="C36" i="1" s="1"/>
  <c r="D36" i="1" s="1"/>
  <c r="B38" i="1" a="1"/>
  <c r="B38" i="1" s="1"/>
  <c r="D38" i="1" s="1"/>
  <c r="B41" i="1" a="1"/>
  <c r="B41" i="1" s="1"/>
  <c r="C40" i="1" a="1"/>
  <c r="C40" i="1" s="1"/>
  <c r="B40" i="1" a="1"/>
  <c r="B40" i="1" s="1"/>
  <c r="D35" i="2" l="1"/>
  <c r="D36" i="2"/>
  <c r="D39" i="1"/>
  <c r="D37" i="1"/>
  <c r="D34" i="2"/>
  <c r="D37" i="2"/>
  <c r="D38" i="2"/>
  <c r="D33" i="2"/>
  <c r="D35" i="1"/>
  <c r="D41" i="1"/>
  <c r="D4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<sst xmlns="http://schemas.openxmlformats.org/spreadsheetml/2006/main" count="163" uniqueCount="42">
  <si>
    <t>Average Results</t>
  </si>
  <si>
    <t>Dataset</t>
  </si>
  <si>
    <t>LOC</t>
  </si>
  <si>
    <t>Cyclomatic Complexity</t>
  </si>
  <si>
    <t>Maintainability Index</t>
  </si>
  <si>
    <t>N</t>
  </si>
  <si>
    <t>Vocabulary</t>
  </si>
  <si>
    <t>Volume</t>
  </si>
  <si>
    <t>Difficulty</t>
  </si>
  <si>
    <t>Effort</t>
  </si>
  <si>
    <t>Time</t>
  </si>
  <si>
    <t>Cognitive Complexity</t>
  </si>
  <si>
    <t xml:space="preserve">refactorings </t>
  </si>
  <si>
    <t xml:space="preserve">warnings </t>
  </si>
  <si>
    <t>conventions</t>
  </si>
  <si>
    <t>HumanEval</t>
  </si>
  <si>
    <t>GPT 3.5 Turbo Simple Prompt</t>
  </si>
  <si>
    <t>GPT 3.5 Turbo Instruction Tone Prompt</t>
  </si>
  <si>
    <t>GPT 3.5 Turbo Improved Prompt</t>
  </si>
  <si>
    <t>GPT 4 Simple Prompt</t>
  </si>
  <si>
    <t>GPT 4 Instruction Tone Prompt</t>
  </si>
  <si>
    <t>GPT 4 Improved Prompt</t>
  </si>
  <si>
    <t>Data After Vector Normalization</t>
  </si>
  <si>
    <t>Min,</t>
  </si>
  <si>
    <t>Max,</t>
  </si>
  <si>
    <t>Min</t>
  </si>
  <si>
    <t>Ideal Best</t>
  </si>
  <si>
    <t>Ideal Worst</t>
  </si>
  <si>
    <t>D best</t>
  </si>
  <si>
    <t>D worst</t>
  </si>
  <si>
    <t>relative closeness</t>
  </si>
  <si>
    <t>Ranking by relative closeness</t>
  </si>
  <si>
    <t>Bugs</t>
  </si>
  <si>
    <t>Test Cases Passed</t>
  </si>
  <si>
    <t>Security Issues</t>
  </si>
  <si>
    <t>errors</t>
  </si>
  <si>
    <t>CodeLlama Simple Prompt</t>
  </si>
  <si>
    <t>CodeLlama Instructional Tone Prompt</t>
  </si>
  <si>
    <t>CodeLlama Enhanced Prompt</t>
  </si>
  <si>
    <t>GPT 3.5 Turbo Enhanced Prompt</t>
  </si>
  <si>
    <t>GPT 4 Enhanced Prompt</t>
  </si>
  <si>
    <t>Ranking by Relative Closness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</si>
</sst>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0" fontId="0" fillId="0" borderId="8" xfId="0" applyFill="1" applyBorder="1"/>
    <xf numFmtId="0" fontId="0" fillId="0" borderId="2" xfId="0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/>
    <xf numFmtId="2" fontId="0" fillId="0" borderId="4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11" xfId="0" applyFont="1" applyFill="1" applyBorder="1"/>
    <xf numFmtId="0" fontId="1" fillId="0" borderId="12" xfId="0" applyFont="1" applyFill="1" applyBorder="1"/>
    <xf numFmtId="0" fontId="1" fillId="0" borderId="7" xfId="0" applyFont="1" applyFill="1" applyBorder="1"/>
    <xf numFmtId="2" fontId="0" fillId="0" borderId="7" xfId="0" applyNumberFormat="1" applyFill="1" applyBorder="1"/>
    <xf numFmtId="0" fontId="1" fillId="0" borderId="2" xfId="0" applyFont="1" applyFill="1" applyBorder="1" applyAlignment="1"/>
    <xf numFmtId="0" fontId="0" fillId="0" borderId="3" xfId="0" applyFill="1" applyBorder="1" applyAlignment="1"/>
    <xf numFmtId="0" fontId="1" fillId="0" borderId="7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Border="1"/>
    <xf numFmtId="2" fontId="0" fillId="0" borderId="17" xfId="0" applyNumberFormat="1" applyFill="1" applyBorder="1" applyAlignment="1">
      <alignment horizontal="center"/>
    </xf>
    <xf numFmtId="2" fontId="0" fillId="0" borderId="18" xfId="0" applyNumberFormat="1" applyFill="1" applyBorder="1" applyAlignment="1">
      <alignment horizontal="center"/>
    </xf>
    <xf numFmtId="2" fontId="0" fillId="0" borderId="19" xfId="0" applyNumberForma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3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2" fontId="2" fillId="0" borderId="22" xfId="0" applyNumberFormat="1" applyFont="1" applyBorder="1" applyAlignment="1">
      <alignment horizontal="right" vertical="center"/>
    </xf>
    <xf numFmtId="2" fontId="2" fillId="0" borderId="13" xfId="0" applyNumberFormat="1" applyFont="1" applyBorder="1" applyAlignment="1">
      <alignment horizontal="right" vertical="center"/>
    </xf>
    <xf numFmtId="2" fontId="3" fillId="0" borderId="22" xfId="0" applyNumberFormat="1" applyFont="1" applyBorder="1" applyAlignment="1">
      <alignment horizontal="right" vertical="center"/>
    </xf>
    <xf numFmtId="0" fontId="1" fillId="0" borderId="20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2" fillId="0" borderId="2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3" fillId="0" borderId="2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ata/LUMS%204th/MS%20Thesis/Part%202/LLM_Code_Generation/Data/CodeLlama_Simple_Prompt/CSV_Reports/code_llama_simple_prompt_complexip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ata/LUMS%204th/MS%20Thesis/Part%202/LLM_Code_Generation/Data/CodeLlama_Instructional_Tone_Prompt/CSV_Reports/code_llama_instructional_tone_prompt_complexip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ata/LUMS%204th/MS%20Thesis/Part%202/LLM_Code_Generation/Data/CodeLlama_Enhanced_Prompt/CSV_Reports/code_llama_enhanced_prompt_complexip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_llama_simple_prompt_comple"/>
    </sheetNames>
    <sheetDataSet>
      <sheetData sheetId="0">
        <row r="177">
          <cell r="D177">
            <v>2.3028571428571429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_llama_instructional_tone_p"/>
    </sheetNames>
    <sheetDataSet>
      <sheetData sheetId="0">
        <row r="174">
          <cell r="D174">
            <v>2.3953488372093021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_llama_enhanced_prompt_comp"/>
    </sheetNames>
    <sheetDataSet>
      <sheetData sheetId="0">
        <row r="171">
          <cell r="D171">
            <v>2.2721893491124261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opLeftCell="A29" workbookViewId="0">
      <selection activeCell="D21" sqref="D21"/>
    </sheetView>
  </sheetViews>
  <sheetFormatPr defaultRowHeight="13.8"/>
  <cols>
    <col min="1" max="1" width="33.19921875" style="2" bestFit="1" customWidth="1"/>
    <col min="2" max="2" width="9.59765625" style="2" bestFit="1" customWidth="1"/>
    <col min="3" max="3" width="19.296875" style="2" bestFit="1" customWidth="1"/>
    <col min="4" max="4" width="17.296875" style="2" bestFit="1" customWidth="1"/>
    <col min="5" max="5" width="8.8984375" style="2"/>
    <col min="6" max="6" width="18.19921875" style="2" bestFit="1" customWidth="1"/>
    <col min="7" max="10" width="8.8984375" style="2"/>
    <col min="11" max="11" width="17.69921875" style="2" bestFit="1" customWidth="1"/>
    <col min="12" max="14" width="12" style="2" bestFit="1" customWidth="1"/>
    <col min="15" max="18" width="8.8984375" style="2"/>
  </cols>
  <sheetData>
    <row r="1" spans="1:15">
      <c r="A1" s="15"/>
      <c r="B1" s="42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  <c r="O1" s="45"/>
    </row>
    <row r="2" spans="1:15">
      <c r="A2" s="2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5">
      <c r="A3" s="15" t="s">
        <v>15</v>
      </c>
      <c r="B3" s="9">
        <v>8.4085365853658534</v>
      </c>
      <c r="C3" s="9">
        <v>3.6707317073170733</v>
      </c>
      <c r="D3" s="9">
        <v>73.900012109767886</v>
      </c>
      <c r="E3" s="9">
        <v>13.085365853658537</v>
      </c>
      <c r="F3" s="9">
        <v>9.1463414634146343</v>
      </c>
      <c r="G3" s="9">
        <v>48.369927100810465</v>
      </c>
      <c r="H3" s="9">
        <v>1.9440338846252572</v>
      </c>
      <c r="I3" s="9">
        <v>161.76440557421964</v>
      </c>
      <c r="J3" s="9">
        <v>8.9869114207899887</v>
      </c>
      <c r="K3" s="9">
        <v>3.14</v>
      </c>
      <c r="L3" s="5">
        <f>33/164</f>
        <v>0.20121951219512196</v>
      </c>
      <c r="M3" s="5">
        <f>9/164</f>
        <v>5.4878048780487805E-2</v>
      </c>
      <c r="N3" s="5">
        <f>537/164</f>
        <v>3.274390243902439</v>
      </c>
    </row>
    <row r="4" spans="1:15">
      <c r="A4" s="15" t="s">
        <v>16</v>
      </c>
      <c r="B4" s="9">
        <v>15.585365853658537</v>
      </c>
      <c r="C4" s="9">
        <v>3.8170731707317072</v>
      </c>
      <c r="D4" s="9">
        <v>88.482227197136424</v>
      </c>
      <c r="E4" s="9">
        <v>14.103658536585366</v>
      </c>
      <c r="F4" s="9">
        <v>9.8353658536585371</v>
      </c>
      <c r="G4" s="9">
        <v>54.143572502807409</v>
      </c>
      <c r="H4" s="9">
        <v>2.148341317844991</v>
      </c>
      <c r="I4" s="9">
        <v>202.06267739826083</v>
      </c>
      <c r="J4" s="9">
        <v>11.2257042999034</v>
      </c>
      <c r="K4" s="9">
        <v>3.1206896551724137</v>
      </c>
      <c r="L4" s="5">
        <f>39/164</f>
        <v>0.23780487804878048</v>
      </c>
      <c r="M4" s="5">
        <f>17/164</f>
        <v>0.10365853658536585</v>
      </c>
      <c r="N4" s="5">
        <f>513/164</f>
        <v>3.1280487804878048</v>
      </c>
    </row>
    <row r="5" spans="1:15">
      <c r="A5" s="15" t="s">
        <v>17</v>
      </c>
      <c r="B5" s="9">
        <v>8.9512195121951219</v>
      </c>
      <c r="C5" s="9">
        <v>3.5731707317073171</v>
      </c>
      <c r="D5" s="9">
        <v>75.245245362904797</v>
      </c>
      <c r="E5" s="9">
        <v>12.615853658536585</v>
      </c>
      <c r="F5" s="9">
        <v>9</v>
      </c>
      <c r="G5" s="9">
        <v>46.334432054632579</v>
      </c>
      <c r="H5" s="9">
        <v>2.039304103441006</v>
      </c>
      <c r="I5" s="9">
        <v>162.84478618428625</v>
      </c>
      <c r="J5" s="9">
        <v>9.0469325657936928</v>
      </c>
      <c r="K5" s="9">
        <v>2.9700598802395208</v>
      </c>
      <c r="L5" s="5">
        <f>34/164</f>
        <v>0.2073170731707317</v>
      </c>
      <c r="M5" s="5">
        <f>9/164</f>
        <v>5.4878048780487805E-2</v>
      </c>
      <c r="N5" s="5">
        <f>522/164</f>
        <v>3.1829268292682928</v>
      </c>
    </row>
    <row r="6" spans="1:15">
      <c r="A6" s="15" t="s">
        <v>18</v>
      </c>
      <c r="B6" s="9">
        <v>8.1768292682926838</v>
      </c>
      <c r="C6" s="9">
        <v>3.3353658536585367</v>
      </c>
      <c r="D6" s="9">
        <v>77.698018655188392</v>
      </c>
      <c r="E6" s="9">
        <v>10.634146341463415</v>
      </c>
      <c r="F6" s="9">
        <v>7.9939024390243905</v>
      </c>
      <c r="G6" s="9">
        <v>37.779025395233226</v>
      </c>
      <c r="H6" s="9">
        <v>1.7679532286640756</v>
      </c>
      <c r="I6" s="9">
        <v>127.97978122347476</v>
      </c>
      <c r="J6" s="9">
        <v>7.1099878457486039</v>
      </c>
      <c r="K6" s="9">
        <v>1.9064327485380117</v>
      </c>
      <c r="L6" s="5">
        <f>11/164</f>
        <v>6.7073170731707321E-2</v>
      </c>
      <c r="M6" s="5">
        <f>8/164</f>
        <v>4.878048780487805E-2</v>
      </c>
      <c r="N6" s="5">
        <f>521/164</f>
        <v>3.1768292682926829</v>
      </c>
    </row>
    <row r="7" spans="1:15">
      <c r="A7" s="15" t="s">
        <v>19</v>
      </c>
      <c r="B7" s="9">
        <v>10.615853658536585</v>
      </c>
      <c r="C7" s="9">
        <v>3.4146341463414633</v>
      </c>
      <c r="D7" s="9">
        <v>81.061010544380736</v>
      </c>
      <c r="E7" s="9">
        <v>11.475609756097562</v>
      </c>
      <c r="F7" s="9">
        <v>8.3231707317073162</v>
      </c>
      <c r="G7" s="9">
        <v>42.162583172753898</v>
      </c>
      <c r="H7" s="9">
        <v>1.8519166864312278</v>
      </c>
      <c r="I7" s="9">
        <v>149.57107560232586</v>
      </c>
      <c r="J7" s="9">
        <v>8.3095042001292221</v>
      </c>
      <c r="K7" s="9">
        <v>2.5029940119760479</v>
      </c>
      <c r="L7" s="5">
        <f>47/164</f>
        <v>0.28658536585365851</v>
      </c>
      <c r="M7" s="5">
        <f>6/164</f>
        <v>3.6585365853658534E-2</v>
      </c>
      <c r="N7" s="5">
        <f>486/164</f>
        <v>2.9634146341463414</v>
      </c>
    </row>
    <row r="8" spans="1:15">
      <c r="A8" s="15" t="s">
        <v>20</v>
      </c>
      <c r="B8" s="9">
        <v>7.2987804878048781</v>
      </c>
      <c r="C8" s="9">
        <v>3.2926829268292681</v>
      </c>
      <c r="D8" s="9">
        <v>78.460344341375219</v>
      </c>
      <c r="E8" s="9">
        <v>11.134146341463415</v>
      </c>
      <c r="F8" s="9">
        <v>8.0670731707317067</v>
      </c>
      <c r="G8" s="9">
        <v>39.895913853172729</v>
      </c>
      <c r="H8" s="9">
        <v>1.7950297057676903</v>
      </c>
      <c r="I8" s="9">
        <v>133.50063781928372</v>
      </c>
      <c r="J8" s="9">
        <v>7.4167021010713192</v>
      </c>
      <c r="K8" s="9">
        <v>2.1736526946107784</v>
      </c>
      <c r="L8" s="5">
        <f>42/164</f>
        <v>0.25609756097560976</v>
      </c>
      <c r="M8" s="5">
        <f>5/164</f>
        <v>3.048780487804878E-2</v>
      </c>
      <c r="N8" s="5">
        <f>522/164</f>
        <v>3.1829268292682928</v>
      </c>
    </row>
    <row r="9" spans="1:15">
      <c r="A9" s="15" t="s">
        <v>21</v>
      </c>
      <c r="B9" s="9">
        <v>6.4146341463414638</v>
      </c>
      <c r="C9" s="9">
        <v>3.2012195121951219</v>
      </c>
      <c r="D9" s="9">
        <v>79.500993258964215</v>
      </c>
      <c r="E9" s="9">
        <v>11.146341463414634</v>
      </c>
      <c r="F9" s="9">
        <v>7.8719512195121952</v>
      </c>
      <c r="G9" s="9">
        <v>40.456486414878476</v>
      </c>
      <c r="H9" s="9">
        <v>1.8599291619826044</v>
      </c>
      <c r="I9" s="9">
        <v>164.96360989144463</v>
      </c>
      <c r="J9" s="9">
        <v>9.1646449939691479</v>
      </c>
      <c r="K9" s="9">
        <v>1.5</v>
      </c>
      <c r="L9" s="5">
        <f>21/164</f>
        <v>0.12804878048780488</v>
      </c>
      <c r="M9" s="5">
        <f>8/164</f>
        <v>4.878048780487805E-2</v>
      </c>
      <c r="N9" s="5">
        <f>527/164</f>
        <v>3.2134146341463414</v>
      </c>
    </row>
    <row r="10" spans="1:15">
      <c r="A10" s="15" t="s">
        <v>36</v>
      </c>
      <c r="B10" s="9">
        <v>10.29</v>
      </c>
      <c r="C10" s="9">
        <v>3.3</v>
      </c>
      <c r="D10" s="9">
        <v>82.25</v>
      </c>
      <c r="E10" s="9">
        <v>10.82</v>
      </c>
      <c r="F10" s="9">
        <v>7.92</v>
      </c>
      <c r="G10" s="9">
        <v>38.54</v>
      </c>
      <c r="H10" s="9">
        <v>1.73</v>
      </c>
      <c r="I10" s="9">
        <v>122.33</v>
      </c>
      <c r="J10" s="9">
        <v>6.8</v>
      </c>
      <c r="K10" s="34">
        <f>VALUE([1]code_llama_simple_prompt_comple!$D$177)</f>
        <v>2.3028571428571429</v>
      </c>
      <c r="L10" s="36">
        <f>33/164</f>
        <v>0.20121951219512196</v>
      </c>
      <c r="M10" s="36">
        <f>15/164</f>
        <v>9.1463414634146339E-2</v>
      </c>
      <c r="N10" s="36">
        <f>504/164</f>
        <v>3.0731707317073171</v>
      </c>
    </row>
    <row r="11" spans="1:15">
      <c r="A11" s="15" t="s">
        <v>37</v>
      </c>
      <c r="B11" s="9">
        <v>7.36</v>
      </c>
      <c r="C11" s="9">
        <v>3.27</v>
      </c>
      <c r="D11" s="9">
        <v>79.38</v>
      </c>
      <c r="E11" s="9">
        <v>11.78</v>
      </c>
      <c r="F11" s="9">
        <v>8.43</v>
      </c>
      <c r="G11" s="9">
        <v>43.52</v>
      </c>
      <c r="H11" s="9">
        <v>1.89</v>
      </c>
      <c r="I11" s="9">
        <v>154.01</v>
      </c>
      <c r="J11" s="9">
        <v>8.56</v>
      </c>
      <c r="K11" s="9">
        <f>VALUE([2]code_llama_instructional_tone_p!$D$174)</f>
        <v>2.3953488372093021</v>
      </c>
      <c r="L11" s="36">
        <f>36/164</f>
        <v>0.21951219512195122</v>
      </c>
      <c r="M11" s="36">
        <f>13/164</f>
        <v>7.926829268292683E-2</v>
      </c>
      <c r="N11" s="36">
        <f>516/164</f>
        <v>3.1463414634146343</v>
      </c>
    </row>
    <row r="12" spans="1:15">
      <c r="A12" s="15" t="s">
        <v>38</v>
      </c>
      <c r="B12" s="9">
        <v>7.83</v>
      </c>
      <c r="C12" s="9">
        <v>3.28</v>
      </c>
      <c r="D12" s="9">
        <v>80.900000000000006</v>
      </c>
      <c r="E12" s="9">
        <v>11.29</v>
      </c>
      <c r="F12" s="9">
        <v>7.84</v>
      </c>
      <c r="G12" s="9">
        <v>41.06</v>
      </c>
      <c r="H12" s="9">
        <v>1.78</v>
      </c>
      <c r="I12" s="9">
        <v>147.24</v>
      </c>
      <c r="J12" s="9">
        <v>8.18</v>
      </c>
      <c r="K12" s="9">
        <f>VALUE([3]code_llama_enhanced_prompt_comp!$D$171)</f>
        <v>2.2721893491124261</v>
      </c>
      <c r="L12" s="36">
        <f>21/164</f>
        <v>0.12804878048780488</v>
      </c>
      <c r="M12" s="36">
        <f>10/164</f>
        <v>6.097560975609756E-2</v>
      </c>
      <c r="N12" s="36">
        <f>496/164</f>
        <v>3.024390243902439</v>
      </c>
    </row>
    <row r="13" spans="1:15" ht="14.4" thickBot="1">
      <c r="A13" s="28"/>
      <c r="B13" s="29"/>
      <c r="C13" s="30"/>
      <c r="D13" s="30"/>
      <c r="E13" s="30"/>
      <c r="F13" s="30"/>
      <c r="G13" s="30"/>
      <c r="H13" s="30"/>
      <c r="I13" s="30"/>
      <c r="J13" s="31"/>
      <c r="K13" s="32"/>
      <c r="L13" s="33"/>
      <c r="M13" s="33"/>
      <c r="N13" s="33"/>
    </row>
    <row r="14" spans="1:1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6"/>
      <c r="L14" s="15"/>
      <c r="M14" s="15"/>
      <c r="N14" s="15"/>
    </row>
    <row r="15" spans="1:15" ht="14.4" thickBo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7"/>
      <c r="L15" s="15"/>
      <c r="M15" s="15"/>
      <c r="N15" s="15"/>
    </row>
    <row r="16" spans="1:15" ht="14.4" thickBot="1"/>
    <row r="17" spans="1:17" ht="14.4" thickBot="1">
      <c r="A17" s="46" t="s">
        <v>22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7">
      <c r="A18" s="3" t="s">
        <v>1</v>
      </c>
      <c r="B18" s="4" t="s">
        <v>2</v>
      </c>
      <c r="C18" s="5" t="s">
        <v>3</v>
      </c>
      <c r="D18" s="5" t="s">
        <v>4</v>
      </c>
      <c r="E18" s="5" t="s">
        <v>5</v>
      </c>
      <c r="F18" s="5" t="s">
        <v>6</v>
      </c>
      <c r="G18" s="5" t="s">
        <v>7</v>
      </c>
      <c r="H18" s="5" t="s">
        <v>8</v>
      </c>
      <c r="I18" s="5" t="s">
        <v>9</v>
      </c>
      <c r="J18" s="6" t="s">
        <v>10</v>
      </c>
      <c r="K18" s="5" t="s">
        <v>11</v>
      </c>
      <c r="L18" s="7" t="s">
        <v>12</v>
      </c>
      <c r="M18" s="7" t="s">
        <v>13</v>
      </c>
      <c r="N18" s="7" t="s">
        <v>14</v>
      </c>
    </row>
    <row r="19" spans="1:17">
      <c r="A19" s="1" t="s">
        <v>15</v>
      </c>
      <c r="B19" s="8">
        <f>B3/SQRT(SUMSQ(B$3:B$12))</f>
        <v>0.28200205865594191</v>
      </c>
      <c r="C19" s="8">
        <f t="shared" ref="C19:M19" si="0">C3/SQRT(SUMSQ(C$3:C$12))</f>
        <v>0.33931993237023339</v>
      </c>
      <c r="D19" s="8">
        <f t="shared" si="0"/>
        <v>0.29292319017376378</v>
      </c>
      <c r="E19" s="8">
        <f t="shared" si="0"/>
        <v>0.34902506843257552</v>
      </c>
      <c r="F19" s="8">
        <f t="shared" si="0"/>
        <v>0.341607394970603</v>
      </c>
      <c r="G19" s="8">
        <f t="shared" si="0"/>
        <v>0.35168456515032948</v>
      </c>
      <c r="H19" s="8">
        <f t="shared" si="0"/>
        <v>0.32617135992708857</v>
      </c>
      <c r="I19" s="8">
        <f>I3/SQRT(SUMSQ(I$3:I$12))</f>
        <v>0.33181863203816137</v>
      </c>
      <c r="J19" s="8">
        <f t="shared" si="0"/>
        <v>0.33179162138208385</v>
      </c>
      <c r="K19" s="8">
        <f t="shared" si="0"/>
        <v>0.40040637278515223</v>
      </c>
      <c r="L19" s="8">
        <f t="shared" si="0"/>
        <v>0.31284188631712467</v>
      </c>
      <c r="M19" s="8">
        <f t="shared" si="0"/>
        <v>0.2672612419124244</v>
      </c>
      <c r="N19" s="8">
        <f>N3/SQRT(SUMSQ(N$3:N$12))</f>
        <v>0.32999106056736954</v>
      </c>
    </row>
    <row r="20" spans="1:17">
      <c r="A20" s="1" t="s">
        <v>16</v>
      </c>
      <c r="B20" s="8">
        <f>B4/SQRT(SUMSQ(B$3:B$12))</f>
        <v>0.52269562141014325</v>
      </c>
      <c r="C20" s="8">
        <f t="shared" ref="C20:N20" si="1">C4/SQRT(SUMSQ(C$3:C$12))</f>
        <v>0.35284763731522606</v>
      </c>
      <c r="D20" s="8">
        <f t="shared" si="1"/>
        <v>0.35072384326225481</v>
      </c>
      <c r="E20" s="8">
        <f t="shared" si="1"/>
        <v>0.37618591951749636</v>
      </c>
      <c r="F20" s="8">
        <f t="shared" si="1"/>
        <v>0.36734181872505511</v>
      </c>
      <c r="G20" s="8">
        <f t="shared" si="1"/>
        <v>0.39366316826671649</v>
      </c>
      <c r="H20" s="8">
        <f t="shared" si="1"/>
        <v>0.36045020345112477</v>
      </c>
      <c r="I20" s="8">
        <f t="shared" si="1"/>
        <v>0.41448031142732839</v>
      </c>
      <c r="J20" s="8">
        <f t="shared" si="1"/>
        <v>0.41444657195623846</v>
      </c>
      <c r="K20" s="8">
        <f t="shared" si="1"/>
        <v>0.39794395713876868</v>
      </c>
      <c r="L20" s="8">
        <f t="shared" si="1"/>
        <v>0.36972222928387455</v>
      </c>
      <c r="M20" s="8">
        <f t="shared" si="1"/>
        <v>0.50482679027902388</v>
      </c>
      <c r="N20" s="8">
        <f t="shared" si="1"/>
        <v>0.31524285674312952</v>
      </c>
    </row>
    <row r="21" spans="1:17">
      <c r="A21" s="1" t="s">
        <v>17</v>
      </c>
      <c r="B21" s="8">
        <f t="shared" ref="B21:N25" si="2">B5/SQRT(SUMSQ(B$3:B$12))</f>
        <v>0.30020233655324347</v>
      </c>
      <c r="C21" s="8">
        <f t="shared" si="2"/>
        <v>0.33030146240690494</v>
      </c>
      <c r="D21" s="8">
        <f t="shared" si="2"/>
        <v>0.29825539520035277</v>
      </c>
      <c r="E21" s="8">
        <f t="shared" si="2"/>
        <v>0.33650180176467787</v>
      </c>
      <c r="F21" s="8">
        <f t="shared" si="2"/>
        <v>0.33614167665107331</v>
      </c>
      <c r="G21" s="8">
        <f t="shared" si="2"/>
        <v>0.33688503508924894</v>
      </c>
      <c r="H21" s="8">
        <f t="shared" si="2"/>
        <v>0.34215586363221517</v>
      </c>
      <c r="I21" s="8">
        <f t="shared" si="2"/>
        <v>0.3340347587246244</v>
      </c>
      <c r="J21" s="8">
        <f t="shared" si="2"/>
        <v>0.3340075676716977</v>
      </c>
      <c r="K21" s="8">
        <f t="shared" si="2"/>
        <v>0.37873595656095865</v>
      </c>
      <c r="L21" s="8">
        <f t="shared" si="2"/>
        <v>0.32232194347824961</v>
      </c>
      <c r="M21" s="8">
        <f t="shared" si="2"/>
        <v>0.2672612419124244</v>
      </c>
      <c r="N21" s="8">
        <f t="shared" si="2"/>
        <v>0.32077343317721957</v>
      </c>
    </row>
    <row r="22" spans="1:17">
      <c r="A22" s="1" t="s">
        <v>18</v>
      </c>
      <c r="B22" s="8">
        <f t="shared" si="2"/>
        <v>0.27423115348630761</v>
      </c>
      <c r="C22" s="8">
        <f t="shared" si="2"/>
        <v>0.30831894187129183</v>
      </c>
      <c r="D22" s="8">
        <f t="shared" si="2"/>
        <v>0.30797764228850649</v>
      </c>
      <c r="E22" s="8">
        <f t="shared" si="2"/>
        <v>0.28364385803653858</v>
      </c>
      <c r="F22" s="8">
        <f t="shared" si="2"/>
        <v>0.29856486320430703</v>
      </c>
      <c r="G22" s="8">
        <f t="shared" si="2"/>
        <v>0.27468100355485614</v>
      </c>
      <c r="H22" s="8">
        <f t="shared" si="2"/>
        <v>0.2966284247622607</v>
      </c>
      <c r="I22" s="8">
        <f t="shared" si="2"/>
        <v>0.26251804767169606</v>
      </c>
      <c r="J22" s="8">
        <f t="shared" si="2"/>
        <v>0.26249667821255429</v>
      </c>
      <c r="K22" s="8">
        <f t="shared" si="2"/>
        <v>0.24310440184743107</v>
      </c>
      <c r="L22" s="8">
        <f t="shared" si="2"/>
        <v>0.10428062877237489</v>
      </c>
      <c r="M22" s="8">
        <f t="shared" si="2"/>
        <v>0.23756554836659949</v>
      </c>
      <c r="N22" s="8">
        <f t="shared" si="2"/>
        <v>0.32015892468454288</v>
      </c>
    </row>
    <row r="23" spans="1:17">
      <c r="A23" s="1" t="s">
        <v>19</v>
      </c>
      <c r="B23" s="8">
        <f t="shared" si="2"/>
        <v>0.35603015527193249</v>
      </c>
      <c r="C23" s="8">
        <f t="shared" si="2"/>
        <v>0.31564644871649616</v>
      </c>
      <c r="D23" s="8">
        <f t="shared" si="2"/>
        <v>0.32130779318547109</v>
      </c>
      <c r="E23" s="8">
        <f t="shared" si="2"/>
        <v>0.30608815414264079</v>
      </c>
      <c r="F23" s="8">
        <f t="shared" si="2"/>
        <v>0.31086272942324866</v>
      </c>
      <c r="G23" s="8">
        <f t="shared" si="2"/>
        <v>0.30655265817996458</v>
      </c>
      <c r="H23" s="8">
        <f t="shared" si="2"/>
        <v>0.31071587221916136</v>
      </c>
      <c r="I23" s="8">
        <f t="shared" si="2"/>
        <v>0.30680710952861051</v>
      </c>
      <c r="J23" s="8">
        <f t="shared" si="2"/>
        <v>0.30678213485715605</v>
      </c>
      <c r="K23" s="8">
        <f t="shared" si="2"/>
        <v>0.31917667306951758</v>
      </c>
      <c r="L23" s="8">
        <f t="shared" si="2"/>
        <v>0.44556268657287446</v>
      </c>
      <c r="M23" s="8">
        <f t="shared" si="2"/>
        <v>0.17817416127494959</v>
      </c>
      <c r="N23" s="8">
        <f t="shared" si="2"/>
        <v>0.29865112744085959</v>
      </c>
    </row>
    <row r="24" spans="1:17">
      <c r="A24" s="1" t="s">
        <v>20</v>
      </c>
      <c r="B24" s="8">
        <f t="shared" si="2"/>
        <v>0.2447835128434826</v>
      </c>
      <c r="C24" s="8">
        <f t="shared" si="2"/>
        <v>0.30437336126233561</v>
      </c>
      <c r="D24" s="8">
        <f t="shared" si="2"/>
        <v>0.31099933153556053</v>
      </c>
      <c r="E24" s="8">
        <f t="shared" si="2"/>
        <v>0.29698032383871525</v>
      </c>
      <c r="F24" s="8">
        <f t="shared" si="2"/>
        <v>0.30129772236407182</v>
      </c>
      <c r="G24" s="8">
        <f t="shared" si="2"/>
        <v>0.2900723229432563</v>
      </c>
      <c r="H24" s="8">
        <f t="shared" si="2"/>
        <v>0.30117133495984871</v>
      </c>
      <c r="I24" s="8">
        <f t="shared" si="2"/>
        <v>0.27384268411935808</v>
      </c>
      <c r="J24" s="8">
        <f t="shared" si="2"/>
        <v>0.27382039281366877</v>
      </c>
      <c r="K24" s="8">
        <f t="shared" si="2"/>
        <v>0.27717974240247578</v>
      </c>
      <c r="L24" s="8">
        <f t="shared" si="2"/>
        <v>0.39816240076724957</v>
      </c>
      <c r="M24" s="8">
        <f t="shared" si="2"/>
        <v>0.14847846772912468</v>
      </c>
      <c r="N24" s="8">
        <f t="shared" si="2"/>
        <v>0.32077343317721957</v>
      </c>
    </row>
    <row r="25" spans="1:17">
      <c r="A25" s="10" t="s">
        <v>21</v>
      </c>
      <c r="B25" s="8">
        <f>B9/SQRT(SUMSQ(B$3:B$12))</f>
        <v>0.21513137469619356</v>
      </c>
      <c r="C25" s="8">
        <f>C9/SQRT(SUMSQ(C$3:C$12))</f>
        <v>0.29591854567171516</v>
      </c>
      <c r="D25" s="8">
        <f t="shared" si="2"/>
        <v>0.31512423208819185</v>
      </c>
      <c r="E25" s="8">
        <f t="shared" si="2"/>
        <v>0.29730560349242685</v>
      </c>
      <c r="F25" s="8">
        <f t="shared" si="2"/>
        <v>0.29401009793803229</v>
      </c>
      <c r="G25" s="8">
        <f t="shared" si="2"/>
        <v>0.2941480933529948</v>
      </c>
      <c r="H25" s="8">
        <f t="shared" si="2"/>
        <v>0.31206021095093134</v>
      </c>
      <c r="I25" s="8">
        <f t="shared" si="2"/>
        <v>0.33838098793088045</v>
      </c>
      <c r="J25" s="8">
        <f t="shared" si="2"/>
        <v>0.33835344308678256</v>
      </c>
      <c r="K25" s="8">
        <f t="shared" si="2"/>
        <v>0.19127692967443577</v>
      </c>
      <c r="L25" s="8">
        <f t="shared" si="2"/>
        <v>0.19908120038362478</v>
      </c>
      <c r="M25" s="8">
        <f t="shared" si="2"/>
        <v>0.23756554836659949</v>
      </c>
      <c r="N25" s="8">
        <f t="shared" si="2"/>
        <v>0.32384597564060286</v>
      </c>
    </row>
    <row r="26" spans="1:17">
      <c r="A26" s="15" t="s">
        <v>36</v>
      </c>
      <c r="B26" s="8">
        <f>B10/SQRT(SUMSQ(B$3:B$12))</f>
        <v>0.34510180863337298</v>
      </c>
      <c r="C26" s="8">
        <f>C10/SQRT(SUMSQ(C$3:C$12))</f>
        <v>0.30504974650958522</v>
      </c>
      <c r="D26" s="8">
        <f t="shared" ref="D26:N26" si="3">D10/SQRT(SUMSQ(D$3:D$12))</f>
        <v>0.32602068259482109</v>
      </c>
      <c r="E26" s="8">
        <f t="shared" si="3"/>
        <v>0.28860111995910376</v>
      </c>
      <c r="F26" s="8">
        <f t="shared" si="3"/>
        <v>0.29580467545294453</v>
      </c>
      <c r="G26" s="8">
        <f t="shared" si="3"/>
        <v>0.28021384263501598</v>
      </c>
      <c r="H26" s="8">
        <f t="shared" si="3"/>
        <v>0.29026060560803257</v>
      </c>
      <c r="I26" s="8">
        <f t="shared" si="3"/>
        <v>0.25092895506363061</v>
      </c>
      <c r="J26" s="8">
        <f t="shared" si="3"/>
        <v>0.2510521045282364</v>
      </c>
      <c r="K26" s="8">
        <f t="shared" si="3"/>
        <v>0.29365562917637189</v>
      </c>
      <c r="L26" s="8">
        <f t="shared" si="3"/>
        <v>0.31284188631712467</v>
      </c>
      <c r="M26" s="8">
        <f t="shared" si="3"/>
        <v>0.44543540318737401</v>
      </c>
      <c r="N26" s="8">
        <f t="shared" si="3"/>
        <v>0.30971228030903958</v>
      </c>
    </row>
    <row r="27" spans="1:17">
      <c r="A27" s="15" t="s">
        <v>37</v>
      </c>
      <c r="B27" s="8">
        <f>B11/SQRT(SUMSQ(B$3:B$12))</f>
        <v>0.24683666778830179</v>
      </c>
      <c r="C27" s="8">
        <f t="shared" ref="C27:N27" si="4">C11/SQRT(SUMSQ(C$3:C$12))</f>
        <v>0.30227656699586175</v>
      </c>
      <c r="D27" s="8">
        <f t="shared" si="4"/>
        <v>0.31464464175534218</v>
      </c>
      <c r="E27" s="8">
        <f t="shared" si="4"/>
        <v>0.31420713429928299</v>
      </c>
      <c r="F27" s="8">
        <f t="shared" si="4"/>
        <v>0.31485270379650532</v>
      </c>
      <c r="G27" s="8">
        <f t="shared" si="4"/>
        <v>0.31642206620331853</v>
      </c>
      <c r="H27" s="8">
        <f t="shared" si="4"/>
        <v>0.31710551710935347</v>
      </c>
      <c r="I27" s="8">
        <f t="shared" si="4"/>
        <v>0.31591243660058654</v>
      </c>
      <c r="J27" s="8">
        <f t="shared" si="4"/>
        <v>0.31603029628848589</v>
      </c>
      <c r="K27" s="8">
        <f t="shared" si="4"/>
        <v>0.30544998072041679</v>
      </c>
      <c r="L27" s="8">
        <f t="shared" si="4"/>
        <v>0.34128205780049964</v>
      </c>
      <c r="M27" s="8">
        <f t="shared" si="4"/>
        <v>0.38604401609572414</v>
      </c>
      <c r="N27" s="8">
        <f t="shared" si="4"/>
        <v>0.31708638222115959</v>
      </c>
    </row>
    <row r="28" spans="1:17">
      <c r="A28" s="15" t="s">
        <v>38</v>
      </c>
      <c r="B28" s="8">
        <f>B12/SQRT(SUMSQ(B$3:B$12))</f>
        <v>0.26259933543239172</v>
      </c>
      <c r="C28" s="8">
        <f>C12/SQRT(SUMSQ(C$3:C$12))</f>
        <v>0.30320096016710291</v>
      </c>
      <c r="D28" s="8">
        <f t="shared" ref="D28:N28" si="5">D12/SQRT(SUMSQ(D$3:D$12))</f>
        <v>0.32066958324524042</v>
      </c>
      <c r="E28" s="8">
        <f t="shared" si="5"/>
        <v>0.3011373978131498</v>
      </c>
      <c r="F28" s="8">
        <f t="shared" si="5"/>
        <v>0.2928167494382683</v>
      </c>
      <c r="G28" s="8">
        <f t="shared" si="5"/>
        <v>0.29853607624789197</v>
      </c>
      <c r="H28" s="8">
        <f t="shared" si="5"/>
        <v>0.29864964045219539</v>
      </c>
      <c r="I28" s="8">
        <f t="shared" si="5"/>
        <v>0.30202549941607926</v>
      </c>
      <c r="J28" s="8">
        <f t="shared" si="5"/>
        <v>0.30200091397661383</v>
      </c>
      <c r="K28" s="8">
        <f t="shared" si="5"/>
        <v>0.28974493489145303</v>
      </c>
      <c r="L28" s="8">
        <f t="shared" si="5"/>
        <v>0.19908120038362478</v>
      </c>
      <c r="M28" s="8">
        <f t="shared" si="5"/>
        <v>0.29695693545824936</v>
      </c>
      <c r="N28" s="8">
        <f t="shared" si="5"/>
        <v>0.30479621236762622</v>
      </c>
    </row>
    <row r="30" spans="1:17">
      <c r="A30" s="15"/>
      <c r="B30" s="15" t="s">
        <v>23</v>
      </c>
      <c r="C30" s="15" t="s">
        <v>23</v>
      </c>
      <c r="D30" s="15" t="s">
        <v>24</v>
      </c>
      <c r="E30" s="15" t="s">
        <v>23</v>
      </c>
      <c r="F30" s="15" t="s">
        <v>23</v>
      </c>
      <c r="G30" s="15" t="s">
        <v>23</v>
      </c>
      <c r="H30" s="15" t="s">
        <v>23</v>
      </c>
      <c r="I30" s="15" t="s">
        <v>23</v>
      </c>
      <c r="J30" s="15" t="s">
        <v>23</v>
      </c>
      <c r="K30" s="15" t="s">
        <v>23</v>
      </c>
      <c r="L30" s="15" t="s">
        <v>25</v>
      </c>
      <c r="M30" s="15" t="s">
        <v>25</v>
      </c>
      <c r="N30" s="15" t="s">
        <v>25</v>
      </c>
    </row>
    <row r="31" spans="1:17">
      <c r="A31" s="15" t="s">
        <v>26</v>
      </c>
      <c r="B31" s="22">
        <f>MIN(B19:B28)</f>
        <v>0.21513137469619356</v>
      </c>
      <c r="C31" s="22">
        <f>MIN(C19:C28)</f>
        <v>0.29591854567171516</v>
      </c>
      <c r="D31" s="22">
        <f>MAX(D19:D28)</f>
        <v>0.35072384326225481</v>
      </c>
      <c r="E31" s="22">
        <f t="shared" ref="E31:N31" si="6">MIN(E19:E28)</f>
        <v>0.28364385803653858</v>
      </c>
      <c r="F31" s="22">
        <f t="shared" si="6"/>
        <v>0.2928167494382683</v>
      </c>
      <c r="G31" s="22">
        <f t="shared" si="6"/>
        <v>0.27468100355485614</v>
      </c>
      <c r="H31" s="22">
        <f t="shared" si="6"/>
        <v>0.29026060560803257</v>
      </c>
      <c r="I31" s="22">
        <f t="shared" si="6"/>
        <v>0.25092895506363061</v>
      </c>
      <c r="J31" s="22">
        <f t="shared" si="6"/>
        <v>0.2510521045282364</v>
      </c>
      <c r="K31" s="22">
        <f t="shared" si="6"/>
        <v>0.19127692967443577</v>
      </c>
      <c r="L31" s="22">
        <f t="shared" si="6"/>
        <v>0.10428062877237489</v>
      </c>
      <c r="M31" s="22">
        <f t="shared" si="6"/>
        <v>0.14847846772912468</v>
      </c>
      <c r="N31" s="22">
        <f t="shared" si="6"/>
        <v>0.29865112744085959</v>
      </c>
    </row>
    <row r="32" spans="1:17">
      <c r="A32" s="15" t="s">
        <v>27</v>
      </c>
      <c r="B32" s="22">
        <f>MAX(B19:B28)</f>
        <v>0.52269562141014325</v>
      </c>
      <c r="C32" s="22">
        <f>MAX(C19:C28)</f>
        <v>0.35284763731522606</v>
      </c>
      <c r="D32" s="22">
        <f>MIN(D19:D28)</f>
        <v>0.29292319017376378</v>
      </c>
      <c r="E32" s="22">
        <f t="shared" ref="E32:N32" si="7">MAX(E19:E28)</f>
        <v>0.37618591951749636</v>
      </c>
      <c r="F32" s="22">
        <f t="shared" si="7"/>
        <v>0.36734181872505511</v>
      </c>
      <c r="G32" s="22">
        <f t="shared" si="7"/>
        <v>0.39366316826671649</v>
      </c>
      <c r="H32" s="22">
        <f t="shared" si="7"/>
        <v>0.36045020345112477</v>
      </c>
      <c r="I32" s="22">
        <f t="shared" si="7"/>
        <v>0.41448031142732839</v>
      </c>
      <c r="J32" s="22">
        <f t="shared" si="7"/>
        <v>0.41444657195623846</v>
      </c>
      <c r="K32" s="22">
        <f t="shared" si="7"/>
        <v>0.40040637278515223</v>
      </c>
      <c r="L32" s="22">
        <f t="shared" si="7"/>
        <v>0.44556268657287446</v>
      </c>
      <c r="M32" s="22">
        <f t="shared" si="7"/>
        <v>0.50482679027902388</v>
      </c>
      <c r="N32" s="22">
        <f t="shared" si="7"/>
        <v>0.32999106056736954</v>
      </c>
    </row>
    <row r="34" spans="1:4">
      <c r="A34" s="21" t="s">
        <v>1</v>
      </c>
      <c r="B34" s="21" t="s">
        <v>28</v>
      </c>
      <c r="C34" s="21" t="s">
        <v>29</v>
      </c>
      <c r="D34" s="21" t="s">
        <v>30</v>
      </c>
    </row>
    <row r="35" spans="1:4">
      <c r="A35" s="15" t="s">
        <v>15</v>
      </c>
      <c r="B35" s="15" cm="1">
        <f t="array" ref="B35">SQRT(SUM((B19:N19 - B$31:N$31)^2))</f>
        <v>0.37276952017950254</v>
      </c>
      <c r="C35" s="15" cm="1">
        <f t="array" ref="C35">SQRT(SUM((B19:N19 - B$32:N$32)^2))</f>
        <v>0.38751851474229204</v>
      </c>
      <c r="D35" s="15">
        <f>C35/(B35+C35)</f>
        <v>0.50969960980926565</v>
      </c>
    </row>
    <row r="36" spans="1:4">
      <c r="A36" s="15" t="s">
        <v>16</v>
      </c>
      <c r="B36" s="15" cm="1">
        <f t="array" ref="B36">SQRT(SUM((B20:N20 - B$31:N$31)^2))</f>
        <v>0.65185485787498587</v>
      </c>
      <c r="C36" s="15" cm="1">
        <f t="array" ref="C36">SQRT(SUM((B20:N20 - B$32:N$32)^2))</f>
        <v>9.6520792921098567E-2</v>
      </c>
      <c r="D36" s="15">
        <f t="shared" ref="D36:D44" si="8">C36/(B36+C36)</f>
        <v>0.1289737217110479</v>
      </c>
    </row>
    <row r="37" spans="1:4">
      <c r="A37" s="15" t="s">
        <v>17</v>
      </c>
      <c r="B37" s="15" cm="1">
        <f t="array" ref="B37">SQRT(SUM((B21:N21 - B$31:N$31)^2))</f>
        <v>0.36534297781042041</v>
      </c>
      <c r="C37" s="15" cm="1">
        <f t="array" ref="C37">SQRT(SUM((B21:N21 - B$32:N$32)^2))</f>
        <v>0.3758575581877312</v>
      </c>
      <c r="D37" s="15">
        <f t="shared" si="8"/>
        <v>0.5070929390000718</v>
      </c>
    </row>
    <row r="38" spans="1:4">
      <c r="A38" s="15" t="s">
        <v>18</v>
      </c>
      <c r="B38" s="15" cm="1">
        <f t="array" ref="B38">SQRT(SUM((B22:N22 - B$31:N$31)^2))</f>
        <v>0.129991718175441</v>
      </c>
      <c r="C38" s="15" cm="1">
        <f t="array" ref="C38">SQRT(SUM((B22:N22 - B$32:N$32)^2))</f>
        <v>0.59530849645536366</v>
      </c>
      <c r="D38" s="15">
        <f t="shared" si="8"/>
        <v>0.82077529338439548</v>
      </c>
    </row>
    <row r="39" spans="1:4">
      <c r="A39" s="15" t="s">
        <v>19</v>
      </c>
      <c r="B39" s="15" cm="1">
        <f t="array" ref="B39">SQRT(SUM((B23:N23 - B$31:N$31)^2))</f>
        <v>0.40411930247081607</v>
      </c>
      <c r="C39" s="15" cm="1">
        <f t="array" ref="C39">SQRT(SUM((B23:N23 - B$32:N$32)^2))</f>
        <v>0.43081302860574694</v>
      </c>
      <c r="D39" s="15">
        <f t="shared" si="8"/>
        <v>0.51598556262668127</v>
      </c>
    </row>
    <row r="40" spans="1:4">
      <c r="A40" s="15" t="s">
        <v>20</v>
      </c>
      <c r="B40" s="15" cm="1">
        <f t="array" ref="B40">SQRT(SUM((B24:N24 - B$31:N$31)^2))</f>
        <v>0.31370864583540542</v>
      </c>
      <c r="C40" s="15" cm="1">
        <f t="array" ref="C40">SQRT(SUM((B24:N24 - B$32:N$32)^2))</f>
        <v>0.537445238691872</v>
      </c>
      <c r="D40" s="15">
        <f t="shared" si="8"/>
        <v>0.63143134098525999</v>
      </c>
    </row>
    <row r="41" spans="1:4">
      <c r="A41" s="15" t="s">
        <v>21</v>
      </c>
      <c r="B41" s="15" cm="1">
        <f t="array" ref="B41">SQRT(SUM((B25:N25 - B$31:N$31)^2))</f>
        <v>0.18744974932089661</v>
      </c>
      <c r="C41" s="15" cm="1">
        <f t="array" ref="C41">SQRT(SUM((B25:N25 - B$32:N$32)^2))</f>
        <v>0.55651586899042049</v>
      </c>
      <c r="D41" s="15">
        <f t="shared" si="8"/>
        <v>0.74803976863019883</v>
      </c>
    </row>
    <row r="42" spans="1:4">
      <c r="A42" s="15" t="s">
        <v>36</v>
      </c>
      <c r="B42" s="15" cm="1">
        <f t="array" ref="B42">SQRT(SUM((B26:N26 - B$31:N$31)^2))</f>
        <v>0.39991876676311355</v>
      </c>
      <c r="C42" s="15" cm="1">
        <f t="array" ref="C42">SQRT(SUM((B26:N26 - B$32:N$32)^2))</f>
        <v>0.38974546802365395</v>
      </c>
      <c r="D42" s="15">
        <f t="shared" si="8"/>
        <v>0.49355846555326982</v>
      </c>
    </row>
    <row r="43" spans="1:4">
      <c r="A43" s="15" t="s">
        <v>37</v>
      </c>
      <c r="B43" s="15" cm="1">
        <f t="array" ref="B43">SQRT(SUM((B27:N27 - B$31:N$31)^2))</f>
        <v>0.37504326572366786</v>
      </c>
      <c r="C43" s="15" cm="1">
        <f t="array" ref="C43">SQRT(SUM((B27:N27 - B$32:N$32)^2))</f>
        <v>0.38358477153260628</v>
      </c>
      <c r="D43" s="15">
        <f t="shared" si="8"/>
        <v>0.50562957430352196</v>
      </c>
    </row>
    <row r="44" spans="1:4">
      <c r="A44" s="15" t="s">
        <v>38</v>
      </c>
      <c r="B44" s="15" cm="1">
        <f t="array" ref="B44">SQRT(SUM((B28:N28 - B$31:N$31)^2))</f>
        <v>0.22389353639929324</v>
      </c>
      <c r="C44" s="15" cm="1">
        <f t="array" ref="C44">SQRT(SUM((B28:N28 - B$32:N$32)^2))</f>
        <v>0.48690175310593642</v>
      </c>
      <c r="D44" s="15">
        <f t="shared" si="8"/>
        <v>0.68500981969767838</v>
      </c>
    </row>
    <row r="46" spans="1:4" ht="14.4" thickBot="1">
      <c r="A46" s="21" t="s">
        <v>31</v>
      </c>
      <c r="B46" s="21" t="s">
        <v>28</v>
      </c>
      <c r="C46" s="21" t="s">
        <v>29</v>
      </c>
      <c r="D46" s="21" t="s">
        <v>30</v>
      </c>
    </row>
    <row r="47" spans="1:4" ht="14.4" thickBot="1">
      <c r="A47" s="15" t="s">
        <v>18</v>
      </c>
      <c r="B47" s="37">
        <v>0.13</v>
      </c>
      <c r="C47" s="40">
        <v>0.6</v>
      </c>
      <c r="D47" s="37">
        <v>0.82</v>
      </c>
    </row>
    <row r="48" spans="1:4" ht="14.4" thickBot="1">
      <c r="A48" s="15" t="s">
        <v>21</v>
      </c>
      <c r="B48" s="38">
        <v>0.19</v>
      </c>
      <c r="C48" s="38">
        <v>0.56000000000000005</v>
      </c>
      <c r="D48" s="38">
        <v>0.75</v>
      </c>
    </row>
    <row r="49" spans="1:4" ht="14.4" thickBot="1">
      <c r="A49" s="15" t="s">
        <v>38</v>
      </c>
      <c r="B49" s="38">
        <v>0.22</v>
      </c>
      <c r="C49" s="38">
        <v>0.49</v>
      </c>
      <c r="D49" s="38">
        <v>0.69</v>
      </c>
    </row>
    <row r="50" spans="1:4" ht="14.4" thickBot="1">
      <c r="A50" s="15" t="s">
        <v>20</v>
      </c>
      <c r="B50" s="38">
        <v>0.31</v>
      </c>
      <c r="C50" s="38">
        <v>0.54</v>
      </c>
      <c r="D50" s="38">
        <v>0.63</v>
      </c>
    </row>
    <row r="51" spans="1:4" ht="14.4" thickBot="1">
      <c r="A51" s="15" t="s">
        <v>19</v>
      </c>
      <c r="B51" s="39">
        <v>0.4</v>
      </c>
      <c r="C51" s="38">
        <v>0.43</v>
      </c>
      <c r="D51" s="38">
        <v>0.52</v>
      </c>
    </row>
    <row r="52" spans="1:4" ht="14.4" thickBot="1">
      <c r="A52" s="15" t="s">
        <v>15</v>
      </c>
      <c r="B52" s="38">
        <v>0.37</v>
      </c>
      <c r="C52" s="38">
        <v>0.39</v>
      </c>
      <c r="D52" s="38">
        <v>0.51</v>
      </c>
    </row>
    <row r="53" spans="1:4" ht="14.4" thickBot="1">
      <c r="A53" s="15" t="s">
        <v>17</v>
      </c>
      <c r="B53" s="38">
        <v>0.37</v>
      </c>
      <c r="C53" s="38">
        <v>0.38</v>
      </c>
      <c r="D53" s="38">
        <v>0.51</v>
      </c>
    </row>
    <row r="54" spans="1:4" ht="14.4" thickBot="1">
      <c r="A54" s="15" t="s">
        <v>37</v>
      </c>
      <c r="B54" s="38">
        <v>0.38</v>
      </c>
      <c r="C54" s="38">
        <v>0.38</v>
      </c>
      <c r="D54" s="38">
        <v>0.51</v>
      </c>
    </row>
    <row r="55" spans="1:4" ht="14.4" thickBot="1">
      <c r="A55" s="15" t="s">
        <v>36</v>
      </c>
      <c r="B55" s="39">
        <v>0.4</v>
      </c>
      <c r="C55" s="38">
        <v>0.39</v>
      </c>
      <c r="D55" s="38">
        <v>0.49</v>
      </c>
    </row>
    <row r="56" spans="1:4" ht="14.4" thickBot="1">
      <c r="A56" s="15" t="s">
        <v>16</v>
      </c>
      <c r="B56" s="38">
        <v>0.65</v>
      </c>
      <c r="C56" s="39">
        <v>0.1</v>
      </c>
      <c r="D56" s="38">
        <v>0.13</v>
      </c>
    </row>
  </sheetData>
  <sortState ref="A47:D56">
    <sortCondition descending="1" ref="D47:D56"/>
  </sortState>
  <mergeCells count="2">
    <mergeCell ref="B1:O1"/>
    <mergeCell ref="A17:Q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topLeftCell="A3" zoomScale="70" zoomScaleNormal="70" workbookViewId="0">
      <selection activeCell="M21" sqref="M21"/>
    </sheetView>
  </sheetViews>
  <sheetFormatPr defaultRowHeight="13.8"/>
  <cols>
    <col min="1" max="1" width="33.19921875" style="2" bestFit="1" customWidth="1"/>
    <col min="2" max="2" width="8.8984375" style="2"/>
    <col min="3" max="4" width="16" style="2" bestFit="1" customWidth="1"/>
    <col min="5" max="5" width="12" style="2" bestFit="1" customWidth="1"/>
    <col min="6" max="6" width="18.19921875" style="2" bestFit="1" customWidth="1"/>
    <col min="11" max="11" width="8.296875" bestFit="1" customWidth="1"/>
    <col min="12" max="12" width="33.19921875" bestFit="1" customWidth="1"/>
    <col min="19" max="19" width="11.19921875" bestFit="1" customWidth="1"/>
    <col min="21" max="21" width="10.8984375" style="2" bestFit="1" customWidth="1"/>
    <col min="22" max="22" width="8.8984375" style="2"/>
  </cols>
  <sheetData>
    <row r="1" spans="1:6">
      <c r="A1" s="1"/>
      <c r="B1" s="23" t="s">
        <v>0</v>
      </c>
      <c r="C1" s="24"/>
      <c r="D1" s="24"/>
      <c r="E1" s="24"/>
      <c r="F1" s="24"/>
    </row>
    <row r="2" spans="1:6">
      <c r="A2" s="3" t="s">
        <v>1</v>
      </c>
      <c r="B2" s="25" t="s">
        <v>32</v>
      </c>
      <c r="C2" s="26" t="s">
        <v>33</v>
      </c>
      <c r="D2" s="25" t="s">
        <v>34</v>
      </c>
      <c r="E2" s="27" t="s">
        <v>35</v>
      </c>
      <c r="F2" s="27" t="s">
        <v>13</v>
      </c>
    </row>
    <row r="3" spans="1:6">
      <c r="A3" s="1" t="s">
        <v>15</v>
      </c>
      <c r="B3" s="9">
        <v>1.612330903360347E-2</v>
      </c>
      <c r="C3" s="18">
        <f>164/164</f>
        <v>1</v>
      </c>
      <c r="D3" s="5">
        <f>3/164</f>
        <v>1.8292682926829267E-2</v>
      </c>
      <c r="E3" s="5">
        <f>0/164</f>
        <v>0</v>
      </c>
      <c r="F3" s="5">
        <f>9/164</f>
        <v>5.4878048780487805E-2</v>
      </c>
    </row>
    <row r="4" spans="1:6">
      <c r="A4" s="1" t="s">
        <v>16</v>
      </c>
      <c r="B4" s="9">
        <v>1.8047857500935804E-2</v>
      </c>
      <c r="C4" s="18">
        <f>117/164</f>
        <v>0.71341463414634143</v>
      </c>
      <c r="D4" s="5">
        <f>1/164</f>
        <v>6.0975609756097563E-3</v>
      </c>
      <c r="E4" s="5">
        <f>8/164</f>
        <v>4.878048780487805E-2</v>
      </c>
      <c r="F4" s="5">
        <f>17/164</f>
        <v>0.10365853658536585</v>
      </c>
    </row>
    <row r="5" spans="1:6">
      <c r="A5" s="1" t="s">
        <v>17</v>
      </c>
      <c r="B5" s="9">
        <v>1.5444810684877517E-2</v>
      </c>
      <c r="C5" s="18">
        <f>107/164</f>
        <v>0.65243902439024393</v>
      </c>
      <c r="D5" s="5">
        <f>1/164</f>
        <v>6.0975609756097563E-3</v>
      </c>
      <c r="E5" s="5">
        <f>7/164</f>
        <v>4.2682926829268296E-2</v>
      </c>
      <c r="F5" s="5">
        <f>9/164</f>
        <v>5.4878048780487805E-2</v>
      </c>
    </row>
    <row r="6" spans="1:6">
      <c r="A6" s="1" t="s">
        <v>39</v>
      </c>
      <c r="B6" s="9">
        <v>1.2593008465077729E-2</v>
      </c>
      <c r="C6" s="18">
        <f>124/164</f>
        <v>0.75609756097560976</v>
      </c>
      <c r="D6" s="5">
        <f>2/164</f>
        <v>1.2195121951219513E-2</v>
      </c>
      <c r="E6" s="5">
        <f>10/164</f>
        <v>6.097560975609756E-2</v>
      </c>
      <c r="F6" s="5">
        <f>8/164</f>
        <v>4.878048780487805E-2</v>
      </c>
    </row>
    <row r="7" spans="1:6">
      <c r="A7" s="1" t="s">
        <v>19</v>
      </c>
      <c r="B7" s="9">
        <v>1.4054194390917958E-2</v>
      </c>
      <c r="C7" s="18">
        <f>114/164</f>
        <v>0.69512195121951215</v>
      </c>
      <c r="D7" s="5">
        <f>1/164</f>
        <v>6.0975609756097563E-3</v>
      </c>
      <c r="E7" s="5">
        <f>25/164</f>
        <v>0.1524390243902439</v>
      </c>
      <c r="F7" s="5">
        <f>6/164</f>
        <v>3.6585365853658534E-2</v>
      </c>
    </row>
    <row r="8" spans="1:6">
      <c r="A8" s="1" t="s">
        <v>20</v>
      </c>
      <c r="B8" s="9">
        <v>1.3298637951057558E-2</v>
      </c>
      <c r="C8" s="18">
        <f>118/164</f>
        <v>0.71951219512195119</v>
      </c>
      <c r="D8" s="5">
        <f>2/164</f>
        <v>1.2195121951219513E-2</v>
      </c>
      <c r="E8" s="5">
        <f>25/164</f>
        <v>0.1524390243902439</v>
      </c>
      <c r="F8" s="5">
        <f>5/164</f>
        <v>3.048780487804878E-2</v>
      </c>
    </row>
    <row r="9" spans="1:6">
      <c r="A9" s="15" t="s">
        <v>40</v>
      </c>
      <c r="B9" s="9">
        <v>1.3485495471626131E-2</v>
      </c>
      <c r="C9" s="5">
        <f>143/164</f>
        <v>0.87195121951219512</v>
      </c>
      <c r="D9" s="5">
        <f>1/164</f>
        <v>6.0975609756097563E-3</v>
      </c>
      <c r="E9" s="5">
        <f>0/164</f>
        <v>0</v>
      </c>
      <c r="F9" s="5">
        <f>8/164</f>
        <v>4.878048780487805E-2</v>
      </c>
    </row>
    <row r="10" spans="1:6">
      <c r="A10" s="15" t="s">
        <v>36</v>
      </c>
      <c r="B10" s="9">
        <v>1.2847420999999999E-2</v>
      </c>
      <c r="C10" s="36">
        <f>68/164</f>
        <v>0.41463414634146339</v>
      </c>
      <c r="D10" s="35">
        <f>2/164</f>
        <v>1.2195121951219513E-2</v>
      </c>
      <c r="E10" s="36">
        <f>19/164</f>
        <v>0.11585365853658537</v>
      </c>
      <c r="F10" s="36">
        <f>15/164</f>
        <v>9.1463414634146339E-2</v>
      </c>
    </row>
    <row r="11" spans="1:6">
      <c r="A11" s="15" t="s">
        <v>37</v>
      </c>
      <c r="B11" s="9">
        <v>1.4506764E-2</v>
      </c>
      <c r="C11" s="36">
        <f>67/164</f>
        <v>0.40853658536585363</v>
      </c>
      <c r="D11" s="35">
        <f>1/164</f>
        <v>6.0975609756097563E-3</v>
      </c>
      <c r="E11" s="36">
        <f>25/164</f>
        <v>0.1524390243902439</v>
      </c>
      <c r="F11" s="36">
        <f>13/164</f>
        <v>7.926829268292683E-2</v>
      </c>
    </row>
    <row r="12" spans="1:6">
      <c r="A12" s="15" t="s">
        <v>38</v>
      </c>
      <c r="B12" s="9">
        <v>1.3686452E-2</v>
      </c>
      <c r="C12" s="36">
        <f>87/164</f>
        <v>0.53048780487804881</v>
      </c>
      <c r="D12" s="35">
        <f>2/164</f>
        <v>1.2195121951219513E-2</v>
      </c>
      <c r="E12" s="36">
        <f>31/164</f>
        <v>0.18902439024390244</v>
      </c>
      <c r="F12" s="36">
        <f>10/164</f>
        <v>6.097560975609756E-2</v>
      </c>
    </row>
    <row r="13" spans="1:6" ht="14.4" thickBot="1">
      <c r="A13" s="13"/>
      <c r="B13" s="14"/>
      <c r="C13" s="14"/>
      <c r="D13" s="14"/>
      <c r="E13" s="14"/>
      <c r="F13" s="14"/>
    </row>
    <row r="14" spans="1:6" ht="14.4" thickBot="1"/>
    <row r="15" spans="1:6" ht="14.4" thickBot="1">
      <c r="A15" s="19" t="s">
        <v>22</v>
      </c>
      <c r="B15" s="20"/>
      <c r="C15" s="20"/>
      <c r="D15" s="20"/>
      <c r="E15" s="20"/>
      <c r="F15" s="20"/>
    </row>
    <row r="16" spans="1:6">
      <c r="A16" s="3" t="s">
        <v>1</v>
      </c>
      <c r="B16" s="25" t="s">
        <v>32</v>
      </c>
      <c r="C16" s="26" t="s">
        <v>33</v>
      </c>
      <c r="D16" s="25" t="s">
        <v>34</v>
      </c>
      <c r="E16" s="27" t="s">
        <v>35</v>
      </c>
      <c r="F16" s="27" t="s">
        <v>13</v>
      </c>
    </row>
    <row r="17" spans="1:6">
      <c r="A17" s="1" t="s">
        <v>15</v>
      </c>
      <c r="B17" s="8">
        <f>B3/SQRT(SUMSQ(B$3:B$12))</f>
        <v>0.35168319899683353</v>
      </c>
      <c r="C17" s="8">
        <f t="shared" ref="C17:F17" si="0">C3/SQRT(SUMSQ(C$3:C$12))</f>
        <v>0.45231957415377966</v>
      </c>
      <c r="D17" s="8">
        <f t="shared" si="0"/>
        <v>0.54772255750516607</v>
      </c>
      <c r="E17" s="8">
        <f t="shared" si="0"/>
        <v>0</v>
      </c>
      <c r="F17" s="8">
        <f t="shared" si="0"/>
        <v>0.2672612419124244</v>
      </c>
    </row>
    <row r="18" spans="1:6">
      <c r="A18" s="1" t="s">
        <v>16</v>
      </c>
      <c r="B18" s="8">
        <f t="shared" ref="B18:F18" si="1">B4/SQRT(SUMSQ(B$3:B$12))</f>
        <v>0.39366163904318302</v>
      </c>
      <c r="C18" s="8">
        <f t="shared" si="1"/>
        <v>0.3226914035121477</v>
      </c>
      <c r="D18" s="8">
        <f t="shared" si="1"/>
        <v>0.18257418583505539</v>
      </c>
      <c r="E18" s="8">
        <f t="shared" si="1"/>
        <v>0.13699754905014835</v>
      </c>
      <c r="F18" s="8">
        <f t="shared" si="1"/>
        <v>0.50482679027902388</v>
      </c>
    </row>
    <row r="19" spans="1:6">
      <c r="A19" s="1" t="s">
        <v>17</v>
      </c>
      <c r="B19" s="8">
        <f t="shared" ref="B19:F19" si="2">B5/SQRT(SUMSQ(B$3:B$12))</f>
        <v>0.33688372642599224</v>
      </c>
      <c r="C19" s="8">
        <f t="shared" si="2"/>
        <v>0.2951109416735026</v>
      </c>
      <c r="D19" s="8">
        <f t="shared" si="2"/>
        <v>0.18257418583505539</v>
      </c>
      <c r="E19" s="8">
        <f t="shared" si="2"/>
        <v>0.11987285541887981</v>
      </c>
      <c r="F19" s="8">
        <f t="shared" si="2"/>
        <v>0.2672612419124244</v>
      </c>
    </row>
    <row r="20" spans="1:6">
      <c r="A20" s="1" t="s">
        <v>39</v>
      </c>
      <c r="B20" s="8">
        <f t="shared" ref="B20:F20" si="3">B6/SQRT(SUMSQ(B$3:B$12))</f>
        <v>0.27467993652931549</v>
      </c>
      <c r="C20" s="8">
        <f t="shared" si="3"/>
        <v>0.34199772679919926</v>
      </c>
      <c r="D20" s="8">
        <f t="shared" si="3"/>
        <v>0.36514837167011077</v>
      </c>
      <c r="E20" s="8">
        <f t="shared" si="3"/>
        <v>0.17124693631268542</v>
      </c>
      <c r="F20" s="8">
        <f t="shared" si="3"/>
        <v>0.23756554836659949</v>
      </c>
    </row>
    <row r="21" spans="1:6">
      <c r="A21" s="1" t="s">
        <v>19</v>
      </c>
      <c r="B21" s="8">
        <f t="shared" ref="B21:F21" si="4">B7/SQRT(SUMSQ(B$3:B$12))</f>
        <v>0.30655146734582767</v>
      </c>
      <c r="C21" s="8">
        <f t="shared" si="4"/>
        <v>0.31441726496055417</v>
      </c>
      <c r="D21" s="8">
        <f t="shared" si="4"/>
        <v>0.18257418583505539</v>
      </c>
      <c r="E21" s="8">
        <f t="shared" si="4"/>
        <v>0.4281173407817136</v>
      </c>
      <c r="F21" s="8">
        <f t="shared" si="4"/>
        <v>0.17817416127494959</v>
      </c>
    </row>
    <row r="22" spans="1:6">
      <c r="A22" s="1" t="s">
        <v>20</v>
      </c>
      <c r="B22" s="8">
        <f t="shared" ref="B22:F22" si="5">B8/SQRT(SUMSQ(B$3:B$12))</f>
        <v>0.29007119612861226</v>
      </c>
      <c r="C22" s="8">
        <f t="shared" si="5"/>
        <v>0.32544944969601219</v>
      </c>
      <c r="D22" s="8">
        <f t="shared" si="5"/>
        <v>0.36514837167011077</v>
      </c>
      <c r="E22" s="8">
        <f t="shared" si="5"/>
        <v>0.4281173407817136</v>
      </c>
      <c r="F22" s="8">
        <f t="shared" si="5"/>
        <v>0.14847846772912468</v>
      </c>
    </row>
    <row r="23" spans="1:6">
      <c r="A23" s="10" t="s">
        <v>40</v>
      </c>
      <c r="B23" s="8">
        <f t="shared" ref="B23:F23" si="6">B9/SQRT(SUMSQ(B$3:B$12))</f>
        <v>0.29414695070561703</v>
      </c>
      <c r="C23" s="8">
        <f>C9/SQRT(SUMSQ(C$3:C$12))</f>
        <v>0.39440060429262497</v>
      </c>
      <c r="D23" s="8">
        <f t="shared" si="6"/>
        <v>0.18257418583505539</v>
      </c>
      <c r="E23" s="8">
        <f t="shared" si="6"/>
        <v>0</v>
      </c>
      <c r="F23" s="8">
        <f t="shared" si="6"/>
        <v>0.23756554836659949</v>
      </c>
    </row>
    <row r="24" spans="1:6">
      <c r="A24" s="15" t="s">
        <v>36</v>
      </c>
      <c r="B24" s="8">
        <f t="shared" ref="B24:F24" si="7">B10/SQRT(SUMSQ(B$3:B$12))</f>
        <v>0.28022920770931226</v>
      </c>
      <c r="C24" s="8">
        <f t="shared" si="7"/>
        <v>0.18754714050278667</v>
      </c>
      <c r="D24" s="8">
        <f t="shared" si="7"/>
        <v>0.36514837167011077</v>
      </c>
      <c r="E24" s="8">
        <f t="shared" si="7"/>
        <v>0.32536917899410234</v>
      </c>
      <c r="F24" s="8">
        <f t="shared" si="7"/>
        <v>0.44543540318737401</v>
      </c>
    </row>
    <row r="25" spans="1:6">
      <c r="A25" s="15" t="s">
        <v>37</v>
      </c>
      <c r="B25" s="8">
        <f t="shared" ref="B25:F25" si="8">B11/SQRT(SUMSQ(B$3:B$12))</f>
        <v>0.31642296007470871</v>
      </c>
      <c r="C25" s="8">
        <f t="shared" si="8"/>
        <v>0.18478909431892218</v>
      </c>
      <c r="D25" s="8">
        <f t="shared" si="8"/>
        <v>0.18257418583505539</v>
      </c>
      <c r="E25" s="8">
        <f t="shared" si="8"/>
        <v>0.4281173407817136</v>
      </c>
      <c r="F25" s="8">
        <f t="shared" si="8"/>
        <v>0.38604401609572414</v>
      </c>
    </row>
    <row r="26" spans="1:6">
      <c r="A26" s="15" t="s">
        <v>38</v>
      </c>
      <c r="B26" s="8">
        <f t="shared" ref="B26:F26" si="9">B12/SQRT(SUMSQ(B$3:B$12))</f>
        <v>0.29853023422456015</v>
      </c>
      <c r="C26" s="8">
        <f t="shared" si="9"/>
        <v>0.23995001799621241</v>
      </c>
      <c r="D26" s="8">
        <f t="shared" si="9"/>
        <v>0.36514837167011077</v>
      </c>
      <c r="E26" s="8">
        <f t="shared" si="9"/>
        <v>0.53086550256932485</v>
      </c>
      <c r="F26" s="8">
        <f t="shared" si="9"/>
        <v>0.29695693545824936</v>
      </c>
    </row>
    <row r="27" spans="1:6">
      <c r="A27" s="28"/>
    </row>
    <row r="28" spans="1:6">
      <c r="A28" s="15" t="s">
        <v>23</v>
      </c>
      <c r="B28" s="15" t="s">
        <v>23</v>
      </c>
      <c r="C28" s="15" t="s">
        <v>24</v>
      </c>
      <c r="D28" s="15" t="s">
        <v>25</v>
      </c>
      <c r="E28" s="15" t="s">
        <v>25</v>
      </c>
      <c r="F28" s="15" t="s">
        <v>25</v>
      </c>
    </row>
    <row r="29" spans="1:6">
      <c r="A29" s="15" t="s">
        <v>26</v>
      </c>
      <c r="B29" s="22">
        <f>MIN(B17:B26)</f>
        <v>0.27467993652931549</v>
      </c>
      <c r="C29" s="22">
        <f>MAX(C17:C26)</f>
        <v>0.45231957415377966</v>
      </c>
      <c r="D29" s="22">
        <f>MIN(D17:D26)</f>
        <v>0.18257418583505539</v>
      </c>
      <c r="E29" s="22">
        <f>MIN(E17:E26)</f>
        <v>0</v>
      </c>
      <c r="F29" s="22">
        <f>MIN(F17:F26)</f>
        <v>0.14847846772912468</v>
      </c>
    </row>
    <row r="30" spans="1:6">
      <c r="A30" s="15" t="s">
        <v>27</v>
      </c>
      <c r="B30" s="22">
        <f>MAX(B17:B26)</f>
        <v>0.39366163904318302</v>
      </c>
      <c r="C30" s="22">
        <f>MIN(C17:C26)</f>
        <v>0.18478909431892218</v>
      </c>
      <c r="D30" s="22">
        <f>MAX(D17:D26)</f>
        <v>0.54772255750516607</v>
      </c>
      <c r="E30" s="22">
        <f>MAX(E17:E26)</f>
        <v>0.53086550256932485</v>
      </c>
      <c r="F30" s="22">
        <f>MAX(F17:F26)</f>
        <v>0.50482679027902388</v>
      </c>
    </row>
    <row r="32" spans="1:6">
      <c r="A32" s="21" t="s">
        <v>1</v>
      </c>
      <c r="B32" s="21" t="s">
        <v>28</v>
      </c>
      <c r="C32" s="21" t="s">
        <v>29</v>
      </c>
      <c r="D32" s="21" t="s">
        <v>30</v>
      </c>
    </row>
    <row r="33" spans="1:6">
      <c r="A33" s="15" t="s">
        <v>15</v>
      </c>
      <c r="B33" s="15" cm="1">
        <f t="array" ref="B33">SQRT(SUM((B17:F17 - B$29:F$29)^2))</f>
        <v>0.3916276078197955</v>
      </c>
      <c r="C33" s="15" cm="1">
        <f t="array" ref="C33">SQRT(SUM((B17:F17 - B$30:F$30)^2))</f>
        <v>0.64155305209958979</v>
      </c>
      <c r="D33" s="15">
        <f>C33/(B33+C33)</f>
        <v>0.62094953669539987</v>
      </c>
    </row>
    <row r="34" spans="1:6">
      <c r="A34" s="15" t="s">
        <v>16</v>
      </c>
      <c r="B34" s="15" cm="1">
        <f t="array" ref="B34">SQRT(SUM((B18:F18 - B$29:F$29)^2))</f>
        <v>0.4203719348230438</v>
      </c>
      <c r="C34" s="15" cm="1">
        <f t="array" ref="C34">SQRT(SUM((B18:F18 - B$30:F$30)^2))</f>
        <v>0.5545109061357959</v>
      </c>
      <c r="D34" s="15">
        <f t="shared" ref="D34:D39" si="10">C34/(B34+C34)</f>
        <v>0.56879748297796506</v>
      </c>
    </row>
    <row r="35" spans="1:6">
      <c r="A35" s="15" t="s">
        <v>17</v>
      </c>
      <c r="B35" s="15" cm="1">
        <f t="array" ref="B35">SQRT(SUM((B19:F19 - B$29:F$29)^2))</f>
        <v>0.23887803271289967</v>
      </c>
      <c r="C35" s="15" cm="1">
        <f t="array" ref="C35">SQRT(SUM((B19:F19 - B$30:F$30)^2))</f>
        <v>0.61162105954641499</v>
      </c>
      <c r="D35" s="15">
        <f t="shared" si="10"/>
        <v>0.71913193689798027</v>
      </c>
    </row>
    <row r="36" spans="1:6">
      <c r="A36" s="15" t="s">
        <v>39</v>
      </c>
      <c r="B36" s="15" cm="1">
        <f t="array" ref="B36">SQRT(SUM((B20:F20 - B$29:F$29)^2))</f>
        <v>0.28769126589114508</v>
      </c>
      <c r="C36" s="15" cm="1">
        <f t="array" ref="C36">SQRT(SUM((B20:F20 - B$30:F$30)^2))</f>
        <v>0.52245441678466364</v>
      </c>
      <c r="D36" s="15">
        <f t="shared" si="10"/>
        <v>0.64488946612547859</v>
      </c>
    </row>
    <row r="37" spans="1:6">
      <c r="A37" s="15" t="s">
        <v>19</v>
      </c>
      <c r="B37" s="15" cm="1">
        <f t="array" ref="B37">SQRT(SUM((B21:F21 - B$29:F$29)^2))</f>
        <v>0.45188398184775846</v>
      </c>
      <c r="C37" s="15" cm="1">
        <f t="array" ref="C37">SQRT(SUM((B21:F21 - B$30:F$30)^2))</f>
        <v>0.52438926643894856</v>
      </c>
      <c r="D37" s="15">
        <f t="shared" si="10"/>
        <v>0.53713370448203512</v>
      </c>
    </row>
    <row r="38" spans="1:6">
      <c r="A38" s="15" t="s">
        <v>20</v>
      </c>
      <c r="B38" s="15" cm="1">
        <f t="array" ref="B38">SQRT(SUM((B22:F22 - B$29:F$29)^2))</f>
        <v>0.48264967643552975</v>
      </c>
      <c r="C38" s="15" cm="1">
        <f t="array" ref="C38">SQRT(SUM((B22:F22 - B$30:F$30)^2))</f>
        <v>0.44876604206004678</v>
      </c>
      <c r="D38" s="15">
        <f t="shared" si="10"/>
        <v>0.48181068146981038</v>
      </c>
    </row>
    <row r="39" spans="1:6">
      <c r="A39" s="15" t="s">
        <v>40</v>
      </c>
      <c r="B39" s="15" cm="1">
        <f t="array" ref="B39">SQRT(SUM((B23:F23 - B$29:F$29)^2))</f>
        <v>0.10802814284817457</v>
      </c>
      <c r="C39" s="15" cm="1">
        <f t="array" ref="C39">SQRT(SUM((B23:F23 - B$30:F$30)^2))</f>
        <v>0.73513280765346423</v>
      </c>
      <c r="D39" s="15">
        <f t="shared" si="10"/>
        <v>0.87187719879116421</v>
      </c>
    </row>
    <row r="40" spans="1:6">
      <c r="A40" s="15" t="s">
        <v>36</v>
      </c>
      <c r="B40" s="15" cm="1">
        <f t="array" ref="B40">SQRT(SUM((B24:F24 - B$29:F$29)^2))</f>
        <v>0.54545127511216163</v>
      </c>
      <c r="C40" s="15" cm="1">
        <f t="array" ref="C40">SQRT(SUM((B24:F24 - B$30:F$30)^2))</f>
        <v>0.30325555641076335</v>
      </c>
      <c r="D40" s="15">
        <f t="shared" ref="D40:D42" si="11">C40/(B40+C40)</f>
        <v>0.35731485260534507</v>
      </c>
    </row>
    <row r="41" spans="1:6">
      <c r="A41" s="15" t="s">
        <v>37</v>
      </c>
      <c r="B41" s="15" cm="1">
        <f t="array" ref="B41">SQRT(SUM((B25:F25 - B$29:F$29)^2))</f>
        <v>0.55949699275698461</v>
      </c>
      <c r="C41" s="15" cm="1">
        <f t="array" ref="C41">SQRT(SUM((B25:F25 - B$30:F$30)^2))</f>
        <v>0.40492675764333264</v>
      </c>
      <c r="D41" s="15">
        <f t="shared" si="11"/>
        <v>0.41986394204337446</v>
      </c>
    </row>
    <row r="42" spans="1:6">
      <c r="A42" s="15" t="s">
        <v>38</v>
      </c>
      <c r="B42" s="15" cm="1">
        <f t="array" ref="B42">SQRT(SUM((B26:F26 - B$29:F$29)^2))</f>
        <v>0.61876250339966288</v>
      </c>
      <c r="C42" s="15" cm="1">
        <f t="array" ref="C42">SQRT(SUM((B26:F26 - B$30:F$30)^2))</f>
        <v>0.29771785562884823</v>
      </c>
      <c r="D42" s="15">
        <f t="shared" si="11"/>
        <v>0.32484913909604735</v>
      </c>
    </row>
    <row r="43" spans="1:6" ht="14.4" thickBot="1"/>
    <row r="44" spans="1:6" ht="14.4" thickBot="1">
      <c r="A44" s="49" t="s">
        <v>41</v>
      </c>
      <c r="B44" s="50" t="s">
        <v>28</v>
      </c>
      <c r="C44" s="50" t="s">
        <v>29</v>
      </c>
      <c r="D44" s="50" t="s">
        <v>30</v>
      </c>
      <c r="F44"/>
    </row>
    <row r="45" spans="1:6" ht="14.4" thickBot="1">
      <c r="A45" s="51" t="s">
        <v>40</v>
      </c>
      <c r="B45" s="41">
        <v>0.108028</v>
      </c>
      <c r="C45" s="41">
        <v>0.73513280800000003</v>
      </c>
      <c r="D45" s="41">
        <v>0.87187719900000005</v>
      </c>
      <c r="F45"/>
    </row>
    <row r="46" spans="1:6" ht="14.4" thickBot="1">
      <c r="A46" s="51" t="s">
        <v>17</v>
      </c>
      <c r="B46" s="41">
        <v>0.23887800000000001</v>
      </c>
      <c r="C46" s="41">
        <v>0.61162106000000005</v>
      </c>
      <c r="D46" s="41">
        <v>0.719131937</v>
      </c>
      <c r="F46"/>
    </row>
    <row r="47" spans="1:6" ht="14.4" thickBot="1">
      <c r="A47" s="51" t="s">
        <v>39</v>
      </c>
      <c r="B47" s="41">
        <v>0.28769099999999997</v>
      </c>
      <c r="C47" s="41">
        <v>0.52245441699999995</v>
      </c>
      <c r="D47" s="41">
        <v>0.64488946599999997</v>
      </c>
      <c r="F47"/>
    </row>
    <row r="48" spans="1:6" ht="14.4" thickBot="1">
      <c r="A48" s="51" t="s">
        <v>15</v>
      </c>
      <c r="B48" s="41">
        <v>0.39162799999999998</v>
      </c>
      <c r="C48" s="41">
        <v>0.64155305200000001</v>
      </c>
      <c r="D48" s="41">
        <v>0.620949537</v>
      </c>
      <c r="F48"/>
    </row>
    <row r="49" spans="1:6" ht="14.4" thickBot="1">
      <c r="A49" s="51" t="s">
        <v>16</v>
      </c>
      <c r="B49" s="41">
        <v>0.42037200000000002</v>
      </c>
      <c r="C49" s="41">
        <v>0.55451090599999997</v>
      </c>
      <c r="D49" s="41">
        <v>0.56879748299999999</v>
      </c>
      <c r="F49"/>
    </row>
    <row r="50" spans="1:6" ht="14.4" thickBot="1">
      <c r="A50" s="51" t="s">
        <v>19</v>
      </c>
      <c r="B50" s="41">
        <v>0.45188400000000001</v>
      </c>
      <c r="C50" s="41">
        <v>0.52438926600000002</v>
      </c>
      <c r="D50" s="41">
        <v>0.53713370400000005</v>
      </c>
      <c r="F50"/>
    </row>
    <row r="51" spans="1:6" ht="14.4" thickBot="1">
      <c r="A51" s="51" t="s">
        <v>20</v>
      </c>
      <c r="B51" s="41">
        <v>0.48265000000000002</v>
      </c>
      <c r="C51" s="41">
        <v>0.44876604199999998</v>
      </c>
      <c r="D51" s="41">
        <v>0.48181068100000002</v>
      </c>
      <c r="F51"/>
    </row>
    <row r="52" spans="1:6" ht="14.4" thickBot="1">
      <c r="A52" s="51" t="s">
        <v>37</v>
      </c>
      <c r="B52" s="41">
        <v>0.55949700000000002</v>
      </c>
      <c r="C52" s="41">
        <v>0.404926758</v>
      </c>
      <c r="D52" s="41">
        <v>0.41986394199999999</v>
      </c>
      <c r="F52"/>
    </row>
    <row r="53" spans="1:6" ht="14.4" thickBot="1">
      <c r="A53" s="51" t="s">
        <v>36</v>
      </c>
      <c r="B53" s="41">
        <v>0.54545100000000002</v>
      </c>
      <c r="C53" s="41">
        <v>0.30325555599999998</v>
      </c>
      <c r="D53" s="41">
        <v>0.35731485299999999</v>
      </c>
      <c r="F53"/>
    </row>
    <row r="54" spans="1:6" ht="14.4" thickBot="1">
      <c r="A54" s="51" t="s">
        <v>38</v>
      </c>
      <c r="B54" s="41">
        <v>0.61876299999999995</v>
      </c>
      <c r="C54" s="41">
        <v>0.297717856</v>
      </c>
      <c r="D54" s="41">
        <v>0.32484913900000001</v>
      </c>
      <c r="F54"/>
    </row>
  </sheetData>
  <sortState ref="F45:I54">
    <sortCondition descending="1" ref="I45:I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Quality Factors TOPSIS</vt:lpstr>
      <vt:lpstr>Critical Quality Factors TOPSIS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</dc:creator>
  <cp:lastModifiedBy>hp</cp:lastModifiedBy>
  <dcterms:created xsi:type="dcterms:W3CDTF">2024-11-09T13:27:36Z</dcterms:created>
  <dcterms:modified xsi:type="dcterms:W3CDTF">2025-05-21T19:44:23Z</dcterms:modified>
</cp:coreProperties>
</file>