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195" windowHeight="8955"/>
  </bookViews>
  <sheets>
    <sheet name="Chart" sheetId="1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E14" i="11" l="1"/>
  <c r="E48" i="11"/>
  <c r="K48" i="11"/>
  <c r="G46" i="11"/>
  <c r="F48" i="11"/>
  <c r="D48" i="11"/>
  <c r="C48" i="11"/>
  <c r="C46" i="11"/>
  <c r="C45" i="11"/>
  <c r="O46" i="11"/>
  <c r="K46" i="11"/>
  <c r="C44" i="11" l="1"/>
  <c r="C43" i="11"/>
  <c r="C42" i="11"/>
  <c r="G45" i="11" l="1"/>
  <c r="O45" i="11"/>
  <c r="K45" i="11"/>
  <c r="H46" i="11" l="1"/>
  <c r="I46" i="11" s="1"/>
  <c r="H45" i="11"/>
  <c r="I45" i="11" s="1"/>
  <c r="J45" i="11" s="1"/>
  <c r="H44" i="11"/>
  <c r="G44" i="11"/>
  <c r="I44" i="11" s="1"/>
  <c r="O44" i="11"/>
  <c r="M44" i="11"/>
  <c r="K44" i="11"/>
  <c r="J46" i="11" l="1"/>
  <c r="J48" i="11" s="1"/>
  <c r="I48" i="11"/>
  <c r="N44" i="11"/>
  <c r="M45" i="11"/>
  <c r="J44" i="11"/>
  <c r="P44" i="11"/>
  <c r="Q44" i="11" s="1"/>
  <c r="H43" i="11"/>
  <c r="I43" i="11"/>
  <c r="O43" i="11"/>
  <c r="M43" i="11"/>
  <c r="N43" i="11" s="1"/>
  <c r="K43" i="11"/>
  <c r="G43" i="11"/>
  <c r="N45" i="11" l="1"/>
  <c r="P45" i="11" s="1"/>
  <c r="Q45" i="11" s="1"/>
  <c r="M46" i="11"/>
  <c r="N46" i="11" s="1"/>
  <c r="P46" i="11" s="1"/>
  <c r="Q46" i="11" s="1"/>
  <c r="Q48" i="11" s="1"/>
  <c r="J43" i="11"/>
  <c r="P43" i="11"/>
  <c r="H42" i="11"/>
  <c r="G42" i="11"/>
  <c r="Q43" i="11" l="1"/>
  <c r="I42" i="11"/>
  <c r="O42" i="11"/>
  <c r="M42" i="11"/>
  <c r="N42" i="11" s="1"/>
  <c r="K42" i="11"/>
  <c r="J42" i="11" l="1"/>
  <c r="P42" i="11"/>
  <c r="Q42" i="11" l="1"/>
  <c r="H41" i="11"/>
  <c r="I41" i="11"/>
  <c r="G41" i="11"/>
  <c r="O41" i="11"/>
  <c r="M41" i="11"/>
  <c r="N41" i="11" s="1"/>
  <c r="P41" i="11" s="1"/>
  <c r="K41" i="11"/>
  <c r="C41" i="11"/>
  <c r="J41" i="11" l="1"/>
  <c r="H40" i="11"/>
  <c r="G40" i="11"/>
  <c r="I40" i="11" s="1"/>
  <c r="O40" i="11"/>
  <c r="M40" i="11"/>
  <c r="N40" i="11" s="1"/>
  <c r="K40" i="11"/>
  <c r="C40" i="11"/>
  <c r="Q41" i="11" l="1"/>
  <c r="J40" i="11"/>
  <c r="P40" i="11"/>
  <c r="Q40" i="11" s="1"/>
  <c r="H39" i="11"/>
  <c r="I39" i="11"/>
  <c r="G39" i="11"/>
  <c r="O39" i="11"/>
  <c r="M39" i="11"/>
  <c r="N39" i="11" s="1"/>
  <c r="P39" i="11" s="1"/>
  <c r="K39" i="11"/>
  <c r="C39" i="11"/>
  <c r="J39" i="11" l="1"/>
  <c r="H38" i="11"/>
  <c r="G38" i="11"/>
  <c r="I38" i="11" s="1"/>
  <c r="O38" i="11"/>
  <c r="M38" i="11"/>
  <c r="N38" i="11" s="1"/>
  <c r="K38" i="11"/>
  <c r="C38" i="11"/>
  <c r="Q39" i="11" l="1"/>
  <c r="J38" i="11"/>
  <c r="P38" i="11"/>
  <c r="F11" i="11"/>
  <c r="G37" i="11"/>
  <c r="H37" i="11" s="1"/>
  <c r="I37" i="11" s="1"/>
  <c r="O37" i="11"/>
  <c r="K37" i="11"/>
  <c r="C37" i="11"/>
  <c r="Q38" i="11" l="1"/>
  <c r="J37" i="11"/>
  <c r="G36" i="11"/>
  <c r="H36" i="11" s="1"/>
  <c r="I36" i="11" s="1"/>
  <c r="O36" i="11"/>
  <c r="M36" i="11"/>
  <c r="K36" i="11"/>
  <c r="C36" i="11"/>
  <c r="N36" i="11" l="1"/>
  <c r="M37" i="11"/>
  <c r="N37" i="11" s="1"/>
  <c r="P37" i="11" s="1"/>
  <c r="Q37" i="11" s="1"/>
  <c r="J36" i="11"/>
  <c r="P36" i="11"/>
  <c r="Q36" i="11" s="1"/>
  <c r="G35" i="11"/>
  <c r="H35" i="11" s="1"/>
  <c r="I35" i="11" s="1"/>
  <c r="O35" i="11"/>
  <c r="M35" i="11"/>
  <c r="N35" i="11" s="1"/>
  <c r="P35" i="11" s="1"/>
  <c r="K35" i="11"/>
  <c r="C35" i="11"/>
  <c r="J35" i="11" l="1"/>
  <c r="H34" i="11"/>
  <c r="G34" i="11"/>
  <c r="I34" i="11"/>
  <c r="J34" i="11" s="1"/>
  <c r="C34" i="11"/>
  <c r="O34" i="11"/>
  <c r="M34" i="11"/>
  <c r="N34" i="11" s="1"/>
  <c r="K34" i="11"/>
  <c r="Q35" i="11" l="1"/>
  <c r="P34" i="11"/>
  <c r="Q34" i="11"/>
  <c r="C33" i="11" l="1"/>
  <c r="G33" i="11" l="1"/>
  <c r="O33" i="11"/>
  <c r="M33" i="11"/>
  <c r="N33" i="11" s="1"/>
  <c r="K33" i="11"/>
  <c r="P33" i="11" l="1"/>
  <c r="M32" i="11" l="1"/>
  <c r="N32" i="11" s="1"/>
  <c r="P32" i="11" s="1"/>
  <c r="G32" i="11"/>
  <c r="C32" i="11"/>
  <c r="C31" i="11"/>
  <c r="O32" i="11"/>
  <c r="K32" i="11"/>
  <c r="G31" i="11" l="1"/>
  <c r="C30" i="11"/>
  <c r="O31" i="11"/>
  <c r="M31" i="11"/>
  <c r="N31" i="11" s="1"/>
  <c r="K31" i="11"/>
  <c r="P31" i="11" l="1"/>
  <c r="G30" i="11"/>
  <c r="O30" i="11"/>
  <c r="K30" i="11"/>
  <c r="G29" i="11" l="1"/>
  <c r="O29" i="11"/>
  <c r="K29" i="11"/>
  <c r="G28" i="11" l="1"/>
  <c r="O28" i="11"/>
  <c r="K28" i="11"/>
  <c r="K27" i="11" l="1"/>
  <c r="G27" i="11"/>
  <c r="O27" i="11"/>
  <c r="G26" i="11" l="1"/>
  <c r="O26" i="11"/>
  <c r="K26" i="11"/>
  <c r="H33" i="11" l="1"/>
  <c r="I33" i="11" s="1"/>
  <c r="H32" i="11"/>
  <c r="I32" i="11" s="1"/>
  <c r="J32" i="11" s="1"/>
  <c r="Q32" i="11" s="1"/>
  <c r="H31" i="11"/>
  <c r="I31" i="11" s="1"/>
  <c r="J31" i="11" s="1"/>
  <c r="Q31" i="11" s="1"/>
  <c r="H30" i="11"/>
  <c r="G25" i="11"/>
  <c r="J33" i="11" l="1"/>
  <c r="O25" i="11"/>
  <c r="K24" i="11"/>
  <c r="K25" i="11"/>
  <c r="Q33" i="11" l="1"/>
  <c r="O24" i="11"/>
  <c r="G24" i="11"/>
  <c r="K23" i="11" l="1"/>
  <c r="G23" i="11"/>
  <c r="K22" i="11" l="1"/>
  <c r="G22" i="11"/>
  <c r="G21" i="11"/>
  <c r="H21" i="11" s="1"/>
  <c r="I21" i="11"/>
  <c r="J21" i="11" s="1"/>
  <c r="O23" i="11"/>
  <c r="H22" i="11" l="1"/>
  <c r="H24" i="11"/>
  <c r="H26" i="11"/>
  <c r="H29" i="11"/>
  <c r="H25" i="11"/>
  <c r="H27" i="11"/>
  <c r="H28" i="11"/>
  <c r="I28" i="11" s="1"/>
  <c r="J28" i="11" s="1"/>
  <c r="H23" i="11"/>
  <c r="I23" i="11" s="1"/>
  <c r="J23" i="11" s="1"/>
  <c r="I30" i="11"/>
  <c r="I26" i="11"/>
  <c r="J26" i="11" s="1"/>
  <c r="I27" i="11"/>
  <c r="J27" i="11" s="1"/>
  <c r="I29" i="11"/>
  <c r="J29" i="11" s="1"/>
  <c r="I25" i="11"/>
  <c r="J25" i="11" s="1"/>
  <c r="I24" i="11"/>
  <c r="J30" i="11" l="1"/>
  <c r="J24" i="11"/>
  <c r="C21" i="11"/>
  <c r="C22" i="11" s="1"/>
  <c r="C23" i="11" s="1"/>
  <c r="C24" i="11" s="1"/>
  <c r="C25" i="11" s="1"/>
  <c r="C26" i="11" s="1"/>
  <c r="C27" i="11" s="1"/>
  <c r="C28" i="11" s="1"/>
  <c r="C29" i="11" s="1"/>
  <c r="O21" i="11" l="1"/>
  <c r="O22" i="11"/>
  <c r="O20" i="11"/>
  <c r="M21" i="11"/>
  <c r="M22" i="11" s="1"/>
  <c r="I22" i="11"/>
  <c r="J22" i="11" s="1"/>
  <c r="N22" i="11" l="1"/>
  <c r="M23" i="11"/>
  <c r="P22" i="11"/>
  <c r="Q22" i="11" s="1"/>
  <c r="Q9" i="11"/>
  <c r="M24" i="11" l="1"/>
  <c r="N23" i="11"/>
  <c r="P23" i="11" s="1"/>
  <c r="Q23" i="11" s="1"/>
  <c r="Q13" i="11"/>
  <c r="Q14" i="11"/>
  <c r="M25" i="11" l="1"/>
  <c r="N24" i="11"/>
  <c r="P24" i="11" s="1"/>
  <c r="Q24" i="11" s="1"/>
  <c r="N20" i="11"/>
  <c r="P20" i="11" s="1"/>
  <c r="M26" i="11" l="1"/>
  <c r="N25" i="11"/>
  <c r="P25" i="11" s="1"/>
  <c r="Q25" i="11" s="1"/>
  <c r="N21" i="11"/>
  <c r="N26" i="11" l="1"/>
  <c r="P26" i="11" s="1"/>
  <c r="Q26" i="11" s="1"/>
  <c r="M27" i="11"/>
  <c r="P21" i="11"/>
  <c r="N27" i="11" l="1"/>
  <c r="P27" i="11" s="1"/>
  <c r="Q27" i="11" s="1"/>
  <c r="M28" i="11"/>
  <c r="N28" i="11" l="1"/>
  <c r="P28" i="11" s="1"/>
  <c r="Q28" i="11" s="1"/>
  <c r="M29" i="11"/>
  <c r="N29" i="11" l="1"/>
  <c r="P29" i="11" s="1"/>
  <c r="Q29" i="11" s="1"/>
  <c r="M30" i="11"/>
  <c r="N30" i="11" s="1"/>
  <c r="P30" i="11" s="1"/>
  <c r="Q30" i="11" s="1"/>
</calcChain>
</file>

<file path=xl/sharedStrings.xml><?xml version="1.0" encoding="utf-8"?>
<sst xmlns="http://schemas.openxmlformats.org/spreadsheetml/2006/main" count="34" uniqueCount="28">
  <si>
    <t>Date</t>
  </si>
  <si>
    <t>Invested Amount</t>
  </si>
  <si>
    <t>Orchard Managed Fund</t>
  </si>
  <si>
    <t>Unitholder</t>
  </si>
  <si>
    <t>Month End</t>
  </si>
  <si>
    <t>Undrawn Capital Commitment</t>
  </si>
  <si>
    <t>Consolidated</t>
  </si>
  <si>
    <t>Monthly Return</t>
  </si>
  <si>
    <t>Annualized Return</t>
  </si>
  <si>
    <t>Since Inception</t>
  </si>
  <si>
    <t>Portfolio</t>
  </si>
  <si>
    <t>Portfolio Return</t>
  </si>
  <si>
    <t>Initial Capital Commitment</t>
  </si>
  <si>
    <t>Total</t>
  </si>
  <si>
    <t>Sharpe Ratio</t>
  </si>
  <si>
    <t>Annualized</t>
  </si>
  <si>
    <t>Std Deviation</t>
  </si>
  <si>
    <t>T-Bill Rate</t>
  </si>
  <si>
    <t>Net Asset Value</t>
  </si>
  <si>
    <t>Number of Loans Invested</t>
  </si>
  <si>
    <t>Distributions</t>
  </si>
  <si>
    <t>Black Forest LTD</t>
  </si>
  <si>
    <t xml:space="preserve">WAL </t>
  </si>
  <si>
    <t>mat</t>
  </si>
  <si>
    <t>final mat</t>
  </si>
  <si>
    <t>Abu Dhabi National Insurance Company</t>
  </si>
  <si>
    <t>Unhide</t>
  </si>
  <si>
    <t>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</si>
</sst>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_-* #,##0.00000_-;\-* #,##0.00000_-;_-* &quot;-&quot;??_-;_-@_-"/>
    <numFmt numFmtId="174" formatCode="[$-F800]dddd\,\ mmmm\ dd\,\ yyyy"/>
    <numFmt numFmtId="175" formatCode="_-&quot;$&quot;* #,##0_-;\-&quot;$&quot;* #,##0_-;_-&quot;$&quot;* &quot;-&quot;??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numFmtId="168" fontId="0" fillId="0" borderId="0"/>
    <xf numFmtId="168" fontId="3" fillId="0" borderId="0"/>
    <xf numFmtId="168" fontId="4" fillId="0" borderId="0" applyNumberFormat="0" applyFill="0" applyBorder="0" applyAlignment="0" applyProtection="0"/>
    <xf numFmtId="168" fontId="5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horizontal="left" wrapText="1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40" borderId="0" applyNumberFormat="0" applyBorder="0" applyAlignment="0" applyProtection="0"/>
    <xf numFmtId="168" fontId="13" fillId="41" borderId="0" applyNumberFormat="0" applyBorder="0" applyAlignment="0" applyProtection="0"/>
    <xf numFmtId="168" fontId="13" fillId="42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43" borderId="0" applyNumberFormat="0" applyBorder="0" applyAlignment="0" applyProtection="0"/>
    <xf numFmtId="168" fontId="15" fillId="27" borderId="0" applyNumberFormat="0" applyBorder="0" applyAlignment="0" applyProtection="0"/>
    <xf numFmtId="168" fontId="16" fillId="25" borderId="1" applyNumberFormat="0" applyAlignment="0" applyProtection="0"/>
    <xf numFmtId="168" fontId="16" fillId="25" borderId="1" applyNumberFormat="0" applyAlignment="0" applyProtection="0"/>
    <xf numFmtId="168" fontId="18" fillId="44" borderId="12" applyNumberFormat="0" applyAlignment="0" applyProtection="0"/>
    <xf numFmtId="165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3" fillId="0" borderId="0" applyFont="0" applyFill="0" applyBorder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24" fillId="28" borderId="0" applyNumberFormat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5" fillId="31" borderId="1" applyNumberFormat="0" applyAlignment="0" applyProtection="0"/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168" fontId="50" fillId="25" borderId="15" applyNumberFormat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34" fillId="25" borderId="0" applyNumberFormat="0" applyBorder="0" applyAlignment="0"/>
    <xf numFmtId="168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37" fillId="0" borderId="16" applyNumberFormat="0" applyFill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52" fillId="0" borderId="0" applyNumberFormat="0" applyFill="0" applyBorder="0" applyAlignment="0" applyProtection="0">
      <alignment vertical="top"/>
      <protection locked="0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43" fontId="3" fillId="0" borderId="0" applyFont="0" applyFill="0" applyBorder="0" applyAlignment="0" applyProtection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6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6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6" fillId="0" borderId="0"/>
    <xf numFmtId="168" fontId="8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9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vertical="top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>
      <alignment horizontal="left" wrapText="1"/>
    </xf>
    <xf numFmtId="165" fontId="6" fillId="0" borderId="0" applyFont="0" applyFill="0" applyBorder="0" applyAlignment="0" applyProtection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40" fontId="30" fillId="0" borderId="0">
      <alignment horizontal="right" vertical="top"/>
      <protection locked="0"/>
    </xf>
    <xf numFmtId="9" fontId="6" fillId="0" borderId="0" applyFon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vertical="top"/>
    </xf>
    <xf numFmtId="164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8" fontId="6" fillId="0" borderId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168" fontId="10" fillId="0" borderId="0" applyNumberFormat="0" applyFill="0" applyBorder="0" applyAlignment="0" applyProtection="0">
      <alignment vertical="top"/>
      <protection locked="0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5" fontId="6" fillId="0" borderId="0" applyFont="0" applyFill="0" applyBorder="0" applyAlignment="0" applyProtection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/>
    <xf numFmtId="168" fontId="6" fillId="22" borderId="4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6" fillId="25" borderId="1" applyNumberFormat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7" fillId="0" borderId="0">
      <alignment vertical="top"/>
    </xf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5" fontId="6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38" fontId="11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2" fillId="25" borderId="0" applyNumberFormat="0" applyBorder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1" fillId="0" borderId="0"/>
    <xf numFmtId="43" fontId="1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17" fillId="0" borderId="2" applyNumberFormat="0" applyFill="0" applyAlignment="0" applyProtection="0"/>
    <xf numFmtId="168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168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6" fillId="0" borderId="0">
      <alignment horizontal="left" wrapText="1"/>
    </xf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40" fontId="30" fillId="0" borderId="0">
      <alignment horizontal="right" vertical="top"/>
      <protection locked="0"/>
    </xf>
    <xf numFmtId="168" fontId="7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0" fillId="0" borderId="0" applyNumberFormat="0" applyFill="0" applyBorder="0" applyAlignment="0" applyProtection="0">
      <alignment vertical="top"/>
      <protection locked="0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55">
    <xf numFmtId="168" fontId="0" fillId="0" borderId="0" xfId="0"/>
    <xf numFmtId="168" fontId="0" fillId="46" borderId="0" xfId="0" applyFill="1"/>
    <xf numFmtId="169" fontId="53" fillId="46" borderId="0" xfId="0" applyNumberFormat="1" applyFont="1" applyFill="1" applyBorder="1"/>
    <xf numFmtId="168" fontId="0" fillId="46" borderId="0" xfId="0" applyFont="1" applyFill="1"/>
    <xf numFmtId="4" fontId="0" fillId="46" borderId="0" xfId="0" applyNumberFormat="1" applyFont="1" applyFill="1" applyBorder="1"/>
    <xf numFmtId="168" fontId="2" fillId="46" borderId="0" xfId="0" applyFont="1" applyFill="1"/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0" fontId="53" fillId="46" borderId="0" xfId="31499" applyNumberFormat="1" applyFont="1" applyFill="1" applyBorder="1"/>
    <xf numFmtId="171" fontId="0" fillId="46" borderId="0" xfId="0" applyNumberFormat="1" applyFont="1" applyFill="1" applyBorder="1"/>
    <xf numFmtId="171" fontId="0" fillId="46" borderId="23" xfId="0" applyNumberFormat="1" applyFont="1" applyFill="1" applyBorder="1"/>
    <xf numFmtId="10" fontId="0" fillId="46" borderId="0" xfId="31499" applyNumberFormat="1" applyFont="1" applyFill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Border="1" applyAlignment="1">
      <alignment horizontal="center"/>
    </xf>
    <xf numFmtId="168" fontId="2" fillId="47" borderId="24" xfId="0" applyFont="1" applyFill="1" applyBorder="1" applyAlignment="1">
      <alignment horizontal="center"/>
    </xf>
    <xf numFmtId="168" fontId="2" fillId="46" borderId="0" xfId="0" applyFont="1" applyFill="1" applyAlignment="1">
      <alignment horizontal="right"/>
    </xf>
    <xf numFmtId="15" fontId="2" fillId="46" borderId="0" xfId="0" applyNumberFormat="1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8" fontId="2" fillId="48" borderId="26" xfId="0" applyFont="1" applyFill="1" applyBorder="1" applyAlignment="1">
      <alignment horizontal="center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70" fontId="2" fillId="48" borderId="0" xfId="31498" applyNumberFormat="1" applyFont="1" applyFill="1" applyAlignment="1">
      <alignment horizontal="right"/>
    </xf>
    <xf numFmtId="171" fontId="54" fillId="46" borderId="23" xfId="0" applyNumberFormat="1" applyFont="1" applyFill="1" applyBorder="1"/>
    <xf numFmtId="169" fontId="54" fillId="46" borderId="23" xfId="0" applyNumberFormat="1" applyFont="1" applyFill="1" applyBorder="1"/>
    <xf numFmtId="169" fontId="54" fillId="46" borderId="0" xfId="0" applyNumberFormat="1" applyFont="1" applyFill="1" applyBorder="1"/>
    <xf numFmtId="10" fontId="54" fillId="46" borderId="0" xfId="31499" applyNumberFormat="1" applyFont="1" applyFill="1" applyBorder="1"/>
    <xf numFmtId="172" fontId="54" fillId="46" borderId="0" xfId="31498" applyNumberFormat="1" applyFont="1" applyFill="1" applyBorder="1"/>
    <xf numFmtId="172" fontId="54" fillId="46" borderId="0" xfId="31499" applyNumberFormat="1" applyFont="1" applyFill="1" applyBorder="1"/>
    <xf numFmtId="43" fontId="54" fillId="46" borderId="0" xfId="31498" applyFont="1" applyFill="1" applyBorder="1"/>
    <xf numFmtId="171" fontId="54" fillId="46" borderId="25" xfId="0" applyNumberFormat="1" applyFont="1" applyFill="1" applyBorder="1" applyAlignment="1">
      <alignment horizontal="center"/>
    </xf>
    <xf numFmtId="169" fontId="54" fillId="46" borderId="26" xfId="0" applyNumberFormat="1" applyFont="1" applyFill="1" applyBorder="1"/>
    <xf numFmtId="169" fontId="54" fillId="46" borderId="27" xfId="0" applyNumberFormat="1" applyFont="1" applyFill="1" applyBorder="1"/>
    <xf numFmtId="10" fontId="54" fillId="46" borderId="27" xfId="31499" applyNumberFormat="1" applyFont="1" applyFill="1" applyBorder="1"/>
    <xf numFmtId="10" fontId="54" fillId="46" borderId="24" xfId="31499" applyNumberFormat="1" applyFont="1" applyFill="1" applyBorder="1"/>
    <xf numFmtId="10" fontId="54" fillId="46" borderId="23" xfId="31499" applyNumberFormat="1" applyFont="1" applyFill="1" applyBorder="1"/>
    <xf numFmtId="10" fontId="54" fillId="46" borderId="26" xfId="31499" applyNumberFormat="1" applyFont="1" applyFill="1" applyBorder="1"/>
    <xf numFmtId="166" fontId="54" fillId="46" borderId="0" xfId="0" applyNumberFormat="1" applyFont="1" applyFill="1" applyBorder="1"/>
    <xf numFmtId="43" fontId="54" fillId="46" borderId="24" xfId="31498" applyNumberFormat="1" applyFont="1" applyFill="1" applyBorder="1"/>
    <xf numFmtId="43" fontId="54" fillId="46" borderId="28" xfId="31499" applyNumberFormat="1" applyFont="1" applyFill="1" applyBorder="1"/>
    <xf numFmtId="173" fontId="54" fillId="46" borderId="0" xfId="31498" applyNumberFormat="1" applyFont="1" applyFill="1" applyBorder="1"/>
    <xf numFmtId="174" fontId="0" fillId="46" borderId="0" xfId="0" applyNumberFormat="1" applyFill="1"/>
    <xf numFmtId="0" fontId="0" fillId="46" borderId="0" xfId="0" applyNumberFormat="1" applyFill="1"/>
    <xf numFmtId="168" fontId="55" fillId="46" borderId="0" xfId="0" applyFont="1" applyFill="1" applyAlignment="1">
      <alignment horizontal="right"/>
    </xf>
    <xf numFmtId="172" fontId="54" fillId="49" borderId="0" xfId="31499" applyNumberFormat="1" applyFont="1" applyFill="1" applyBorder="1"/>
    <xf numFmtId="175" fontId="0" fillId="46" borderId="0" xfId="43807" applyNumberFormat="1" applyFont="1" applyFill="1"/>
    <xf numFmtId="166" fontId="54" fillId="49" borderId="0" xfId="0" applyNumberFormat="1" applyFont="1" applyFill="1" applyBorder="1"/>
    <xf numFmtId="172" fontId="54" fillId="46" borderId="24" xfId="31499" applyNumberFormat="1" applyFont="1" applyFill="1" applyBorder="1"/>
    <xf numFmtId="10" fontId="54" fillId="46" borderId="28" xfId="31499" applyNumberFormat="1" applyFont="1" applyFill="1" applyBorder="1"/>
  </cellXfs>
  <cellStyles count="43808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" xfId="43807" builtinId="4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815487</xdr:colOff>
      <xdr:row>6</xdr:row>
      <xdr:rowOff>71704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0500"/>
          <a:ext cx="5943600" cy="1024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14" zoomScaleNormal="100" workbookViewId="0">
      <selection activeCell="K49" sqref="K49"/>
    </sheetView>
  </sheetViews>
  <sheetFormatPr defaultColWidth="9.140625" defaultRowHeight="15"/>
  <cols>
    <col min="1" max="1" width="2" style="3" bestFit="1" customWidth="1"/>
    <col min="2" max="2" width="13" style="3" customWidth="1"/>
    <col min="3" max="4" width="16.140625" style="3" customWidth="1"/>
    <col min="5" max="5" width="16" style="3" customWidth="1"/>
    <col min="6" max="6" width="15.7109375" style="3" customWidth="1"/>
    <col min="7" max="8" width="19" style="3" hidden="1" customWidth="1"/>
    <col min="9" max="9" width="15.28515625" style="3" customWidth="1"/>
    <col min="10" max="10" width="18.28515625" style="3" customWidth="1"/>
    <col min="11" max="16" width="14.85546875" style="3" customWidth="1"/>
    <col min="17" max="17" width="16.5703125" style="3" customWidth="1"/>
    <col min="18" max="16384" width="9.140625" style="3"/>
  </cols>
  <sheetData>
    <row r="2" spans="2:17">
      <c r="J2" s="11"/>
      <c r="K2" s="11"/>
      <c r="L2" s="11"/>
      <c r="M2" s="11"/>
      <c r="N2" s="11"/>
      <c r="O2" s="11"/>
      <c r="P2" s="11"/>
      <c r="Q2" s="11"/>
    </row>
    <row r="3" spans="2:17">
      <c r="J3" s="11"/>
      <c r="K3" s="11"/>
      <c r="L3" s="11"/>
      <c r="M3" s="11"/>
      <c r="N3" s="11"/>
      <c r="O3" s="11"/>
      <c r="P3" s="11"/>
      <c r="Q3" s="11"/>
    </row>
    <row r="4" spans="2:17">
      <c r="J4" s="11"/>
      <c r="K4" s="11"/>
      <c r="L4" s="11"/>
      <c r="M4" s="11"/>
      <c r="N4" s="11"/>
      <c r="O4" s="11"/>
      <c r="P4" s="11"/>
      <c r="Q4" s="11"/>
    </row>
    <row r="5" spans="2:17">
      <c r="J5" s="11"/>
      <c r="K5" s="11"/>
      <c r="L5" s="11"/>
      <c r="M5" s="11"/>
      <c r="N5" s="11"/>
      <c r="O5" s="11"/>
      <c r="P5" s="11"/>
      <c r="Q5" s="11"/>
    </row>
    <row r="6" spans="2:17">
      <c r="J6" s="11"/>
      <c r="K6" s="11"/>
      <c r="L6" s="11"/>
      <c r="M6" s="11"/>
      <c r="N6" s="11"/>
      <c r="O6" s="11"/>
      <c r="P6" s="11"/>
      <c r="Q6" s="11"/>
    </row>
    <row r="7" spans="2:17">
      <c r="J7" s="11"/>
      <c r="K7" s="11"/>
      <c r="L7" s="11"/>
      <c r="M7" s="11"/>
      <c r="N7" s="11"/>
      <c r="O7" s="11"/>
      <c r="P7" s="11"/>
      <c r="Q7" s="11"/>
    </row>
    <row r="8" spans="2:17">
      <c r="J8" s="11"/>
      <c r="K8" s="11"/>
      <c r="L8" s="11"/>
      <c r="M8" s="11"/>
      <c r="N8" s="11"/>
      <c r="O8" s="11"/>
      <c r="P8" s="11"/>
      <c r="Q8" s="11" t="s">
        <v>22</v>
      </c>
    </row>
    <row r="9" spans="2:17" s="1" customFormat="1">
      <c r="B9" s="5" t="s">
        <v>2</v>
      </c>
      <c r="D9" s="25"/>
      <c r="E9" s="26" t="s">
        <v>21</v>
      </c>
      <c r="G9" s="15"/>
      <c r="H9" s="15"/>
      <c r="J9" s="11"/>
      <c r="K9" s="11"/>
      <c r="L9" s="11"/>
      <c r="M9" s="11"/>
      <c r="N9" s="11"/>
      <c r="O9" s="11"/>
      <c r="Q9" s="47">
        <f>E11</f>
        <v>42825</v>
      </c>
    </row>
    <row r="10" spans="2:17" s="1" customFormat="1">
      <c r="B10" s="5" t="s">
        <v>3</v>
      </c>
      <c r="D10" s="25"/>
      <c r="E10" s="26" t="s">
        <v>25</v>
      </c>
      <c r="G10" s="15"/>
      <c r="H10" s="15"/>
      <c r="J10" s="11"/>
      <c r="K10" s="11"/>
      <c r="L10" s="11"/>
      <c r="M10" s="11"/>
      <c r="N10" s="11"/>
      <c r="O10" s="11"/>
    </row>
    <row r="11" spans="2:17" s="1" customFormat="1">
      <c r="B11" s="5" t="s">
        <v>4</v>
      </c>
      <c r="D11" s="25"/>
      <c r="E11" s="27">
        <v>42825</v>
      </c>
      <c r="F11" s="51">
        <f>E13-E14</f>
        <v>8362428.2800000003</v>
      </c>
      <c r="G11" s="16"/>
      <c r="H11" s="16"/>
      <c r="P11" s="1" t="s">
        <v>23</v>
      </c>
      <c r="Q11" s="47">
        <v>42419</v>
      </c>
    </row>
    <row r="12" spans="2:17" s="1" customFormat="1">
      <c r="B12" s="5" t="s">
        <v>19</v>
      </c>
      <c r="D12" s="25"/>
      <c r="E12" s="28">
        <v>10</v>
      </c>
      <c r="G12" s="16"/>
      <c r="H12" s="16"/>
      <c r="P12" s="1" t="s">
        <v>24</v>
      </c>
      <c r="Q12" s="47">
        <v>42779</v>
      </c>
    </row>
    <row r="13" spans="2:17" s="1" customFormat="1">
      <c r="B13" s="5" t="s">
        <v>12</v>
      </c>
      <c r="D13" s="25"/>
      <c r="E13" s="28">
        <v>10000000</v>
      </c>
      <c r="F13" s="49" t="s">
        <v>26</v>
      </c>
      <c r="G13" s="17"/>
      <c r="H13" s="17"/>
      <c r="Q13" s="48">
        <f>(YEAR(Q11)-YEAR(Q9))*12+MONTH(Q11)-MONTH(Q9)</f>
        <v>-13</v>
      </c>
    </row>
    <row r="14" spans="2:17" s="1" customFormat="1">
      <c r="B14" s="5" t="s">
        <v>5</v>
      </c>
      <c r="D14" s="25"/>
      <c r="E14" s="28">
        <f>E13-C48</f>
        <v>1637571.7199999997</v>
      </c>
      <c r="G14" s="17"/>
      <c r="H14" s="17"/>
      <c r="Q14" s="48">
        <f>(YEAR(Q12)-YEAR(Q9))*12+MONTH(Q12)-MONTH(Q9)</f>
        <v>-1</v>
      </c>
    </row>
    <row r="15" spans="2:17" s="1" customFormat="1">
      <c r="B15" s="5"/>
      <c r="D15" s="6"/>
      <c r="F15" s="7"/>
      <c r="G15" s="7"/>
      <c r="H15" s="7"/>
    </row>
    <row r="16" spans="2:17" s="1" customFormat="1">
      <c r="B16" s="5"/>
      <c r="D16" s="6"/>
      <c r="F16" s="7"/>
      <c r="G16" s="7" t="s">
        <v>27</v>
      </c>
      <c r="H16" s="7" t="s">
        <v>27</v>
      </c>
    </row>
    <row r="17" spans="2:17">
      <c r="C17" s="19" t="s">
        <v>6</v>
      </c>
      <c r="D17" s="20" t="s">
        <v>6</v>
      </c>
      <c r="E17" s="20" t="s">
        <v>6</v>
      </c>
      <c r="F17" s="20" t="s">
        <v>10</v>
      </c>
      <c r="G17" s="20"/>
      <c r="H17" s="20"/>
      <c r="I17" s="21" t="s">
        <v>11</v>
      </c>
      <c r="J17" s="19" t="s">
        <v>8</v>
      </c>
      <c r="K17" s="20" t="s">
        <v>15</v>
      </c>
      <c r="L17" s="20"/>
      <c r="M17" s="20"/>
      <c r="N17" s="20"/>
      <c r="O17" s="20"/>
      <c r="P17" s="20"/>
      <c r="Q17" s="21" t="s">
        <v>15</v>
      </c>
    </row>
    <row r="18" spans="2:17">
      <c r="B18" s="18" t="s">
        <v>0</v>
      </c>
      <c r="C18" s="22" t="s">
        <v>1</v>
      </c>
      <c r="D18" s="23" t="s">
        <v>18</v>
      </c>
      <c r="E18" s="23" t="s">
        <v>20</v>
      </c>
      <c r="F18" s="23" t="s">
        <v>7</v>
      </c>
      <c r="G18" s="23"/>
      <c r="H18" s="23"/>
      <c r="I18" s="24" t="s">
        <v>9</v>
      </c>
      <c r="J18" s="22" t="s">
        <v>9</v>
      </c>
      <c r="K18" s="23" t="s">
        <v>16</v>
      </c>
      <c r="L18" s="23" t="s">
        <v>17</v>
      </c>
      <c r="M18" s="23"/>
      <c r="N18" s="23"/>
      <c r="O18" s="23"/>
      <c r="P18" s="23"/>
      <c r="Q18" s="24" t="s">
        <v>14</v>
      </c>
    </row>
    <row r="19" spans="2:17" hidden="1">
      <c r="B19" s="10"/>
      <c r="C19" s="12"/>
      <c r="D19" s="13"/>
      <c r="E19" s="13"/>
      <c r="F19" s="13"/>
      <c r="G19" s="13"/>
      <c r="H19" s="13"/>
      <c r="I19" s="14"/>
      <c r="J19" s="12"/>
      <c r="K19" s="13"/>
      <c r="L19" s="13" t="s">
        <v>17</v>
      </c>
      <c r="M19" s="13"/>
      <c r="N19" s="13"/>
      <c r="O19" s="13"/>
      <c r="P19" s="13"/>
      <c r="Q19" s="14"/>
    </row>
    <row r="20" spans="2:17">
      <c r="B20" s="29">
        <v>42035</v>
      </c>
      <c r="C20" s="30">
        <v>2128112</v>
      </c>
      <c r="D20" s="31">
        <v>2247335</v>
      </c>
      <c r="E20" s="31">
        <v>0</v>
      </c>
      <c r="F20" s="32"/>
      <c r="G20" s="33"/>
      <c r="H20" s="34"/>
      <c r="I20" s="53"/>
      <c r="J20" s="41"/>
      <c r="K20" s="32"/>
      <c r="L20" s="43">
        <v>1.01E-4</v>
      </c>
      <c r="M20" s="35">
        <v>100</v>
      </c>
      <c r="N20" s="32">
        <f>+M20/100</f>
        <v>1</v>
      </c>
      <c r="O20" s="33">
        <f>COUNT($B$20:B20)/12</f>
        <v>8.3333333333333329E-2</v>
      </c>
      <c r="P20" s="32">
        <f>-1+(N20^(1/O20))</f>
        <v>0</v>
      </c>
      <c r="Q20" s="40"/>
    </row>
    <row r="21" spans="2:17">
      <c r="B21" s="29">
        <v>42063</v>
      </c>
      <c r="C21" s="30">
        <f>+C20</f>
        <v>2128112</v>
      </c>
      <c r="D21" s="31">
        <v>2227634.79</v>
      </c>
      <c r="E21" s="31">
        <v>0</v>
      </c>
      <c r="F21" s="32">
        <v>-8.7660299999999993E-3</v>
      </c>
      <c r="G21" s="46">
        <f t="shared" ref="G21:G26" si="0">+F21+1</f>
        <v>0.99123397000000002</v>
      </c>
      <c r="H21" s="50">
        <f>+G21</f>
        <v>0.99123397000000002</v>
      </c>
      <c r="I21" s="40">
        <f t="shared" ref="I21:I26" si="1">+H21-1</f>
        <v>-8.7660299999999802E-3</v>
      </c>
      <c r="J21" s="41">
        <f t="shared" ref="J21:J26" si="2">+(1+I21)^(365/(B21-$B$20))-1</f>
        <v>-0.1084335101040258</v>
      </c>
      <c r="K21" s="32"/>
      <c r="L21" s="43">
        <v>2.03E-4</v>
      </c>
      <c r="M21" s="33">
        <f t="shared" ref="M21:M26" si="3">+M20*(1+(L21*(B21-B20)/365))</f>
        <v>100.00155726027398</v>
      </c>
      <c r="N21" s="32">
        <f t="shared" ref="N21" si="4">+M21/100</f>
        <v>1.0000155726027398</v>
      </c>
      <c r="O21" s="33">
        <f>COUNT($B$20:B21)/12</f>
        <v>0.16666666666666666</v>
      </c>
      <c r="P21" s="32">
        <f t="shared" ref="P21" si="5">-1+(N21^(1/O21))</f>
        <v>9.34392541036555E-5</v>
      </c>
      <c r="Q21" s="44"/>
    </row>
    <row r="22" spans="2:17">
      <c r="B22" s="29">
        <v>42094</v>
      </c>
      <c r="C22" s="30">
        <f>+C21+230362</f>
        <v>2358474</v>
      </c>
      <c r="D22" s="31">
        <v>2477426.85</v>
      </c>
      <c r="E22" s="31">
        <v>0</v>
      </c>
      <c r="F22" s="32">
        <v>7.1120085999999997E-3</v>
      </c>
      <c r="G22" s="46">
        <f t="shared" si="0"/>
        <v>1.0071120086000001</v>
      </c>
      <c r="H22" s="50">
        <f>+G22*G21</f>
        <v>0.99828363451925217</v>
      </c>
      <c r="I22" s="40">
        <f t="shared" si="1"/>
        <v>-1.7163654807478279E-3</v>
      </c>
      <c r="J22" s="41">
        <f t="shared" si="2"/>
        <v>-1.0571045606717289E-2</v>
      </c>
      <c r="K22" s="32">
        <f>STDEV($F$21:F22)*(12^0.5)</f>
        <v>3.8893092686215373E-2</v>
      </c>
      <c r="L22" s="43">
        <v>1.01E-4</v>
      </c>
      <c r="M22" s="33">
        <f t="shared" si="3"/>
        <v>100.00241508185145</v>
      </c>
      <c r="N22" s="32">
        <f t="shared" ref="N22:N27" si="6">+M22/100</f>
        <v>1.0000241508185146</v>
      </c>
      <c r="O22" s="33">
        <f>COUNT($B$20:B22)/12</f>
        <v>0.25</v>
      </c>
      <c r="P22" s="32">
        <f t="shared" ref="P22" si="7">-1+(N22^(1/O22))</f>
        <v>9.6606773686946923E-5</v>
      </c>
      <c r="Q22" s="44">
        <f t="shared" ref="Q22:Q27" si="8">+(J22-P22)/K22</f>
        <v>-0.27428141203553869</v>
      </c>
    </row>
    <row r="23" spans="2:17">
      <c r="B23" s="29">
        <v>42124</v>
      </c>
      <c r="C23" s="30">
        <f>+C22+1343776.4</f>
        <v>3702250.4</v>
      </c>
      <c r="D23" s="31">
        <v>3897331.38</v>
      </c>
      <c r="E23" s="31">
        <v>0</v>
      </c>
      <c r="F23" s="32">
        <v>1.9922599999999999E-2</v>
      </c>
      <c r="G23" s="46">
        <f t="shared" si="0"/>
        <v>1.0199225999999999</v>
      </c>
      <c r="H23" s="50">
        <f>+G23*G22*G21</f>
        <v>1.0181720400563254</v>
      </c>
      <c r="I23" s="40">
        <f t="shared" si="1"/>
        <v>1.8172040056325445E-2</v>
      </c>
      <c r="J23" s="41">
        <f t="shared" si="2"/>
        <v>7.6652545318453003E-2</v>
      </c>
      <c r="K23" s="32">
        <f>STDEV($F$21:F23)*(12^0.5)</f>
        <v>4.9784753752082453E-2</v>
      </c>
      <c r="L23" s="43">
        <v>-1.5200000000000001E-4</v>
      </c>
      <c r="M23" s="33">
        <f t="shared" si="3"/>
        <v>100.00116573661097</v>
      </c>
      <c r="N23" s="32">
        <f t="shared" si="6"/>
        <v>1.0000116573661098</v>
      </c>
      <c r="O23" s="33">
        <f>COUNT($B$20:B23)/12</f>
        <v>0.33333333333333331</v>
      </c>
      <c r="P23" s="32">
        <f t="shared" ref="P23:P28" si="9">-1+(N23^(1/O23))</f>
        <v>3.4972506013364324E-5</v>
      </c>
      <c r="Q23" s="44">
        <f t="shared" si="8"/>
        <v>1.5389766351758805</v>
      </c>
    </row>
    <row r="24" spans="2:17">
      <c r="B24" s="29">
        <v>42155</v>
      </c>
      <c r="C24" s="30">
        <f>+C23+1207671</f>
        <v>4909921.4000000004</v>
      </c>
      <c r="D24" s="31">
        <v>5117920.47</v>
      </c>
      <c r="E24" s="31">
        <v>0</v>
      </c>
      <c r="F24" s="32">
        <v>2.5304680000000001E-3</v>
      </c>
      <c r="G24" s="46">
        <f t="shared" si="0"/>
        <v>1.002530468</v>
      </c>
      <c r="H24" s="50">
        <f>+G24*G23*G22*G21</f>
        <v>1.0207484918221825</v>
      </c>
      <c r="I24" s="40">
        <f t="shared" si="1"/>
        <v>2.0748491822182524E-2</v>
      </c>
      <c r="J24" s="41">
        <f t="shared" si="2"/>
        <v>6.4456345371344037E-2</v>
      </c>
      <c r="K24" s="32">
        <f>STDEV($F$21:F24)*(12^0.5)</f>
        <v>4.1113847909392036E-2</v>
      </c>
      <c r="L24" s="43">
        <v>0</v>
      </c>
      <c r="M24" s="33">
        <f t="shared" si="3"/>
        <v>100.00116573661097</v>
      </c>
      <c r="N24" s="32">
        <f t="shared" si="6"/>
        <v>1.0000116573661098</v>
      </c>
      <c r="O24" s="33">
        <f>COUNT($B$20:B24)/12</f>
        <v>0.41666666666666669</v>
      </c>
      <c r="P24" s="32">
        <f t="shared" si="9"/>
        <v>2.7977906966070165E-5</v>
      </c>
      <c r="Q24" s="44">
        <f t="shared" si="8"/>
        <v>1.5670721846898688</v>
      </c>
    </row>
    <row r="25" spans="2:17">
      <c r="B25" s="29">
        <v>42185</v>
      </c>
      <c r="C25" s="30">
        <f>+C24</f>
        <v>4909921.4000000004</v>
      </c>
      <c r="D25" s="31">
        <v>5131274.72</v>
      </c>
      <c r="E25" s="31">
        <v>35322.120000000003</v>
      </c>
      <c r="F25" s="32">
        <v>9.5770639999999997E-3</v>
      </c>
      <c r="G25" s="46">
        <f t="shared" si="0"/>
        <v>1.0095770639999999</v>
      </c>
      <c r="H25" s="50">
        <f>+G25*G24*G23*G22*G21</f>
        <v>1.0305242654562672</v>
      </c>
      <c r="I25" s="40">
        <f t="shared" si="1"/>
        <v>3.0524265456267186E-2</v>
      </c>
      <c r="J25" s="41">
        <f t="shared" si="2"/>
        <v>7.5907680876957206E-2</v>
      </c>
      <c r="K25" s="32">
        <f>STDEV($F$21:F25)*(12^0.5)</f>
        <v>3.6245651180650935E-2</v>
      </c>
      <c r="L25" s="43">
        <v>-1E-4</v>
      </c>
      <c r="M25" s="33">
        <f t="shared" si="3"/>
        <v>100.00034380922135</v>
      </c>
      <c r="N25" s="32">
        <f t="shared" si="6"/>
        <v>1.0000034380922136</v>
      </c>
      <c r="O25" s="33">
        <f>COUNT($B$20:B25)/12</f>
        <v>0.5</v>
      </c>
      <c r="P25" s="32">
        <f t="shared" si="9"/>
        <v>6.8761962477292826E-6</v>
      </c>
      <c r="Q25" s="44">
        <f t="shared" si="8"/>
        <v>2.0940665213162926</v>
      </c>
    </row>
    <row r="26" spans="2:17">
      <c r="B26" s="29">
        <v>42216</v>
      </c>
      <c r="C26" s="30">
        <f>+C25</f>
        <v>4909921.4000000004</v>
      </c>
      <c r="D26" s="31">
        <v>5164289.33</v>
      </c>
      <c r="E26" s="31">
        <v>0</v>
      </c>
      <c r="F26" s="32">
        <v>6.43E-3</v>
      </c>
      <c r="G26" s="46">
        <f t="shared" si="0"/>
        <v>1.0064299999999999</v>
      </c>
      <c r="H26" s="50">
        <f>+G26*G25*G24*G23*G22*G21</f>
        <v>1.0371505364831506</v>
      </c>
      <c r="I26" s="40">
        <f t="shared" si="1"/>
        <v>3.7150536483150587E-2</v>
      </c>
      <c r="J26" s="41">
        <f t="shared" si="2"/>
        <v>7.6331780830047435E-2</v>
      </c>
      <c r="K26" s="32">
        <f>STDEV($F$21:F26)*(12^0.5)</f>
        <v>3.2422978245309486E-2</v>
      </c>
      <c r="L26" s="43">
        <v>2.0000000000000001E-4</v>
      </c>
      <c r="M26" s="33">
        <f t="shared" si="3"/>
        <v>100.00204244519838</v>
      </c>
      <c r="N26" s="32">
        <f t="shared" si="6"/>
        <v>1.0000204244519839</v>
      </c>
      <c r="O26" s="33">
        <f>COUNT($B$20:B26)/12</f>
        <v>0.58333333333333337</v>
      </c>
      <c r="P26" s="32">
        <f t="shared" si="9"/>
        <v>3.5013601660693894E-5</v>
      </c>
      <c r="Q26" s="44">
        <f t="shared" si="8"/>
        <v>2.3531696148062622</v>
      </c>
    </row>
    <row r="27" spans="2:17">
      <c r="B27" s="29">
        <v>42247</v>
      </c>
      <c r="C27" s="30">
        <f>+C26+222682.95</f>
        <v>5132604.3500000006</v>
      </c>
      <c r="D27" s="31">
        <v>5401239</v>
      </c>
      <c r="E27" s="31">
        <v>28027.34</v>
      </c>
      <c r="F27" s="32">
        <v>7.89224E-3</v>
      </c>
      <c r="G27" s="46">
        <f t="shared" ref="G27:G32" si="10">+F27+1</f>
        <v>1.0078922400000001</v>
      </c>
      <c r="H27" s="50">
        <f>+G27*G26*G25*G24*G23*G22*G21</f>
        <v>1.0453359774332047</v>
      </c>
      <c r="I27" s="40">
        <f t="shared" ref="I27" si="11">+H27-1</f>
        <v>4.5335977433204722E-2</v>
      </c>
      <c r="J27" s="41">
        <f t="shared" ref="J27" si="12">+(1+I27)^(365/(B27-$B$20))-1</f>
        <v>7.9326506925002205E-2</v>
      </c>
      <c r="K27" s="32">
        <f>STDEV($F$21:F27)*(12^0.5)</f>
        <v>2.9687349179686129E-2</v>
      </c>
      <c r="L27" s="43">
        <v>0</v>
      </c>
      <c r="M27" s="33">
        <f t="shared" ref="M27" si="13">+M26*(1+(L27*(B27-B26)/365))</f>
        <v>100.00204244519838</v>
      </c>
      <c r="N27" s="32">
        <f t="shared" si="6"/>
        <v>1.0000204244519839</v>
      </c>
      <c r="O27" s="33">
        <f>COUNT($B$20:B27)/12</f>
        <v>0.66666666666666663</v>
      </c>
      <c r="P27" s="32">
        <f t="shared" si="9"/>
        <v>3.063683440962528E-5</v>
      </c>
      <c r="Q27" s="44">
        <f t="shared" si="8"/>
        <v>2.6710323515462804</v>
      </c>
    </row>
    <row r="28" spans="2:17">
      <c r="B28" s="29">
        <v>42277</v>
      </c>
      <c r="C28" s="30">
        <f>+C27</f>
        <v>5132604.3500000006</v>
      </c>
      <c r="D28" s="31">
        <v>5510249.5800000001</v>
      </c>
      <c r="E28" s="31">
        <v>0</v>
      </c>
      <c r="F28" s="32">
        <v>2.0182513999999999E-2</v>
      </c>
      <c r="G28" s="46">
        <f t="shared" si="10"/>
        <v>1.020182514</v>
      </c>
      <c r="H28" s="50">
        <f>+G28*G27*G26*G25*G24*G23*G22*G21</f>
        <v>1.0664334854324538</v>
      </c>
      <c r="I28" s="40">
        <f t="shared" ref="I28" si="14">+H28-1</f>
        <v>6.6433485432453754E-2</v>
      </c>
      <c r="J28" s="41">
        <f t="shared" ref="J28" si="15">+(1+I28)^(365/(B28-$B$20))-1</f>
        <v>0.10187293940320963</v>
      </c>
      <c r="K28" s="32">
        <f>STDEV($F$21:F28)*(12^0.5)</f>
        <v>3.2264073656858155E-2</v>
      </c>
      <c r="L28" s="43">
        <v>-2.0000000000000001E-4</v>
      </c>
      <c r="M28" s="33">
        <f t="shared" ref="M28" si="16">+M27*(1+(L28*(B28-B27)/365))</f>
        <v>100.0003985760075</v>
      </c>
      <c r="N28" s="32">
        <f t="shared" ref="N28" si="17">+M28/100</f>
        <v>1.0000039857600749</v>
      </c>
      <c r="O28" s="33">
        <f>COUNT($B$20:B28)/12</f>
        <v>0.75</v>
      </c>
      <c r="P28" s="32">
        <f t="shared" si="9"/>
        <v>5.314350296714565E-6</v>
      </c>
      <c r="Q28" s="44">
        <f t="shared" ref="Q28" si="18">+(J28-P28)/K28</f>
        <v>3.1573082226478117</v>
      </c>
    </row>
    <row r="29" spans="2:17">
      <c r="B29" s="29">
        <v>42308</v>
      </c>
      <c r="C29" s="30">
        <f>+C28</f>
        <v>5132604.3500000006</v>
      </c>
      <c r="D29" s="31">
        <v>5503517.75</v>
      </c>
      <c r="E29" s="31">
        <v>49758.12</v>
      </c>
      <c r="F29" s="32">
        <v>7.8795600000000007E-3</v>
      </c>
      <c r="G29" s="46">
        <f t="shared" si="10"/>
        <v>1.0078795599999999</v>
      </c>
      <c r="H29" s="50">
        <f>+G29*G28*G27*G26*G25*G24*G23*G22*G21</f>
        <v>1.0748365120669281</v>
      </c>
      <c r="I29" s="40">
        <f t="shared" ref="I29" si="19">+H29-1</f>
        <v>7.4836512066928096E-2</v>
      </c>
      <c r="J29" s="41">
        <f t="shared" ref="J29" si="20">+(1+I29)^(365/(B29-$B$20))-1</f>
        <v>0.10129758943540113</v>
      </c>
      <c r="K29" s="32">
        <f>STDEV($F$21:F29)*(12^0.5)</f>
        <v>3.0181451467826838E-2</v>
      </c>
      <c r="L29" s="43">
        <v>0</v>
      </c>
      <c r="M29" s="33">
        <f t="shared" ref="M29" si="21">+M28*(1+(L29*(B29-B28)/365))</f>
        <v>100.0003985760075</v>
      </c>
      <c r="N29" s="32">
        <f t="shared" ref="N29" si="22">+M29/100</f>
        <v>1.0000039857600749</v>
      </c>
      <c r="O29" s="33">
        <f>COUNT($B$20:B29)/12</f>
        <v>0.83333333333333337</v>
      </c>
      <c r="P29" s="32">
        <f t="shared" ref="P29" si="23">-1+(N29^(1/O29))</f>
        <v>4.7829139961930167E-6</v>
      </c>
      <c r="Q29" s="44">
        <f t="shared" ref="Q29" si="24">+(J29-P29)/K29</f>
        <v>3.3561277405555585</v>
      </c>
    </row>
    <row r="30" spans="2:17">
      <c r="B30" s="29">
        <v>42338</v>
      </c>
      <c r="C30" s="30">
        <f>+C29+299470.17</f>
        <v>5432074.5200000005</v>
      </c>
      <c r="D30" s="31">
        <v>5809986.9199999999</v>
      </c>
      <c r="E30" s="31">
        <v>0</v>
      </c>
      <c r="F30" s="32">
        <v>1.2061026999999999E-3</v>
      </c>
      <c r="G30" s="46">
        <f t="shared" si="10"/>
        <v>1.0012061027000001</v>
      </c>
      <c r="H30" s="50">
        <f>+G30*G29*G28*G27*G26*G25*G24*G23*G22*G21</f>
        <v>1.0761328752861909</v>
      </c>
      <c r="I30" s="40">
        <f t="shared" ref="I30" si="25">+H30-1</f>
        <v>7.6132875286190949E-2</v>
      </c>
      <c r="J30" s="41">
        <f t="shared" ref="J30" si="26">+(1+I30)^(365/(B30-$B$20))-1</f>
        <v>9.2411627454586309E-2</v>
      </c>
      <c r="K30" s="32">
        <f>STDEV($F$21:F30)*(12^0.5)</f>
        <v>2.9436055424567842E-2</v>
      </c>
      <c r="L30" s="43">
        <v>9.1500000000000001E-4</v>
      </c>
      <c r="M30" s="33">
        <f t="shared" ref="M30:M35" si="27">+M29*(1+(L30*(B30-B29)/365))</f>
        <v>100.00791915392779</v>
      </c>
      <c r="N30" s="32">
        <f t="shared" ref="N30" si="28">+M30/100</f>
        <v>1.0000791915392779</v>
      </c>
      <c r="O30" s="33">
        <f>COUNT($B$20:B30)/12</f>
        <v>0.91666666666666663</v>
      </c>
      <c r="P30" s="32">
        <f t="shared" ref="P30" si="29">-1+(N30^(1/O30))</f>
        <v>8.6391081087544563E-5</v>
      </c>
      <c r="Q30" s="44">
        <f t="shared" ref="Q30" si="30">+(J30-P30)/K30</f>
        <v>3.1364676768627948</v>
      </c>
    </row>
    <row r="31" spans="2:17">
      <c r="B31" s="29">
        <v>42369</v>
      </c>
      <c r="C31" s="30">
        <f>+C30+1429394.15</f>
        <v>6861468.6699999999</v>
      </c>
      <c r="D31" s="31">
        <v>7238547.4199999999</v>
      </c>
      <c r="E31" s="31">
        <v>0</v>
      </c>
      <c r="F31" s="32">
        <v>-1.1514999999999999E-4</v>
      </c>
      <c r="G31" s="46">
        <f t="shared" si="10"/>
        <v>0.99988485000000005</v>
      </c>
      <c r="H31" s="50">
        <f>+G31*G30*G29*G28*G27*G26*G25*G24*G23*G22*G21</f>
        <v>1.0760089585856014</v>
      </c>
      <c r="I31" s="40">
        <f t="shared" ref="I31" si="31">+H31-1</f>
        <v>7.6008958585601416E-2</v>
      </c>
      <c r="J31" s="41">
        <f t="shared" ref="J31" si="32">+(1+I31)^(365/(B31-$B$20))-1</f>
        <v>8.3350177302049744E-2</v>
      </c>
      <c r="K31" s="32">
        <f>STDEV($F$21:F31)*(12^0.5)</f>
        <v>2.9006725892046767E-2</v>
      </c>
      <c r="L31" s="43">
        <v>1.2199999999999999E-3</v>
      </c>
      <c r="M31" s="33">
        <f t="shared" si="27"/>
        <v>100.01828161831793</v>
      </c>
      <c r="N31" s="32">
        <f t="shared" ref="N31" si="33">+M31/100</f>
        <v>1.0001828161831794</v>
      </c>
      <c r="O31" s="33">
        <f>COUNT($B$20:B31)/12</f>
        <v>1</v>
      </c>
      <c r="P31" s="32">
        <f t="shared" ref="P31" si="34">-1+(N31^(1/O31))</f>
        <v>1.8281618317939063E-4</v>
      </c>
      <c r="Q31" s="44">
        <f t="shared" ref="Q31" si="35">+(J31-P31)/K31</f>
        <v>2.8671750623766079</v>
      </c>
    </row>
    <row r="32" spans="2:17">
      <c r="B32" s="29">
        <v>42400</v>
      </c>
      <c r="C32" s="30">
        <f>+C31</f>
        <v>6861468.6699999999</v>
      </c>
      <c r="D32" s="31">
        <v>7217462.54</v>
      </c>
      <c r="E32" s="31">
        <v>59126.16</v>
      </c>
      <c r="F32" s="32">
        <v>5.2986550000000002E-3</v>
      </c>
      <c r="G32" s="46">
        <f t="shared" si="10"/>
        <v>1.005298655</v>
      </c>
      <c r="H32" s="50">
        <f>+G32*G31*G30*G29*G28*G27*G26*G25*G24*G23*G22*G21</f>
        <v>1.0817103588340562</v>
      </c>
      <c r="I32" s="40">
        <f t="shared" ref="I32" si="36">+H32-1</f>
        <v>8.1710358834056196E-2</v>
      </c>
      <c r="J32" s="41">
        <f t="shared" ref="J32" si="37">+(1+I32)^(365/(B32-$B$20))-1</f>
        <v>8.1710358834056196E-2</v>
      </c>
      <c r="K32" s="32">
        <f>STDEV($F$21:F32)*(12^0.5)</f>
        <v>2.7693007424745824E-2</v>
      </c>
      <c r="L32" s="43">
        <v>2.186E-3</v>
      </c>
      <c r="M32" s="33">
        <f t="shared" si="27"/>
        <v>100.03685103988546</v>
      </c>
      <c r="N32" s="32">
        <f t="shared" ref="N32:N38" si="38">+M32/100</f>
        <v>1.0003685103988547</v>
      </c>
      <c r="O32" s="33">
        <f>COUNT($B$20:B32)/12</f>
        <v>1.0833333333333333</v>
      </c>
      <c r="P32" s="32">
        <f t="shared" ref="P32:P37" si="39">-1+(N32^(1/O32))</f>
        <v>3.4015862443559364E-4</v>
      </c>
      <c r="Q32" s="44">
        <f t="shared" ref="Q32" si="40">+(J32-P32)/K32</f>
        <v>2.9382940957474375</v>
      </c>
    </row>
    <row r="33" spans="2:17">
      <c r="B33" s="29">
        <v>42429</v>
      </c>
      <c r="C33" s="30">
        <f>+C32+203639.71</f>
        <v>7065108.3799999999</v>
      </c>
      <c r="D33" s="31">
        <v>7428317.4400000004</v>
      </c>
      <c r="E33" s="31">
        <v>0</v>
      </c>
      <c r="F33" s="32">
        <v>9.7230000000000005E-4</v>
      </c>
      <c r="G33" s="46">
        <f t="shared" ref="G33:G38" si="41">+F33+1</f>
        <v>1.0009722999999999</v>
      </c>
      <c r="H33" s="50">
        <f>+G33*G32*G31*G30*G29*G28*G27*G26*G25*G24*G23*G22*G21</f>
        <v>1.0827621058159507</v>
      </c>
      <c r="I33" s="40">
        <f t="shared" ref="I33" si="42">+H33-1</f>
        <v>8.2762105815950671E-2</v>
      </c>
      <c r="J33" s="41">
        <f t="shared" ref="J33" si="43">+(1+I33)^(365/(B33-$B$20))-1</f>
        <v>7.6443588800199525E-2</v>
      </c>
      <c r="K33" s="32">
        <f>STDEV($F$21:F33)*(12^0.5)</f>
        <v>2.7058928935536068E-2</v>
      </c>
      <c r="L33" s="43">
        <v>2.186E-3</v>
      </c>
      <c r="M33" s="33">
        <f t="shared" si="27"/>
        <v>100.05422565943292</v>
      </c>
      <c r="N33" s="32">
        <f t="shared" si="38"/>
        <v>1.0005422565943292</v>
      </c>
      <c r="O33" s="33">
        <f>COUNT($B$20:B33)/12</f>
        <v>1.1666666666666667</v>
      </c>
      <c r="P33" s="32">
        <f t="shared" si="39"/>
        <v>4.6477336770101019E-4</v>
      </c>
      <c r="Q33" s="44">
        <f t="shared" ref="Q33" si="44">+(J33-P33)/K33</f>
        <v>2.8079018062210408</v>
      </c>
    </row>
    <row r="34" spans="2:17">
      <c r="B34" s="29">
        <v>42460</v>
      </c>
      <c r="C34" s="30">
        <f t="shared" ref="C34:C41" si="45">+C33</f>
        <v>7065108.3799999999</v>
      </c>
      <c r="D34" s="31">
        <v>7544322.1900000004</v>
      </c>
      <c r="E34" s="31">
        <v>0</v>
      </c>
      <c r="F34" s="32">
        <v>1.56166E-2</v>
      </c>
      <c r="G34" s="46">
        <f t="shared" si="41"/>
        <v>1.0156166</v>
      </c>
      <c r="H34" s="50">
        <f>+G34*G33*G32*G31*G30*G29*G28*G27*G26*G25*G24*G23*G22*G21</f>
        <v>1.0996711685176359</v>
      </c>
      <c r="I34" s="40">
        <f t="shared" ref="I34" si="46">+H34-1</f>
        <v>9.9671168517635911E-2</v>
      </c>
      <c r="J34" s="41">
        <f t="shared" ref="J34" si="47">+(1+I34)^(365/(B34-$B$20))-1</f>
        <v>8.5019383583412989E-2</v>
      </c>
      <c r="K34" s="32">
        <f>STDEV($F$21:F34)*(12^0.5)</f>
        <v>2.7431056126754772E-2</v>
      </c>
      <c r="L34" s="43">
        <v>1.678E-3</v>
      </c>
      <c r="M34" s="33">
        <f t="shared" si="27"/>
        <v>100.06848489425579</v>
      </c>
      <c r="N34" s="32">
        <f t="shared" si="38"/>
        <v>1.0006848489425579</v>
      </c>
      <c r="O34" s="33">
        <f>COUNT($B$20:B34)/12</f>
        <v>1.25</v>
      </c>
      <c r="P34" s="32">
        <f t="shared" si="39"/>
        <v>5.4784164287524639E-4</v>
      </c>
      <c r="Q34" s="44">
        <f t="shared" ref="Q34" si="48">+(J34-P34)/K34</f>
        <v>3.079412675553121</v>
      </c>
    </row>
    <row r="35" spans="2:17">
      <c r="B35" s="29">
        <v>42490</v>
      </c>
      <c r="C35" s="30">
        <f t="shared" si="45"/>
        <v>7065108.3799999999</v>
      </c>
      <c r="D35" s="31">
        <v>7352516.8200000003</v>
      </c>
      <c r="E35" s="31">
        <v>276817.94</v>
      </c>
      <c r="F35" s="32">
        <v>1.1697600000000001E-2</v>
      </c>
      <c r="G35" s="46">
        <f t="shared" si="41"/>
        <v>1.0116976</v>
      </c>
      <c r="H35" s="50">
        <f>+G35*G34*G33*G32*G31*G30*G29*G28*G27*G26*G25*G24*G23*G22*G21</f>
        <v>1.1125346819784869</v>
      </c>
      <c r="I35" s="40">
        <f t="shared" ref="I35" si="49">+H35-1</f>
        <v>0.11253468197848693</v>
      </c>
      <c r="J35" s="41">
        <f t="shared" ref="J35" si="50">+(1+I35)^(365/(B35-$B$20))-1</f>
        <v>8.9312870184204973E-2</v>
      </c>
      <c r="K35" s="32">
        <f>STDEV($F$21:F35)*(12^0.5)</f>
        <v>2.6788135701128681E-2</v>
      </c>
      <c r="L35" s="43">
        <v>1.5250000000000001E-3</v>
      </c>
      <c r="M35" s="33">
        <f t="shared" si="27"/>
        <v>100.08102772489664</v>
      </c>
      <c r="N35" s="32">
        <f t="shared" si="38"/>
        <v>1.0008102772489664</v>
      </c>
      <c r="O35" s="33">
        <f>COUNT($B$20:B35)/12</f>
        <v>1.3333333333333333</v>
      </c>
      <c r="P35" s="32">
        <f t="shared" si="39"/>
        <v>6.0764640600674547E-4</v>
      </c>
      <c r="Q35" s="44">
        <f t="shared" ref="Q35" si="51">+(J35-P35)/K35</f>
        <v>3.3113623421901943</v>
      </c>
    </row>
    <row r="36" spans="2:17">
      <c r="B36" s="29">
        <v>42521</v>
      </c>
      <c r="C36" s="30">
        <f t="shared" si="45"/>
        <v>7065108.3799999999</v>
      </c>
      <c r="D36" s="31">
        <v>7627502.25</v>
      </c>
      <c r="E36" s="31">
        <v>0</v>
      </c>
      <c r="F36" s="32">
        <v>3.7400179999999998E-2</v>
      </c>
      <c r="G36" s="46">
        <f t="shared" si="41"/>
        <v>1.0374001799999999</v>
      </c>
      <c r="H36" s="50">
        <f>+G36*G35*G34*G33*G32*G31*G30*G29*G28*G27*G26*G25*G24*G23*G22*G21</f>
        <v>1.1541436793407249</v>
      </c>
      <c r="I36" s="40">
        <f t="shared" ref="I36" si="52">+H36-1</f>
        <v>0.15414367934072493</v>
      </c>
      <c r="J36" s="41">
        <f t="shared" ref="J36" si="53">+(1+I36)^(365/(B36-$B$20))-1</f>
        <v>0.11367625872515585</v>
      </c>
      <c r="K36" s="32">
        <f>STDEV($F$21:F36)*(12^0.5)</f>
        <v>3.6817181156712162E-2</v>
      </c>
      <c r="L36" s="43">
        <v>1.7799999999999999E-3</v>
      </c>
      <c r="M36" s="33">
        <f t="shared" ref="M36" si="54">+M35*(1+(L36*(B36-B35)/365))</f>
        <v>100.09615778273186</v>
      </c>
      <c r="N36" s="32">
        <f t="shared" si="38"/>
        <v>1.0009615778273186</v>
      </c>
      <c r="O36" s="33">
        <f>COUNT($B$20:B36)/12</f>
        <v>1.4166666666666667</v>
      </c>
      <c r="P36" s="32">
        <f t="shared" si="39"/>
        <v>6.7866487652312735E-4</v>
      </c>
      <c r="Q36" s="44">
        <f t="shared" ref="Q36" si="55">+(J36-P36)/K36</f>
        <v>3.0691538650843202</v>
      </c>
    </row>
    <row r="37" spans="2:17">
      <c r="B37" s="29">
        <v>42551</v>
      </c>
      <c r="C37" s="30">
        <f t="shared" si="45"/>
        <v>7065108.3799999999</v>
      </c>
      <c r="D37" s="31">
        <v>7659344.96</v>
      </c>
      <c r="E37" s="31">
        <v>0</v>
      </c>
      <c r="F37" s="32">
        <v>4.1746999999999999E-3</v>
      </c>
      <c r="G37" s="46">
        <f t="shared" si="41"/>
        <v>1.0041747000000001</v>
      </c>
      <c r="H37" s="50">
        <f>+G37*G36*G35*G34*G33*G32*G31*G30*G29*G28*G27*G26*G25*G24*G23*G22*G21</f>
        <v>1.1589618829588699</v>
      </c>
      <c r="I37" s="40">
        <f t="shared" ref="I37" si="56">+H37-1</f>
        <v>0.15896188295886993</v>
      </c>
      <c r="J37" s="41">
        <f t="shared" ref="J37" si="57">+(1+I37)^(365/(B37-$B$20))-1</f>
        <v>0.10999298467876062</v>
      </c>
      <c r="K37" s="32">
        <f>STDEV($F$21:F37)*(12^0.5)</f>
        <v>3.5882856254697865E-2</v>
      </c>
      <c r="L37" s="43">
        <v>1.6800000000000001E-3</v>
      </c>
      <c r="M37" s="33">
        <f t="shared" ref="M37" si="58">+M36*(1+(L37*(B37-B36)/365))</f>
        <v>100.10997927958735</v>
      </c>
      <c r="N37" s="32">
        <f t="shared" si="38"/>
        <v>1.0010997927958736</v>
      </c>
      <c r="O37" s="33">
        <f>COUNT($B$20:B37)/12</f>
        <v>1.5</v>
      </c>
      <c r="P37" s="32">
        <f t="shared" si="39"/>
        <v>7.3306086909896706E-4</v>
      </c>
      <c r="Q37" s="44">
        <f t="shared" ref="Q37" si="59">+(J37-P37)/K37</f>
        <v>3.0449059861380765</v>
      </c>
    </row>
    <row r="38" spans="2:17">
      <c r="B38" s="29">
        <v>42582</v>
      </c>
      <c r="C38" s="30">
        <f t="shared" si="45"/>
        <v>7065108.3799999999</v>
      </c>
      <c r="D38" s="31">
        <v>7473304</v>
      </c>
      <c r="E38" s="31">
        <v>248176.3</v>
      </c>
      <c r="F38" s="32">
        <v>8.3840100000000008E-3</v>
      </c>
      <c r="G38" s="46">
        <f t="shared" si="41"/>
        <v>1.0083840100000001</v>
      </c>
      <c r="H38" s="50">
        <f>+G38*G37*G36*G35*G34*G33*G32*G31*G30*G29*G28*G27*G26*G25*G24*G23*G22*G21</f>
        <v>1.1686786309752157</v>
      </c>
      <c r="I38" s="40">
        <f t="shared" ref="I38:I43" si="60">+H38-1</f>
        <v>0.16867863097521574</v>
      </c>
      <c r="J38" s="41">
        <f t="shared" ref="J38" si="61">+(1+I38)^(365/(B38-$B$20))-1</f>
        <v>0.10961245043634471</v>
      </c>
      <c r="K38" s="32">
        <f>STDEV($F$21:F38)*(12^0.5)</f>
        <v>3.4812876504282698E-2</v>
      </c>
      <c r="L38" s="43">
        <v>1.7799999999999999E-3</v>
      </c>
      <c r="M38" s="33">
        <f t="shared" ref="M38" si="62">+M37*(1+(L38*(B38-B37)/365))</f>
        <v>100.12511371426308</v>
      </c>
      <c r="N38" s="32">
        <f t="shared" si="38"/>
        <v>1.0012511371426307</v>
      </c>
      <c r="O38" s="33">
        <f>COUNT($B$20:B38)/12</f>
        <v>1.5833333333333333</v>
      </c>
      <c r="P38" s="32">
        <f t="shared" ref="P38" si="63">-1+(N38^(1/O38))</f>
        <v>7.9000986581090338E-4</v>
      </c>
      <c r="Q38" s="44">
        <f t="shared" ref="Q38" si="64">+(J38-P38)/K38</f>
        <v>3.1259249880470641</v>
      </c>
    </row>
    <row r="39" spans="2:17">
      <c r="B39" s="29">
        <v>42613</v>
      </c>
      <c r="C39" s="30">
        <f t="shared" si="45"/>
        <v>7065108.3799999999</v>
      </c>
      <c r="D39" s="31">
        <v>7478682.29</v>
      </c>
      <c r="E39" s="31">
        <v>32250.639999999999</v>
      </c>
      <c r="F39" s="32">
        <v>5.0568999999999996E-3</v>
      </c>
      <c r="G39" s="46">
        <f t="shared" ref="G39:G44" si="65">+F39+1</f>
        <v>1.0050569</v>
      </c>
      <c r="H39" s="50">
        <f>+G39*G38*G37*G36*G35*G34*G33*G32*G31*G30*G29*G28*G27*G26*G25*G24*G23*G22*G21</f>
        <v>1.1745885219441938</v>
      </c>
      <c r="I39" s="40">
        <f t="shared" si="60"/>
        <v>0.17458852194419383</v>
      </c>
      <c r="J39" s="41">
        <f t="shared" ref="J39" si="66">+(1+I39)^(365/(B39-$B$20))-1</f>
        <v>0.10696020002344131</v>
      </c>
      <c r="K39" s="32">
        <f>STDEV($F$21:F39)*(12^0.5)</f>
        <v>3.3958704157069114E-2</v>
      </c>
      <c r="L39" s="43">
        <v>2.6900000000000001E-3</v>
      </c>
      <c r="M39" s="33">
        <f t="shared" ref="M39" si="67">+M38*(1+(L39*(B39-B38)/365))</f>
        <v>100.14798887380454</v>
      </c>
      <c r="N39" s="32">
        <f t="shared" ref="N39" si="68">+M39/100</f>
        <v>1.0014798887380454</v>
      </c>
      <c r="O39" s="33">
        <f>COUNT($B$20:B39)/12</f>
        <v>1.6666666666666667</v>
      </c>
      <c r="P39" s="32">
        <f t="shared" ref="P39" si="69">-1+(N39^(1/O39))</f>
        <v>8.8767061568439942E-4</v>
      </c>
      <c r="Q39" s="44">
        <f t="shared" ref="Q39" si="70">+(J39-P39)/K39</f>
        <v>3.1235741186453962</v>
      </c>
    </row>
    <row r="40" spans="2:17">
      <c r="B40" s="29">
        <v>42643</v>
      </c>
      <c r="C40" s="30">
        <f t="shared" si="45"/>
        <v>7065108.3799999999</v>
      </c>
      <c r="D40" s="31">
        <v>7515997.8300000001</v>
      </c>
      <c r="E40" s="31">
        <v>0</v>
      </c>
      <c r="F40" s="32">
        <v>4.9896000000000003E-3</v>
      </c>
      <c r="G40" s="46">
        <f t="shared" si="65"/>
        <v>1.0049896</v>
      </c>
      <c r="H40" s="50">
        <f>+G40*G39*G38*G37*G36*G35*G34*G33*G32*G31*G30*G29*G28*G27*G26*G25*G24*G23*G22*G21</f>
        <v>1.1804492488332869</v>
      </c>
      <c r="I40" s="40">
        <f t="shared" si="60"/>
        <v>0.18044924883328695</v>
      </c>
      <c r="J40" s="41">
        <f t="shared" ref="J40" si="71">+(1+I40)^(365/(B40-$B$20))-1</f>
        <v>0.10471968270277054</v>
      </c>
      <c r="K40" s="32">
        <f>STDEV($F$21:F40)*(12^0.5)</f>
        <v>3.3167839540312792E-2</v>
      </c>
      <c r="L40" s="43">
        <v>1.825E-3</v>
      </c>
      <c r="M40" s="33">
        <f t="shared" ref="M40" si="72">+M39*(1+(L40*(B40-B39)/365))</f>
        <v>100.16301107213562</v>
      </c>
      <c r="N40" s="32">
        <f t="shared" ref="N40" si="73">+M40/100</f>
        <v>1.0016301107213561</v>
      </c>
      <c r="O40" s="33">
        <f>COUNT($B$20:B40)/12</f>
        <v>1.75</v>
      </c>
      <c r="P40" s="32">
        <f t="shared" ref="P40" si="74">-1+(N40^(1/O40))</f>
        <v>9.3116671420490071E-4</v>
      </c>
      <c r="Q40" s="44">
        <f t="shared" ref="Q40" si="75">+(J40-P40)/K40</f>
        <v>3.129191331935238</v>
      </c>
    </row>
    <row r="41" spans="2:17">
      <c r="B41" s="29">
        <v>42674</v>
      </c>
      <c r="C41" s="30">
        <f t="shared" si="45"/>
        <v>7065108.3799999999</v>
      </c>
      <c r="D41" s="31">
        <v>7461568.8799999999</v>
      </c>
      <c r="E41" s="31">
        <v>115180.83</v>
      </c>
      <c r="F41" s="32">
        <v>8.2088000000000005E-3</v>
      </c>
      <c r="G41" s="46">
        <f t="shared" si="65"/>
        <v>1.0082088</v>
      </c>
      <c r="H41" s="50">
        <f>+G41*G40*G39*G38*G37*G36*G35*G34*G33*G32*G31*G30*G29*G28*G27*G26*G25*G24*G23*G22*G21</f>
        <v>1.1901393206271091</v>
      </c>
      <c r="I41" s="40">
        <f t="shared" si="60"/>
        <v>0.19013932062710914</v>
      </c>
      <c r="J41" s="41">
        <f t="shared" ref="J41" si="76">+(1+I41)^(365/(B41-$B$20))-1</f>
        <v>0.10454100736866612</v>
      </c>
      <c r="K41" s="32">
        <f>STDEV($F$21:F41)*(12^0.5)</f>
        <v>3.2328246755448299E-2</v>
      </c>
      <c r="L41" s="43">
        <v>1.622E-3</v>
      </c>
      <c r="M41" s="33">
        <f t="shared" ref="M41" si="77">+M40*(1+(L41*(B41-B40)/365))</f>
        <v>100.17680941877323</v>
      </c>
      <c r="N41" s="32">
        <f t="shared" ref="N41" si="78">+M41/100</f>
        <v>1.0017680941877323</v>
      </c>
      <c r="O41" s="33">
        <f>COUNT($B$20:B41)/12</f>
        <v>1.8333333333333333</v>
      </c>
      <c r="P41" s="32">
        <f t="shared" ref="P41" si="79">-1+(N41^(1/O41))</f>
        <v>9.6402780322102366E-4</v>
      </c>
      <c r="Q41" s="44">
        <f t="shared" ref="Q41" si="80">+(J41-P41)/K41</f>
        <v>3.2039157690476734</v>
      </c>
    </row>
    <row r="42" spans="2:17">
      <c r="B42" s="29">
        <v>42704</v>
      </c>
      <c r="C42" s="30">
        <f>+C41</f>
        <v>7065108.3799999999</v>
      </c>
      <c r="D42" s="31">
        <v>7428669.2300000004</v>
      </c>
      <c r="E42" s="31">
        <v>50679.57</v>
      </c>
      <c r="F42" s="32">
        <v>2.3990000000000001E-3</v>
      </c>
      <c r="G42" s="46">
        <f t="shared" si="65"/>
        <v>1.002399</v>
      </c>
      <c r="H42" s="50">
        <f>+G42*G41*G40*G39*G38*G37*G36*G35*G34*G33*G32*G31*G30*G29*G28*G27*G26*G25*G24*G23*G22*G21</f>
        <v>1.1929944648572941</v>
      </c>
      <c r="I42" s="40">
        <f t="shared" si="60"/>
        <v>0.1929944648572941</v>
      </c>
      <c r="J42" s="41">
        <f>+(1+I42)^(365/(B42-$B$20))-1</f>
        <v>0.10106559772433044</v>
      </c>
      <c r="K42" s="32">
        <f>STDEV($F$21:F42)*(12^0.5)</f>
        <v>3.1855268884460768E-2</v>
      </c>
      <c r="L42" s="43">
        <v>3.5999999999999999E-3</v>
      </c>
      <c r="M42" s="33">
        <f t="shared" ref="M42" si="81">+M41*(1+(L42*(B42-B41)/365))</f>
        <v>100.2064507760807</v>
      </c>
      <c r="N42" s="32">
        <f t="shared" ref="N42" si="82">+M42/100</f>
        <v>1.002064507760807</v>
      </c>
      <c r="O42" s="33">
        <f>COUNT($B$20:B42)/12</f>
        <v>1.9166666666666667</v>
      </c>
      <c r="P42" s="32">
        <f t="shared" ref="P42" si="83">-1+(N42^(1/O42))</f>
        <v>1.0766032572688822E-3</v>
      </c>
      <c r="Q42" s="44">
        <f t="shared" ref="Q42" si="84">+(J42-P42)/K42</f>
        <v>3.1388526284214451</v>
      </c>
    </row>
    <row r="43" spans="2:17">
      <c r="B43" s="29">
        <v>42735</v>
      </c>
      <c r="C43" s="30">
        <f>+C42+529447.9</f>
        <v>7594556.2800000003</v>
      </c>
      <c r="D43" s="31">
        <v>7991122.3300000001</v>
      </c>
      <c r="E43" s="31">
        <v>15357.44</v>
      </c>
      <c r="F43" s="32">
        <v>6.0889000000000004E-3</v>
      </c>
      <c r="G43" s="46">
        <f t="shared" si="65"/>
        <v>1.0060889</v>
      </c>
      <c r="H43" s="50">
        <f>+G43*G42*G41*G40*G39*G38*G37*G36*G35*G34*G33*G32*G31*G30*G29*G28*G27*G26*G25*G24*G23*G22*G21</f>
        <v>1.2002584888543637</v>
      </c>
      <c r="I43" s="40">
        <f t="shared" si="60"/>
        <v>0.2002584888543637</v>
      </c>
      <c r="J43" s="41">
        <f>+(1+I43)^(365/(B43-$B$20))-1</f>
        <v>9.9856785541473592E-2</v>
      </c>
      <c r="K43" s="32">
        <f>STDEV($F$21:F43)*(12^0.5)</f>
        <v>3.115651875039745E-2</v>
      </c>
      <c r="L43" s="43">
        <v>4.1580000000000002E-3</v>
      </c>
      <c r="M43" s="33">
        <f t="shared" ref="M43" si="85">+M42*(1+(L43*(B43-B42)/365))</f>
        <v>100.24183820373038</v>
      </c>
      <c r="N43" s="32">
        <f t="shared" ref="N43" si="86">+M43/100</f>
        <v>1.0024183820373038</v>
      </c>
      <c r="O43" s="33">
        <f>COUNT($B$20:B43)/12</f>
        <v>2</v>
      </c>
      <c r="P43" s="32">
        <f t="shared" ref="P43" si="87">-1+(N43^(1/O43))</f>
        <v>1.208460829863256E-3</v>
      </c>
      <c r="Q43" s="44">
        <f t="shared" ref="Q43" si="88">+(J43-P43)/K43</f>
        <v>3.1662178147021613</v>
      </c>
    </row>
    <row r="44" spans="2:17">
      <c r="B44" s="29">
        <v>42766</v>
      </c>
      <c r="C44" s="30">
        <f>+C43</f>
        <v>7594556.2800000003</v>
      </c>
      <c r="D44" s="31">
        <v>8070371.9900000002</v>
      </c>
      <c r="E44" s="31">
        <v>0</v>
      </c>
      <c r="F44" s="32">
        <v>9.9171999999999993E-3</v>
      </c>
      <c r="G44" s="46">
        <f t="shared" si="65"/>
        <v>1.0099172000000001</v>
      </c>
      <c r="H44" s="50">
        <f>+G44*G43*G42*G41*G40*G39*G38*G37*G36*G35*G34*G33*G32*G31*G30*G29*G28*G27*G26*G25*G24*G23*G22*G21</f>
        <v>1.2121616923400302</v>
      </c>
      <c r="I44" s="40">
        <f t="shared" ref="I44" si="89">+H44-1</f>
        <v>0.21216169234003024</v>
      </c>
      <c r="J44" s="41">
        <f>+(1+I44)^(365/(B44-$B$20))-1</f>
        <v>0.10083726466342613</v>
      </c>
      <c r="K44" s="32">
        <f>STDEV($F$21:F44)*(12^0.5)</f>
        <v>3.0501628771473364E-2</v>
      </c>
      <c r="L44" s="43">
        <v>4.614E-3</v>
      </c>
      <c r="M44" s="33">
        <f t="shared" ref="M44" si="90">+M43*(1+(L44*(B44-B43)/365))</f>
        <v>100.28112037108828</v>
      </c>
      <c r="N44" s="32">
        <f t="shared" ref="N44" si="91">+M44/100</f>
        <v>1.0028112037108827</v>
      </c>
      <c r="O44" s="33">
        <f>COUNT($B$20:B44)/12</f>
        <v>2.0833333333333335</v>
      </c>
      <c r="P44" s="32">
        <f t="shared" ref="P44" si="92">-1+(N44^(1/O44))</f>
        <v>1.3483929058237809E-3</v>
      </c>
      <c r="Q44" s="44">
        <f t="shared" ref="Q44" si="93">+(J44-P44)/K44</f>
        <v>3.2617560361448397</v>
      </c>
    </row>
    <row r="45" spans="2:17">
      <c r="B45" s="29">
        <v>42794</v>
      </c>
      <c r="C45" s="30">
        <f>+C44+767872</f>
        <v>8362428.2800000003</v>
      </c>
      <c r="D45" s="31">
        <v>8796350.8900000006</v>
      </c>
      <c r="E45" s="31">
        <v>84465.94</v>
      </c>
      <c r="F45" s="32">
        <v>4.8634000000000004E-3</v>
      </c>
      <c r="G45" s="46">
        <f>+F45+1</f>
        <v>1.0048634000000001</v>
      </c>
      <c r="H45" s="50">
        <f>+G45*G44*G43*G42*G41*G40*G39*G38*G37*G36*G35*G34*G33*G32*G31*G30*G29*G28*G27*G26*G25*G24*G23*G22*G21</f>
        <v>1.218056919514557</v>
      </c>
      <c r="I45" s="40">
        <f>+H45-1</f>
        <v>0.21805691951455697</v>
      </c>
      <c r="J45" s="41">
        <f>+(1+I45)^(365/(B45-$B$20))-1</f>
        <v>9.9504955025154107E-2</v>
      </c>
      <c r="K45" s="32">
        <f>STDEV($F$21:F45)*(12^0.5)</f>
        <v>2.9942755708579908E-2</v>
      </c>
      <c r="L45" s="43">
        <v>4.2589999999999998E-3</v>
      </c>
      <c r="M45" s="33">
        <f t="shared" ref="M45" si="94">+M44*(1+(L45*(B45-B44)/365))</f>
        <v>100.31388399894168</v>
      </c>
      <c r="N45" s="32">
        <f t="shared" ref="N45" si="95">+M45/100</f>
        <v>1.0031388399894168</v>
      </c>
      <c r="O45" s="33">
        <f>COUNT($B$20:B45)/12</f>
        <v>2.1666666666666665</v>
      </c>
      <c r="P45" s="32">
        <f t="shared" ref="P45" si="96">-1+(N45^(1/O45))</f>
        <v>1.447473094102536E-3</v>
      </c>
      <c r="Q45" s="44">
        <f t="shared" ref="Q45" si="97">+(J45-P45)/K45</f>
        <v>3.274831578142082</v>
      </c>
    </row>
    <row r="46" spans="2:17">
      <c r="B46" s="29">
        <v>42825</v>
      </c>
      <c r="C46" s="30">
        <f>+C45</f>
        <v>8362428.2800000003</v>
      </c>
      <c r="D46" s="31">
        <v>8788734.1600000001</v>
      </c>
      <c r="E46" s="31">
        <v>46072.33</v>
      </c>
      <c r="F46" s="32">
        <v>4.3948099999999999E-3</v>
      </c>
      <c r="G46" s="46">
        <f>+F46+1</f>
        <v>1.00439481</v>
      </c>
      <c r="H46" s="50">
        <f>+G46*G45*G44*G43*G42*G41*G40*G39*G38*G37*G36*G35*G34*G33*G32*G31*G30*G29*G28*G27*G26*G25*G24*G23*G22*G21</f>
        <v>1.2234100482450085</v>
      </c>
      <c r="I46" s="40">
        <f>+H46-1</f>
        <v>0.22341004824500854</v>
      </c>
      <c r="J46" s="41">
        <f>+(1+I46)^(365/(B46-$B$20))-1</f>
        <v>9.7641455349630979E-2</v>
      </c>
      <c r="K46" s="32">
        <f>STDEV($F$21:F46)*(12^0.5)</f>
        <v>2.9437419511302663E-2</v>
      </c>
      <c r="L46" s="52">
        <v>7.2529999999999999E-3</v>
      </c>
      <c r="M46" s="33">
        <f t="shared" ref="M46" si="98">+M45*(1+(L46*(B46-B45)/365))</f>
        <v>100.37567817598271</v>
      </c>
      <c r="N46" s="32">
        <f t="shared" ref="N46" si="99">+M46/100</f>
        <v>1.0037567817598272</v>
      </c>
      <c r="O46" s="33">
        <f>COUNT($B$20:B46)/12</f>
        <v>2.25</v>
      </c>
      <c r="P46" s="32">
        <f t="shared" ref="P46" si="100">-1+(N46^(1/O46))</f>
        <v>1.6679417719438483E-3</v>
      </c>
      <c r="Q46" s="44">
        <f t="shared" ref="Q46" si="101">+(J46-P46)/K46</f>
        <v>3.2602556600057135</v>
      </c>
    </row>
    <row r="47" spans="2:17" ht="6.75" customHeight="1">
      <c r="B47" s="29"/>
      <c r="C47" s="30"/>
      <c r="D47" s="31"/>
      <c r="E47" s="31"/>
      <c r="F47" s="32"/>
      <c r="G47" s="32"/>
      <c r="H47" s="32"/>
      <c r="I47" s="40"/>
      <c r="J47" s="41"/>
      <c r="K47" s="32"/>
      <c r="L47" s="32"/>
      <c r="M47" s="32"/>
      <c r="N47" s="32"/>
      <c r="O47" s="32"/>
      <c r="P47" s="32"/>
      <c r="Q47" s="40"/>
    </row>
    <row r="48" spans="2:17">
      <c r="B48" s="36" t="s">
        <v>13</v>
      </c>
      <c r="C48" s="37">
        <f>C46</f>
        <v>8362428.2800000003</v>
      </c>
      <c r="D48" s="38">
        <f>D46</f>
        <v>8788734.1600000001</v>
      </c>
      <c r="E48" s="38">
        <f>SUM(E20:E46)</f>
        <v>1041234.7299999999</v>
      </c>
      <c r="F48" s="39">
        <f>F46</f>
        <v>4.3948099999999999E-3</v>
      </c>
      <c r="G48" s="39"/>
      <c r="H48" s="39"/>
      <c r="I48" s="54">
        <f>I46</f>
        <v>0.22341004824500854</v>
      </c>
      <c r="J48" s="42">
        <f>J46</f>
        <v>9.7641455349630979E-2</v>
      </c>
      <c r="K48" s="39">
        <f>K46</f>
        <v>2.9437419511302663E-2</v>
      </c>
      <c r="L48" s="39"/>
      <c r="M48" s="39"/>
      <c r="N48" s="39"/>
      <c r="O48" s="39"/>
      <c r="P48" s="39"/>
      <c r="Q48" s="45">
        <f>Q46</f>
        <v>3.2602556600057135</v>
      </c>
    </row>
    <row r="49" spans="2:17">
      <c r="B49" s="9"/>
      <c r="C49" s="2"/>
      <c r="D49" s="2"/>
      <c r="E49" s="8"/>
      <c r="F49" s="8"/>
      <c r="G49" s="8"/>
      <c r="H49" s="8"/>
      <c r="I49" s="8"/>
      <c r="J49" s="4"/>
      <c r="K49" s="4"/>
      <c r="L49" s="4"/>
      <c r="M49" s="4"/>
      <c r="N49" s="4"/>
      <c r="O49" s="4"/>
      <c r="P49" s="4"/>
      <c r="Q49" s="4"/>
    </row>
    <row r="50" spans="2:17" s="1" customFormat="1"/>
  </sheetData>
  <pageMargins left="0.70866141732283472" right="0.70866141732283472" top="0.74803149606299213" bottom="0.74803149606299213" header="0.31496062992125984" footer="0.31496062992125984"/>
  <pageSetup scale="67" orientation="landscape" r:id="rId1"/>
  <ignoredErrors>
    <ignoredError sqref="C27:C35 C43 E48 C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Joanne Robinson</cp:lastModifiedBy>
  <cp:lastPrinted>2012-11-16T21:36:21Z</cp:lastPrinted>
  <dcterms:created xsi:type="dcterms:W3CDTF">2010-04-15T16:43:35Z</dcterms:created>
  <dcterms:modified xsi:type="dcterms:W3CDTF">2017-04-21T17:24:42Z</dcterms:modified>
</cp:coreProperties>
</file>