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Surveillance\Chapel Gate_MR\Black Forest\Commitments\"/>
    </mc:Choice>
  </mc:AlternateContent>
  <bookViews>
    <workbookView xWindow="0" yWindow="0" windowWidth="19200" windowHeight="11595"/>
  </bookViews>
  <sheets>
    <sheet name="MR" sheetId="1" r:id="rId1"/>
    <sheet name="MERS" sheetId="3" state="hidden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1" l="1"/>
  <c r="V18" i="1"/>
  <c r="V16" i="1"/>
  <c r="V15" i="1"/>
  <c r="V14" i="1"/>
  <c r="V13" i="1"/>
  <c r="V12" i="1"/>
  <c r="V10" i="1"/>
  <c r="V8" i="1"/>
  <c r="V7" i="1"/>
  <c r="V5" i="1"/>
  <c r="U16" i="1"/>
  <c r="U15" i="1"/>
  <c r="U14" i="1"/>
  <c r="U13" i="1"/>
  <c r="U12" i="1"/>
  <c r="U10" i="1"/>
  <c r="U8" i="1"/>
  <c r="U7" i="1"/>
  <c r="U5" i="1"/>
  <c r="J24" i="1"/>
  <c r="E24" i="1"/>
  <c r="C23" i="1"/>
  <c r="S23" i="1" s="1"/>
  <c r="D28" i="1"/>
  <c r="C24" i="1" s="1"/>
  <c r="F24" i="1" s="1"/>
  <c r="H23" i="1" l="1"/>
  <c r="P23" i="1"/>
  <c r="C25" i="1"/>
  <c r="E25" i="1" s="1"/>
  <c r="I23" i="1"/>
  <c r="Q23" i="1"/>
  <c r="C21" i="1"/>
  <c r="Q21" i="1" s="1"/>
  <c r="C26" i="1"/>
  <c r="L23" i="1"/>
  <c r="T23" i="1"/>
  <c r="C22" i="1"/>
  <c r="R22" i="1" s="1"/>
  <c r="C27" i="1"/>
  <c r="M23" i="1"/>
  <c r="M21" i="1"/>
  <c r="P21" i="1"/>
  <c r="S26" i="1"/>
  <c r="O26" i="1"/>
  <c r="K26" i="1"/>
  <c r="G26" i="1"/>
  <c r="R26" i="1"/>
  <c r="N26" i="1"/>
  <c r="J26" i="1"/>
  <c r="F26" i="1"/>
  <c r="Q26" i="1"/>
  <c r="M26" i="1"/>
  <c r="I26" i="1"/>
  <c r="E26" i="1"/>
  <c r="T26" i="1"/>
  <c r="P26" i="1"/>
  <c r="L26" i="1"/>
  <c r="H26" i="1"/>
  <c r="R21" i="1"/>
  <c r="F22" i="1"/>
  <c r="E22" i="1"/>
  <c r="T22" i="1"/>
  <c r="G22" i="1"/>
  <c r="Q24" i="1"/>
  <c r="M24" i="1"/>
  <c r="I24" i="1"/>
  <c r="T24" i="1"/>
  <c r="P24" i="1"/>
  <c r="L24" i="1"/>
  <c r="H24" i="1"/>
  <c r="S24" i="1"/>
  <c r="O24" i="1"/>
  <c r="K24" i="1"/>
  <c r="G24" i="1"/>
  <c r="V24" i="1" s="1"/>
  <c r="R24" i="1"/>
  <c r="R25" i="1"/>
  <c r="N25" i="1"/>
  <c r="J25" i="1"/>
  <c r="F25" i="1"/>
  <c r="Q25" i="1"/>
  <c r="M25" i="1"/>
  <c r="I25" i="1"/>
  <c r="T25" i="1"/>
  <c r="P25" i="1"/>
  <c r="L25" i="1"/>
  <c r="H25" i="1"/>
  <c r="S25" i="1"/>
  <c r="O25" i="1"/>
  <c r="K25" i="1"/>
  <c r="G25" i="1"/>
  <c r="P22" i="1"/>
  <c r="N24" i="1"/>
  <c r="F23" i="1"/>
  <c r="J23" i="1"/>
  <c r="N23" i="1"/>
  <c r="R23" i="1"/>
  <c r="F27" i="1"/>
  <c r="J27" i="1"/>
  <c r="N27" i="1"/>
  <c r="R27" i="1"/>
  <c r="E23" i="1"/>
  <c r="E27" i="1"/>
  <c r="G23" i="1"/>
  <c r="K23" i="1"/>
  <c r="O23" i="1"/>
  <c r="G27" i="1"/>
  <c r="K27" i="1"/>
  <c r="O27" i="1"/>
  <c r="S17" i="1"/>
  <c r="O21" i="1" l="1"/>
  <c r="F21" i="1"/>
  <c r="V21" i="1" s="1"/>
  <c r="S21" i="1"/>
  <c r="M22" i="1"/>
  <c r="N22" i="1"/>
  <c r="H21" i="1"/>
  <c r="H28" i="1" s="1"/>
  <c r="C28" i="1"/>
  <c r="G21" i="1"/>
  <c r="G28" i="1" s="1"/>
  <c r="V25" i="1"/>
  <c r="O22" i="1"/>
  <c r="E21" i="1"/>
  <c r="K21" i="1"/>
  <c r="K28" i="1" s="1"/>
  <c r="Q22" i="1"/>
  <c r="L21" i="1"/>
  <c r="I21" i="1"/>
  <c r="S27" i="1"/>
  <c r="T27" i="1"/>
  <c r="L27" i="1"/>
  <c r="Q27" i="1"/>
  <c r="I27" i="1"/>
  <c r="P27" i="1"/>
  <c r="H27" i="1"/>
  <c r="U27" i="1" s="1"/>
  <c r="M27" i="1"/>
  <c r="S22" i="1"/>
  <c r="K22" i="1"/>
  <c r="H22" i="1"/>
  <c r="N21" i="1"/>
  <c r="L22" i="1"/>
  <c r="I22" i="1"/>
  <c r="U22" i="1" s="1"/>
  <c r="J22" i="1"/>
  <c r="J21" i="1"/>
  <c r="J28" i="1" s="1"/>
  <c r="T21" i="1"/>
  <c r="V22" i="1"/>
  <c r="L28" i="1"/>
  <c r="V23" i="1"/>
  <c r="U23" i="1"/>
  <c r="O28" i="1"/>
  <c r="U25" i="1"/>
  <c r="U24" i="1"/>
  <c r="P28" i="1"/>
  <c r="M28" i="1"/>
  <c r="U21" i="1"/>
  <c r="E28" i="1"/>
  <c r="V26" i="1"/>
  <c r="U26" i="1"/>
  <c r="V27" i="1"/>
  <c r="N28" i="1"/>
  <c r="R28" i="1"/>
  <c r="T28" i="1"/>
  <c r="Q28" i="1"/>
  <c r="C16" i="3"/>
  <c r="E16" i="3"/>
  <c r="E15" i="3"/>
  <c r="E19" i="3"/>
  <c r="E21" i="3"/>
  <c r="E24" i="3"/>
  <c r="O9" i="1"/>
  <c r="P9" i="1"/>
  <c r="Q9" i="1"/>
  <c r="O6" i="1"/>
  <c r="Q6" i="1"/>
  <c r="Q11" i="1"/>
  <c r="K6" i="1"/>
  <c r="N6" i="1"/>
  <c r="P6" i="1"/>
  <c r="L9" i="1"/>
  <c r="N9" i="1"/>
  <c r="P11" i="1"/>
  <c r="D17" i="1"/>
  <c r="R17" i="1"/>
  <c r="J17" i="1"/>
  <c r="F17" i="1"/>
  <c r="E17" i="1"/>
  <c r="M17" i="1"/>
  <c r="H17" i="1"/>
  <c r="G17" i="1"/>
  <c r="I17" i="1"/>
  <c r="L17" i="1"/>
  <c r="K17" i="1"/>
  <c r="A6" i="1"/>
  <c r="A7" i="1" s="1"/>
  <c r="A8" i="1" s="1"/>
  <c r="A9" i="1" s="1"/>
  <c r="A10" i="1" s="1"/>
  <c r="A11" i="1" s="1"/>
  <c r="A12" i="1" s="1"/>
  <c r="A13" i="1" s="1"/>
  <c r="A14" i="1" s="1"/>
  <c r="A15" i="1" s="1"/>
  <c r="F28" i="1" l="1"/>
  <c r="I28" i="1"/>
  <c r="S28" i="1"/>
  <c r="V11" i="1"/>
  <c r="U11" i="1"/>
  <c r="V28" i="1"/>
  <c r="U28" i="1"/>
  <c r="V6" i="1"/>
  <c r="U6" i="1"/>
  <c r="V9" i="1"/>
  <c r="U9" i="1"/>
  <c r="P17" i="1"/>
  <c r="O17" i="1"/>
  <c r="Q17" i="1"/>
  <c r="E25" i="3"/>
  <c r="N17" i="1"/>
  <c r="T17" i="1" l="1"/>
  <c r="U17" i="1"/>
  <c r="V17" i="1"/>
</calcChain>
</file>

<file path=xl/sharedStrings.xml><?xml version="1.0" encoding="utf-8"?>
<sst xmlns="http://schemas.openxmlformats.org/spreadsheetml/2006/main" count="63" uniqueCount="52">
  <si>
    <t>Mesa_Corpus</t>
  </si>
  <si>
    <t>Encore</t>
  </si>
  <si>
    <t>Buffalo</t>
  </si>
  <si>
    <t>Omega</t>
  </si>
  <si>
    <t>Second Close</t>
  </si>
  <si>
    <t>Proton</t>
  </si>
  <si>
    <t>Corpus</t>
  </si>
  <si>
    <t>Sandor</t>
  </si>
  <si>
    <t>Skynet</t>
  </si>
  <si>
    <t>Accord</t>
  </si>
  <si>
    <t xml:space="preserve"> </t>
  </si>
  <si>
    <t>Investor</t>
  </si>
  <si>
    <t>Committed</t>
  </si>
  <si>
    <t>Remaining</t>
  </si>
  <si>
    <t>MERS</t>
  </si>
  <si>
    <t>NMERB</t>
  </si>
  <si>
    <t>Getty</t>
  </si>
  <si>
    <t>NE Utility</t>
  </si>
  <si>
    <t>ChapelGate</t>
  </si>
  <si>
    <t>Max Plank</t>
  </si>
  <si>
    <t>Berkley</t>
  </si>
  <si>
    <t>Falcon/Beasley</t>
  </si>
  <si>
    <t>Kiwoom</t>
  </si>
  <si>
    <t>Freestone</t>
  </si>
  <si>
    <t>ADNIC</t>
  </si>
  <si>
    <t>Stratus</t>
  </si>
  <si>
    <t>Manager</t>
  </si>
  <si>
    <t>Orchard Managed Fund</t>
  </si>
  <si>
    <t>EleganTree 2015 Tactical Fund</t>
  </si>
  <si>
    <t>Unitholder</t>
  </si>
  <si>
    <t>John Lewis</t>
  </si>
  <si>
    <t>Capital Activity</t>
  </si>
  <si>
    <t>Date</t>
  </si>
  <si>
    <t>$ Amount</t>
  </si>
  <si>
    <t>Opening Commitment</t>
  </si>
  <si>
    <t xml:space="preserve">Drawdown </t>
  </si>
  <si>
    <t>Note 1</t>
  </si>
  <si>
    <t>Return of Capital</t>
  </si>
  <si>
    <t>Drawdown</t>
  </si>
  <si>
    <t>Remaining Commitment</t>
  </si>
  <si>
    <t>Notes</t>
  </si>
  <si>
    <t>1.  Amount called was higher to reflect post first close buy in premium</t>
  </si>
  <si>
    <t>Drawn</t>
  </si>
  <si>
    <t>Santa Fe</t>
  </si>
  <si>
    <t>Horvath</t>
  </si>
  <si>
    <t>Young</t>
  </si>
  <si>
    <t>Wee</t>
  </si>
  <si>
    <t>Weber</t>
  </si>
  <si>
    <t>Ford</t>
  </si>
  <si>
    <t>Hofmann</t>
  </si>
  <si>
    <t>Bergeron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</si>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</sst>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_(* #,##0_);_(* \(#,##0\);_(* \-??_);_(@_)"/>
    <numFmt numFmtId="166" formatCode="_(* #,##0.00_);_(* \(#,##0.00\);_(* \-??_);_(@_)"/>
    <numFmt numFmtId="167" formatCode="#,##0.00000000000000_ ;\-#,##0.0000000000000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7" fontId="3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2" fillId="3" borderId="0" xfId="1" applyNumberFormat="1" applyFont="1" applyFill="1" applyAlignment="1">
      <alignment horizontal="center"/>
    </xf>
    <xf numFmtId="15" fontId="2" fillId="3" borderId="0" xfId="0" applyNumberFormat="1" applyFont="1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10" fontId="3" fillId="2" borderId="0" xfId="2" applyNumberFormat="1" applyFont="1" applyFill="1"/>
    <xf numFmtId="164" fontId="3" fillId="2" borderId="0" xfId="1" applyNumberFormat="1" applyFont="1" applyFill="1"/>
    <xf numFmtId="165" fontId="4" fillId="2" borderId="0" xfId="1" applyNumberFormat="1" applyFont="1" applyFill="1" applyBorder="1"/>
    <xf numFmtId="165" fontId="3" fillId="2" borderId="0" xfId="0" applyNumberFormat="1" applyFont="1" applyFill="1"/>
    <xf numFmtId="164" fontId="3" fillId="2" borderId="1" xfId="1" applyNumberFormat="1" applyFont="1" applyFill="1" applyBorder="1"/>
    <xf numFmtId="165" fontId="4" fillId="4" borderId="1" xfId="1" applyNumberFormat="1" applyFont="1" applyFill="1" applyBorder="1"/>
    <xf numFmtId="0" fontId="5" fillId="2" borderId="0" xfId="0" applyFont="1" applyFill="1"/>
    <xf numFmtId="0" fontId="0" fillId="5" borderId="0" xfId="0" applyFill="1" applyAlignment="1">
      <alignment horizontal="right"/>
    </xf>
    <xf numFmtId="166" fontId="4" fillId="2" borderId="0" xfId="1" applyNumberFormat="1" applyFont="1" applyFill="1" applyBorder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166" fontId="7" fillId="2" borderId="0" xfId="1" applyNumberFormat="1" applyFont="1" applyFill="1" applyBorder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66" fontId="9" fillId="2" borderId="0" xfId="1" applyNumberFormat="1" applyFont="1" applyFill="1" applyBorder="1"/>
    <xf numFmtId="15" fontId="6" fillId="2" borderId="0" xfId="0" applyNumberFormat="1" applyFont="1" applyFill="1" applyAlignment="1">
      <alignment horizontal="center"/>
    </xf>
    <xf numFmtId="0" fontId="10" fillId="2" borderId="0" xfId="0" applyFont="1" applyFill="1"/>
    <xf numFmtId="166" fontId="6" fillId="2" borderId="0" xfId="0" applyNumberFormat="1" applyFont="1" applyFill="1"/>
    <xf numFmtId="39" fontId="6" fillId="2" borderId="0" xfId="0" applyNumberFormat="1" applyFont="1" applyFill="1"/>
    <xf numFmtId="166" fontId="7" fillId="2" borderId="1" xfId="1" applyNumberFormat="1" applyFont="1" applyFill="1" applyBorder="1"/>
    <xf numFmtId="167" fontId="6" fillId="2" borderId="0" xfId="0" applyNumberFormat="1" applyFont="1" applyFill="1"/>
    <xf numFmtId="43" fontId="6" fillId="2" borderId="0" xfId="0" applyNumberFormat="1" applyFont="1" applyFill="1"/>
    <xf numFmtId="10" fontId="3" fillId="2" borderId="1" xfId="0" applyNumberFormat="1" applyFont="1" applyFill="1" applyBorder="1"/>
    <xf numFmtId="165" fontId="3" fillId="2" borderId="1" xfId="0" applyNumberFormat="1" applyFont="1" applyFill="1" applyBorder="1"/>
    <xf numFmtId="164" fontId="3" fillId="2" borderId="0" xfId="1" applyNumberFormat="1" applyFont="1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228600</xdr:colOff>
      <xdr:row>4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"/>
          <a:ext cx="26479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uthard\AppData\Local\Microsoft\Windows\Temporary%20Internet%20Files\Content.Outlook\EEKEQW4B\ET15%20Allocation%20Trafin%20and%20PAF%2017%20June%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uthard\AppData\Local\Microsoft\Windows\Temporary%20Internet%20Files\Content.Outlook\EEKEQW4B\Capital%20AccountsvDecember_2016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2">
          <cell r="S12">
            <v>13723965.538963668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 Summary"/>
      <sheetName val="Horvath"/>
      <sheetName val="Young"/>
      <sheetName val="Wee (SP)"/>
      <sheetName val="Ford"/>
      <sheetName val="Ruthard"/>
      <sheetName val="Michaud"/>
      <sheetName val="Belt"/>
      <sheetName val="Tan"/>
      <sheetName val="Chopin"/>
      <sheetName val="Weber"/>
      <sheetName val="John Lewis"/>
      <sheetName val="Prudential"/>
      <sheetName val="Thales"/>
      <sheetName val="BBC"/>
      <sheetName val="Centrica"/>
      <sheetName val="EIA"/>
      <sheetName val="TW1_CMT"/>
      <sheetName val="Metal Box"/>
      <sheetName val="Venus_Apium"/>
      <sheetName val="Balfour Beatty"/>
      <sheetName val="Venus_Galium"/>
      <sheetName val="TW2_PMT"/>
      <sheetName val="Safra"/>
      <sheetName val="Jones Day_QDPB"/>
      <sheetName val="Jones Day_PP"/>
    </sheetNames>
    <sheetDataSet>
      <sheetData sheetId="0" refreshError="1"/>
      <sheetData sheetId="1">
        <row r="4">
          <cell r="Q4">
            <v>-26051088.210000001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9"/>
  <sheetViews>
    <sheetView tabSelected="1" workbookViewId="0">
      <pane xSplit="2" topLeftCell="K1" activePane="topRight" state="frozen"/>
      <selection pane="topRight" activeCell="U27" sqref="U27"/>
    </sheetView>
  </sheetViews>
  <sheetFormatPr defaultRowHeight="12.75" x14ac:dyDescent="0.2"/>
  <cols>
    <col min="1" max="1" width="4.140625" style="7" bestFit="1" customWidth="1"/>
    <col min="2" max="2" width="14.28515625" style="8" customWidth="1"/>
    <col min="3" max="3" width="9" style="8" hidden="1" customWidth="1"/>
    <col min="4" max="4" width="14.5703125" style="8" bestFit="1" customWidth="1"/>
    <col min="5" max="6" width="12" style="8" customWidth="1"/>
    <col min="7" max="19" width="11.5703125" style="8" customWidth="1"/>
    <col min="20" max="20" width="13.140625" style="8" bestFit="1" customWidth="1"/>
    <col min="21" max="21" width="13.5703125" style="8" bestFit="1" customWidth="1"/>
    <col min="22" max="22" width="12" style="8" bestFit="1" customWidth="1"/>
    <col min="23" max="16384" width="9.140625" style="8"/>
  </cols>
  <sheetData>
    <row r="3" spans="1:22" s="2" customFormat="1" x14ac:dyDescent="0.2">
      <c r="A3" s="1"/>
      <c r="E3" s="2" t="s">
        <v>0</v>
      </c>
      <c r="F3" s="2" t="s">
        <v>1</v>
      </c>
      <c r="G3" s="2" t="s">
        <v>2</v>
      </c>
      <c r="H3" s="2" t="s">
        <v>3</v>
      </c>
      <c r="I3" s="2" t="s">
        <v>4</v>
      </c>
      <c r="K3" s="2" t="s">
        <v>5</v>
      </c>
      <c r="M3" s="2" t="s">
        <v>6</v>
      </c>
      <c r="N3" s="3" t="s">
        <v>7</v>
      </c>
      <c r="O3" s="3" t="s">
        <v>8</v>
      </c>
      <c r="P3" s="3" t="s">
        <v>9</v>
      </c>
      <c r="Q3" s="3" t="s">
        <v>8</v>
      </c>
      <c r="R3" s="3" t="s">
        <v>25</v>
      </c>
      <c r="S3" s="3" t="s">
        <v>25</v>
      </c>
      <c r="T3" s="3" t="s">
        <v>43</v>
      </c>
    </row>
    <row r="4" spans="1:22" s="1" customFormat="1" x14ac:dyDescent="0.2">
      <c r="B4" s="4" t="s">
        <v>11</v>
      </c>
      <c r="C4" s="4"/>
      <c r="D4" s="5" t="s">
        <v>12</v>
      </c>
      <c r="E4" s="6">
        <v>41838</v>
      </c>
      <c r="F4" s="6">
        <v>41892</v>
      </c>
      <c r="G4" s="6">
        <v>41906</v>
      </c>
      <c r="H4" s="6">
        <v>41956</v>
      </c>
      <c r="I4" s="6">
        <v>42036</v>
      </c>
      <c r="J4" s="6">
        <v>42069</v>
      </c>
      <c r="K4" s="6">
        <v>42101</v>
      </c>
      <c r="L4" s="6">
        <v>42152</v>
      </c>
      <c r="M4" s="6">
        <v>42233</v>
      </c>
      <c r="N4" s="6">
        <v>42309</v>
      </c>
      <c r="O4" s="6">
        <v>42368</v>
      </c>
      <c r="P4" s="6">
        <v>42368</v>
      </c>
      <c r="Q4" s="6">
        <v>42419</v>
      </c>
      <c r="R4" s="6">
        <v>42724</v>
      </c>
      <c r="S4" s="6">
        <v>42772</v>
      </c>
      <c r="T4" s="6">
        <v>42835</v>
      </c>
      <c r="U4" s="5" t="s">
        <v>13</v>
      </c>
      <c r="V4" s="5" t="s">
        <v>42</v>
      </c>
    </row>
    <row r="5" spans="1:22" x14ac:dyDescent="0.2">
      <c r="A5" s="7">
        <v>1</v>
      </c>
      <c r="B5" s="8" t="s">
        <v>14</v>
      </c>
      <c r="D5" s="10">
        <v>150000000</v>
      </c>
      <c r="E5" s="11">
        <v>-14463000</v>
      </c>
      <c r="F5" s="11">
        <v>-3030000</v>
      </c>
      <c r="G5" s="11">
        <v>-19470000</v>
      </c>
      <c r="H5" s="11">
        <v>-4608000</v>
      </c>
      <c r="I5" s="11">
        <v>9649784</v>
      </c>
      <c r="J5" s="11">
        <v>-3455425</v>
      </c>
      <c r="K5" s="11">
        <v>-20156645.93</v>
      </c>
      <c r="L5" s="11">
        <v>-18115065.649999999</v>
      </c>
      <c r="M5" s="11">
        <v>-3340244.18</v>
      </c>
      <c r="N5" s="11">
        <v>-4492052.5199999996</v>
      </c>
      <c r="O5" s="11">
        <v>-13959917.07</v>
      </c>
      <c r="P5" s="11">
        <v>-7480995.1600000001</v>
      </c>
      <c r="Q5" s="11">
        <v>-3054595.72</v>
      </c>
      <c r="R5" s="11">
        <v>-7941718.498041926</v>
      </c>
      <c r="S5" s="11">
        <v>-11518083.39092375</v>
      </c>
      <c r="T5" s="11">
        <v>-2303616.67818475</v>
      </c>
      <c r="U5" s="10">
        <f>+SUM(D5:T5)</f>
        <v>22260424.202849552</v>
      </c>
      <c r="V5" s="12">
        <f>-SUM(E5:T5)</f>
        <v>127739575.79715042</v>
      </c>
    </row>
    <row r="6" spans="1:22" x14ac:dyDescent="0.2">
      <c r="A6" s="7">
        <f t="shared" ref="A6:A15" si="0">+A5+1</f>
        <v>2</v>
      </c>
      <c r="B6" s="8" t="s">
        <v>15</v>
      </c>
      <c r="D6" s="10">
        <v>150000000</v>
      </c>
      <c r="E6" s="11">
        <v>-14463000</v>
      </c>
      <c r="F6" s="11">
        <v>-3030000</v>
      </c>
      <c r="G6" s="11">
        <v>-19470000</v>
      </c>
      <c r="H6" s="11">
        <v>-4608000</v>
      </c>
      <c r="I6" s="11">
        <v>9649784</v>
      </c>
      <c r="J6" s="11">
        <v>-3455425</v>
      </c>
      <c r="K6" s="11">
        <f>+K5</f>
        <v>-20156645.93</v>
      </c>
      <c r="L6" s="11">
        <v>-18115065.649999999</v>
      </c>
      <c r="M6" s="11">
        <v>-3340244.18</v>
      </c>
      <c r="N6" s="11">
        <f>+N5</f>
        <v>-4492052.5199999996</v>
      </c>
      <c r="O6" s="11">
        <f>+O5</f>
        <v>-13959917.07</v>
      </c>
      <c r="P6" s="11">
        <f>+P5</f>
        <v>-7480995.1600000001</v>
      </c>
      <c r="Q6" s="11">
        <f>+Q5</f>
        <v>-3054595.72</v>
      </c>
      <c r="R6" s="11">
        <v>-7941718.498041926</v>
      </c>
      <c r="S6" s="11">
        <v>-11518083.39092375</v>
      </c>
      <c r="T6" s="11">
        <v>-2303616.67818475</v>
      </c>
      <c r="U6" s="10">
        <f t="shared" ref="U6:U16" si="1">+SUM(D6:T6)</f>
        <v>22260424.202849552</v>
      </c>
      <c r="V6" s="12">
        <f t="shared" ref="V6:V16" si="2">-SUM(E6:T6)</f>
        <v>127739575.79715042</v>
      </c>
    </row>
    <row r="7" spans="1:22" x14ac:dyDescent="0.2">
      <c r="A7" s="7">
        <f t="shared" si="0"/>
        <v>3</v>
      </c>
      <c r="B7" s="8" t="s">
        <v>18</v>
      </c>
      <c r="D7" s="10">
        <v>100000000</v>
      </c>
      <c r="E7" s="11">
        <v>-9642000</v>
      </c>
      <c r="F7" s="11">
        <v>-2020000</v>
      </c>
      <c r="G7" s="11">
        <v>-12980000</v>
      </c>
      <c r="H7" s="11">
        <v>-3072000</v>
      </c>
      <c r="I7" s="11">
        <v>6433189</v>
      </c>
      <c r="J7" s="11">
        <v>-2303617</v>
      </c>
      <c r="K7" s="11">
        <v>-13437763.960000001</v>
      </c>
      <c r="L7" s="11">
        <v>-12076710.439999999</v>
      </c>
      <c r="M7" s="11">
        <v>-2226829.46</v>
      </c>
      <c r="N7" s="11">
        <v>-2994701.68</v>
      </c>
      <c r="O7" s="11">
        <v>-9306611.3800000008</v>
      </c>
      <c r="P7" s="11">
        <v>-4987330.1100000003</v>
      </c>
      <c r="Q7" s="11">
        <v>-2036397.14</v>
      </c>
      <c r="R7" s="11">
        <v>-5294478.9986946173</v>
      </c>
      <c r="S7" s="11">
        <v>-7678722.2606158331</v>
      </c>
      <c r="T7" s="11">
        <v>-1535744.4521231668</v>
      </c>
      <c r="U7" s="10">
        <f t="shared" si="1"/>
        <v>14840282.118566381</v>
      </c>
      <c r="V7" s="12">
        <f t="shared" si="2"/>
        <v>85159717.881433606</v>
      </c>
    </row>
    <row r="8" spans="1:22" x14ac:dyDescent="0.2">
      <c r="A8" s="7">
        <f t="shared" si="0"/>
        <v>4</v>
      </c>
      <c r="B8" s="8" t="s">
        <v>16</v>
      </c>
      <c r="D8" s="10">
        <v>75000000</v>
      </c>
      <c r="E8" s="11">
        <v>-7231500</v>
      </c>
      <c r="F8" s="11">
        <v>-1515000</v>
      </c>
      <c r="G8" s="11">
        <v>-9735000</v>
      </c>
      <c r="H8" s="11">
        <v>-2304000</v>
      </c>
      <c r="I8" s="11">
        <v>4824892</v>
      </c>
      <c r="J8" s="11">
        <v>-1727713</v>
      </c>
      <c r="K8" s="11">
        <v>-10078322.970000001</v>
      </c>
      <c r="L8" s="11">
        <v>-9057532.8300000001</v>
      </c>
      <c r="M8" s="11">
        <v>-1670122.09</v>
      </c>
      <c r="N8" s="11">
        <v>-2246026.2599999998</v>
      </c>
      <c r="O8" s="11">
        <v>-6979958.5300000003</v>
      </c>
      <c r="P8" s="11">
        <v>-3740497.58</v>
      </c>
      <c r="Q8" s="11">
        <v>-1527297.86</v>
      </c>
      <c r="R8" s="11">
        <v>-3970859.249020963</v>
      </c>
      <c r="S8" s="11">
        <v>-5759041.6954618748</v>
      </c>
      <c r="T8" s="11">
        <v>-1151808.339092375</v>
      </c>
      <c r="U8" s="10">
        <f t="shared" si="1"/>
        <v>11130211.596424788</v>
      </c>
      <c r="V8" s="12">
        <f t="shared" si="2"/>
        <v>63869788.403575212</v>
      </c>
    </row>
    <row r="9" spans="1:22" x14ac:dyDescent="0.2">
      <c r="A9" s="7">
        <f t="shared" si="0"/>
        <v>5</v>
      </c>
      <c r="B9" s="8" t="s">
        <v>22</v>
      </c>
      <c r="D9" s="10">
        <v>60000000</v>
      </c>
      <c r="E9" s="11">
        <v>0</v>
      </c>
      <c r="F9" s="11">
        <v>0</v>
      </c>
      <c r="G9" s="11">
        <v>0</v>
      </c>
      <c r="H9" s="11">
        <v>0</v>
      </c>
      <c r="I9" s="11">
        <v>-12768671</v>
      </c>
      <c r="J9" s="11">
        <v>-1382170</v>
      </c>
      <c r="K9" s="11">
        <v>-8062658.3700000001</v>
      </c>
      <c r="L9" s="11">
        <f>-3623013.13*2</f>
        <v>-7246026.2599999998</v>
      </c>
      <c r="M9" s="11">
        <v>-1336097.67</v>
      </c>
      <c r="N9" s="11">
        <f>-898410.5*2</f>
        <v>-1796821</v>
      </c>
      <c r="O9" s="11">
        <f>-2791983.41*2</f>
        <v>-5583966.8200000003</v>
      </c>
      <c r="P9" s="11">
        <f>-1496199.03*2</f>
        <v>-2992398.06</v>
      </c>
      <c r="Q9" s="11">
        <f>-610919.14*2</f>
        <v>-1221838.28</v>
      </c>
      <c r="R9" s="11">
        <v>-3176687.4</v>
      </c>
      <c r="S9" s="11">
        <v>-4607233.3563695</v>
      </c>
      <c r="T9" s="11">
        <v>-921446.67127389996</v>
      </c>
      <c r="U9" s="10">
        <f t="shared" si="1"/>
        <v>8903985.1123566013</v>
      </c>
      <c r="V9" s="12">
        <f t="shared" si="2"/>
        <v>51096014.887643412</v>
      </c>
    </row>
    <row r="10" spans="1:22" x14ac:dyDescent="0.2">
      <c r="A10" s="7">
        <f t="shared" si="0"/>
        <v>6</v>
      </c>
      <c r="B10" s="8" t="s">
        <v>20</v>
      </c>
      <c r="D10" s="10">
        <v>25000000</v>
      </c>
      <c r="E10" s="11">
        <v>0</v>
      </c>
      <c r="F10" s="11">
        <v>0</v>
      </c>
      <c r="G10" s="11">
        <v>0</v>
      </c>
      <c r="H10" s="11">
        <v>0</v>
      </c>
      <c r="I10" s="11">
        <v>-5320280</v>
      </c>
      <c r="J10" s="11">
        <v>-575904</v>
      </c>
      <c r="K10" s="11">
        <v>-3359440.99</v>
      </c>
      <c r="L10" s="11">
        <v>-3019177.61</v>
      </c>
      <c r="M10" s="11">
        <v>-556707.36</v>
      </c>
      <c r="N10" s="11">
        <v>-748675.42</v>
      </c>
      <c r="O10" s="11">
        <v>-2326652.84</v>
      </c>
      <c r="P10" s="11">
        <v>-1246832.53</v>
      </c>
      <c r="Q10" s="11">
        <v>-509099.29</v>
      </c>
      <c r="R10" s="11">
        <v>-1323619.7496736543</v>
      </c>
      <c r="S10" s="11">
        <v>-1919680.5651539583</v>
      </c>
      <c r="T10" s="11">
        <v>-383936.11303079169</v>
      </c>
      <c r="U10" s="10">
        <f t="shared" si="1"/>
        <v>3709993.5321415965</v>
      </c>
      <c r="V10" s="12">
        <f t="shared" si="2"/>
        <v>21290006.467858404</v>
      </c>
    </row>
    <row r="11" spans="1:22" x14ac:dyDescent="0.2">
      <c r="A11" s="7">
        <f t="shared" si="0"/>
        <v>7</v>
      </c>
      <c r="B11" s="8" t="s">
        <v>23</v>
      </c>
      <c r="D11" s="10">
        <v>25000000</v>
      </c>
      <c r="E11" s="11">
        <v>0</v>
      </c>
      <c r="F11" s="11">
        <v>0</v>
      </c>
      <c r="G11" s="11">
        <v>0</v>
      </c>
      <c r="H11" s="11">
        <v>0</v>
      </c>
      <c r="I11" s="11">
        <v>-5320280</v>
      </c>
      <c r="J11" s="11">
        <v>-575904</v>
      </c>
      <c r="K11" s="11">
        <v>-3359440.99</v>
      </c>
      <c r="L11" s="11">
        <v>-3019177.61</v>
      </c>
      <c r="M11" s="11">
        <v>-556707.36</v>
      </c>
      <c r="N11" s="11">
        <v>-748675.42</v>
      </c>
      <c r="O11" s="11">
        <v>-2326652.84</v>
      </c>
      <c r="P11" s="11">
        <f>+P10</f>
        <v>-1246832.53</v>
      </c>
      <c r="Q11" s="11">
        <f>+Q10</f>
        <v>-509099.29</v>
      </c>
      <c r="R11" s="11">
        <v>-1323619.7496736543</v>
      </c>
      <c r="S11" s="11">
        <v>-1919680.5651539583</v>
      </c>
      <c r="T11" s="11">
        <v>-383936.11303079169</v>
      </c>
      <c r="U11" s="10">
        <f t="shared" si="1"/>
        <v>3709993.5321415965</v>
      </c>
      <c r="V11" s="12">
        <f t="shared" si="2"/>
        <v>21290006.467858404</v>
      </c>
    </row>
    <row r="12" spans="1:22" x14ac:dyDescent="0.2">
      <c r="A12" s="7">
        <f t="shared" si="0"/>
        <v>8</v>
      </c>
      <c r="B12" s="8" t="s">
        <v>17</v>
      </c>
      <c r="D12" s="10">
        <v>20000000</v>
      </c>
      <c r="E12" s="11">
        <v>-1928400</v>
      </c>
      <c r="F12" s="11">
        <v>-404000</v>
      </c>
      <c r="G12" s="11">
        <v>-2596000</v>
      </c>
      <c r="H12" s="11">
        <v>-614400</v>
      </c>
      <c r="I12" s="11">
        <v>1286638</v>
      </c>
      <c r="J12" s="11">
        <v>-460723</v>
      </c>
      <c r="K12" s="11">
        <v>-2687552.79</v>
      </c>
      <c r="L12" s="11">
        <v>-2415342.09</v>
      </c>
      <c r="M12" s="11">
        <v>-445365.89</v>
      </c>
      <c r="N12" s="11">
        <v>-598940.34</v>
      </c>
      <c r="O12" s="11">
        <v>-1861322.28</v>
      </c>
      <c r="P12" s="11">
        <v>-997466.02</v>
      </c>
      <c r="Q12" s="11">
        <v>-407279.43</v>
      </c>
      <c r="R12" s="11">
        <v>-1058895.7997389233</v>
      </c>
      <c r="S12" s="11">
        <v>-1535744.4521231668</v>
      </c>
      <c r="T12" s="11">
        <v>-307148.89042463334</v>
      </c>
      <c r="U12" s="10">
        <f t="shared" si="1"/>
        <v>2968057.0177132767</v>
      </c>
      <c r="V12" s="12">
        <f t="shared" si="2"/>
        <v>17031942.982286721</v>
      </c>
    </row>
    <row r="13" spans="1:22" x14ac:dyDescent="0.2">
      <c r="A13" s="7">
        <f t="shared" si="0"/>
        <v>9</v>
      </c>
      <c r="B13" s="8" t="s">
        <v>21</v>
      </c>
      <c r="D13" s="10">
        <v>20000000</v>
      </c>
      <c r="E13" s="11">
        <v>0</v>
      </c>
      <c r="F13" s="11">
        <v>0</v>
      </c>
      <c r="G13" s="11">
        <v>0</v>
      </c>
      <c r="H13" s="11">
        <v>0</v>
      </c>
      <c r="I13" s="11">
        <v>-4256224</v>
      </c>
      <c r="J13" s="11">
        <v>-460723</v>
      </c>
      <c r="K13" s="11">
        <v>-2687552.79</v>
      </c>
      <c r="L13" s="11">
        <v>-2415342.09</v>
      </c>
      <c r="M13" s="11">
        <v>-445365.89</v>
      </c>
      <c r="N13" s="11">
        <v>-598940.34</v>
      </c>
      <c r="O13" s="11">
        <v>-1861322.28</v>
      </c>
      <c r="P13" s="11">
        <v>-997466.02</v>
      </c>
      <c r="Q13" s="11">
        <v>-407279.29</v>
      </c>
      <c r="R13" s="11">
        <v>-1058895.7997389233</v>
      </c>
      <c r="S13" s="11">
        <v>-1535744.4521231668</v>
      </c>
      <c r="T13" s="11">
        <v>-307148.89042463334</v>
      </c>
      <c r="U13" s="10">
        <f t="shared" si="1"/>
        <v>2967995.1577132763</v>
      </c>
      <c r="V13" s="12">
        <f t="shared" si="2"/>
        <v>17032004.842286721</v>
      </c>
    </row>
    <row r="14" spans="1:22" x14ac:dyDescent="0.2">
      <c r="A14" s="7">
        <f t="shared" si="0"/>
        <v>10</v>
      </c>
      <c r="B14" s="8" t="s">
        <v>19</v>
      </c>
      <c r="D14" s="10">
        <v>11000000</v>
      </c>
      <c r="E14" s="11">
        <v>0</v>
      </c>
      <c r="F14" s="11">
        <v>0</v>
      </c>
      <c r="G14" s="11">
        <v>0</v>
      </c>
      <c r="H14" s="11">
        <v>0</v>
      </c>
      <c r="I14" s="11">
        <v>-2340923</v>
      </c>
      <c r="J14" s="11">
        <v>-253398</v>
      </c>
      <c r="K14" s="11">
        <v>-1478154.04</v>
      </c>
      <c r="L14" s="11">
        <v>-1328438.1499999999</v>
      </c>
      <c r="M14" s="11">
        <v>-244951.24</v>
      </c>
      <c r="N14" s="11">
        <v>-329417.18</v>
      </c>
      <c r="O14" s="11">
        <v>-1023727.25</v>
      </c>
      <c r="P14" s="11">
        <v>-548606.31000000006</v>
      </c>
      <c r="Q14" s="11">
        <v>-224003.69</v>
      </c>
      <c r="R14" s="11">
        <v>-582392.68985640793</v>
      </c>
      <c r="S14" s="11">
        <v>-844659.44866774173</v>
      </c>
      <c r="T14" s="11">
        <v>-168931.88973354833</v>
      </c>
      <c r="U14" s="10">
        <f t="shared" si="1"/>
        <v>1632397.1117423023</v>
      </c>
      <c r="V14" s="12">
        <f t="shared" si="2"/>
        <v>9367602.8882576991</v>
      </c>
    </row>
    <row r="15" spans="1:22" x14ac:dyDescent="0.2">
      <c r="A15" s="7">
        <f t="shared" si="0"/>
        <v>11</v>
      </c>
      <c r="B15" s="8" t="s">
        <v>24</v>
      </c>
      <c r="D15" s="10">
        <v>10000000</v>
      </c>
      <c r="E15" s="11">
        <v>0</v>
      </c>
      <c r="F15" s="11">
        <v>0</v>
      </c>
      <c r="G15" s="11">
        <v>0</v>
      </c>
      <c r="H15" s="11">
        <v>0</v>
      </c>
      <c r="I15" s="11">
        <v>-2128112</v>
      </c>
      <c r="J15" s="11">
        <v>-230362</v>
      </c>
      <c r="K15" s="11">
        <v>-1343776.4</v>
      </c>
      <c r="L15" s="11">
        <v>-1207671.04</v>
      </c>
      <c r="M15" s="11">
        <v>-222682.95</v>
      </c>
      <c r="N15" s="11">
        <v>-299470.17</v>
      </c>
      <c r="O15" s="11">
        <v>-930661.14</v>
      </c>
      <c r="P15" s="11">
        <v>-498733.01</v>
      </c>
      <c r="Q15" s="11">
        <v>-203639.71</v>
      </c>
      <c r="R15" s="11">
        <v>-529447.89986946166</v>
      </c>
      <c r="S15" s="11">
        <v>-767872.22606158338</v>
      </c>
      <c r="T15" s="11">
        <v>-153574.44521231667</v>
      </c>
      <c r="U15" s="10">
        <f t="shared" si="1"/>
        <v>1483997.0088566374</v>
      </c>
      <c r="V15" s="12">
        <f t="shared" si="2"/>
        <v>8516002.9911433607</v>
      </c>
    </row>
    <row r="16" spans="1:22" x14ac:dyDescent="0.2">
      <c r="A16" s="7">
        <v>12</v>
      </c>
      <c r="B16" s="8" t="s">
        <v>26</v>
      </c>
      <c r="D16" s="12">
        <v>5150000</v>
      </c>
      <c r="E16" s="12">
        <v>-482100</v>
      </c>
      <c r="F16" s="12">
        <v>-101000</v>
      </c>
      <c r="G16" s="12">
        <v>-649000</v>
      </c>
      <c r="H16" s="12">
        <v>-153600</v>
      </c>
      <c r="I16" s="12">
        <v>290203</v>
      </c>
      <c r="J16" s="12">
        <v>-118635</v>
      </c>
      <c r="K16" s="12">
        <v>-692044.85</v>
      </c>
      <c r="L16" s="12">
        <v>-621950.59</v>
      </c>
      <c r="M16" s="12">
        <v>-114681.71</v>
      </c>
      <c r="N16" s="12">
        <v>-154227.12999999998</v>
      </c>
      <c r="O16" s="12">
        <v>-479290.48000000004</v>
      </c>
      <c r="P16" s="12">
        <v>-256847.5</v>
      </c>
      <c r="Q16" s="12">
        <v>-104874.47</v>
      </c>
      <c r="R16" s="12">
        <v>-272665.6684327728</v>
      </c>
      <c r="S16" s="12">
        <v>-395454.19642171543</v>
      </c>
      <c r="T16" s="11">
        <v>-79090.839284343092</v>
      </c>
      <c r="U16" s="10">
        <f t="shared" si="1"/>
        <v>764740.5658611689</v>
      </c>
      <c r="V16" s="12">
        <f t="shared" si="2"/>
        <v>4385259.4341388308</v>
      </c>
    </row>
    <row r="17" spans="2:22" ht="13.5" thickBot="1" x14ac:dyDescent="0.25">
      <c r="D17" s="13">
        <f t="shared" ref="D17:R17" si="3">+SUM(D5:D16)</f>
        <v>651150000</v>
      </c>
      <c r="E17" s="14">
        <f t="shared" si="3"/>
        <v>-48210000</v>
      </c>
      <c r="F17" s="14">
        <f t="shared" si="3"/>
        <v>-10100000</v>
      </c>
      <c r="G17" s="14">
        <f t="shared" si="3"/>
        <v>-64900000</v>
      </c>
      <c r="H17" s="14">
        <f t="shared" si="3"/>
        <v>-15360000</v>
      </c>
      <c r="I17" s="14">
        <f t="shared" si="3"/>
        <v>0</v>
      </c>
      <c r="J17" s="14">
        <f t="shared" si="3"/>
        <v>-14999999</v>
      </c>
      <c r="K17" s="14">
        <f t="shared" si="3"/>
        <v>-87500000.010000005</v>
      </c>
      <c r="L17" s="14">
        <f t="shared" si="3"/>
        <v>-78637500.01000002</v>
      </c>
      <c r="M17" s="14">
        <f t="shared" si="3"/>
        <v>-14499999.98</v>
      </c>
      <c r="N17" s="14">
        <f t="shared" si="3"/>
        <v>-19499999.98</v>
      </c>
      <c r="O17" s="14">
        <f t="shared" si="3"/>
        <v>-60599999.980000012</v>
      </c>
      <c r="P17" s="14">
        <f t="shared" si="3"/>
        <v>-32474999.989999998</v>
      </c>
      <c r="Q17" s="14">
        <f t="shared" si="3"/>
        <v>-13259999.889999997</v>
      </c>
      <c r="R17" s="14">
        <f t="shared" si="3"/>
        <v>-34475000.000783235</v>
      </c>
      <c r="S17" s="14">
        <f t="shared" ref="S17:T17" si="4">+SUM(S5:S16)</f>
        <v>-49999999.999999993</v>
      </c>
      <c r="T17" s="14">
        <f t="shared" si="4"/>
        <v>-10000000</v>
      </c>
      <c r="U17" s="13">
        <f>+SUM(U5:U16)</f>
        <v>96632501.159216732</v>
      </c>
      <c r="V17" s="13">
        <f>+SUM(V5:V16)</f>
        <v>554517498.84078312</v>
      </c>
    </row>
    <row r="18" spans="2:22" x14ac:dyDescent="0.2"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33" t="s">
        <v>51</v>
      </c>
      <c r="U18" s="9">
        <f>+U17/D17</f>
        <v>0.14840282755005257</v>
      </c>
      <c r="V18" s="9">
        <f>+V17/D17</f>
        <v>0.85159717244994715</v>
      </c>
    </row>
    <row r="19" spans="2:22" x14ac:dyDescent="0.2">
      <c r="S19" s="11"/>
      <c r="T19" s="11"/>
    </row>
    <row r="20" spans="2:22" x14ac:dyDescent="0.2">
      <c r="B20" s="7" t="s">
        <v>26</v>
      </c>
      <c r="S20" s="11"/>
    </row>
    <row r="21" spans="2:22" x14ac:dyDescent="0.2">
      <c r="B21" s="8" t="s">
        <v>44</v>
      </c>
      <c r="C21" s="9">
        <f>+D21/$D$28</f>
        <v>0.29611650485436891</v>
      </c>
      <c r="D21" s="10">
        <v>1525000</v>
      </c>
      <c r="E21" s="12">
        <f>+$C$21*E16</f>
        <v>-142757.76699029125</v>
      </c>
      <c r="F21" s="12">
        <f t="shared" ref="F21:T21" si="5">+$C$21*F16</f>
        <v>-29907.76699029126</v>
      </c>
      <c r="G21" s="12">
        <f t="shared" si="5"/>
        <v>-192179.61165048543</v>
      </c>
      <c r="H21" s="12">
        <f t="shared" si="5"/>
        <v>-45483.495145631066</v>
      </c>
      <c r="I21" s="12">
        <f t="shared" si="5"/>
        <v>85933.898058252424</v>
      </c>
      <c r="J21" s="12">
        <f t="shared" si="5"/>
        <v>-35129.781553398054</v>
      </c>
      <c r="K21" s="12">
        <f t="shared" si="5"/>
        <v>-204925.90218446599</v>
      </c>
      <c r="L21" s="12">
        <f t="shared" si="5"/>
        <v>-184169.83490291261</v>
      </c>
      <c r="M21" s="12">
        <f t="shared" si="5"/>
        <v>-33959.147135922329</v>
      </c>
      <c r="N21" s="12">
        <f t="shared" si="5"/>
        <v>-45669.198689320379</v>
      </c>
      <c r="O21" s="12">
        <f t="shared" si="5"/>
        <v>-141925.82174757283</v>
      </c>
      <c r="P21" s="12">
        <f t="shared" si="5"/>
        <v>-76056.783980582521</v>
      </c>
      <c r="Q21" s="12">
        <f t="shared" si="5"/>
        <v>-31055.061504854366</v>
      </c>
      <c r="R21" s="12">
        <f t="shared" si="5"/>
        <v>-80740.804730092917</v>
      </c>
      <c r="S21" s="12">
        <f t="shared" si="5"/>
        <v>-117100.51447439146</v>
      </c>
      <c r="T21" s="12">
        <f t="shared" si="5"/>
        <v>-23420.102894878291</v>
      </c>
      <c r="U21" s="10">
        <f t="shared" ref="U21:U27" si="6">+SUM(D21:T21)</f>
        <v>226452.30348316161</v>
      </c>
      <c r="V21" s="12">
        <f t="shared" ref="V21:V27" si="7">-SUM(E21:T21)</f>
        <v>1298547.6965168384</v>
      </c>
    </row>
    <row r="22" spans="2:22" x14ac:dyDescent="0.2">
      <c r="B22" s="8" t="s">
        <v>45</v>
      </c>
      <c r="C22" s="9">
        <f t="shared" ref="C22:C27" si="8">+D22/$D$28</f>
        <v>0.29611650485436891</v>
      </c>
      <c r="D22" s="10">
        <v>1525000</v>
      </c>
      <c r="E22" s="12">
        <f>+$C$22*E16</f>
        <v>-142757.76699029125</v>
      </c>
      <c r="F22" s="12">
        <f t="shared" ref="F22:T22" si="9">+$C$22*F16</f>
        <v>-29907.76699029126</v>
      </c>
      <c r="G22" s="12">
        <f t="shared" si="9"/>
        <v>-192179.61165048543</v>
      </c>
      <c r="H22" s="12">
        <f t="shared" si="9"/>
        <v>-45483.495145631066</v>
      </c>
      <c r="I22" s="12">
        <f t="shared" si="9"/>
        <v>85933.898058252424</v>
      </c>
      <c r="J22" s="12">
        <f t="shared" si="9"/>
        <v>-35129.781553398054</v>
      </c>
      <c r="K22" s="12">
        <f t="shared" si="9"/>
        <v>-204925.90218446599</v>
      </c>
      <c r="L22" s="12">
        <f t="shared" si="9"/>
        <v>-184169.83490291261</v>
      </c>
      <c r="M22" s="12">
        <f t="shared" si="9"/>
        <v>-33959.147135922329</v>
      </c>
      <c r="N22" s="12">
        <f t="shared" si="9"/>
        <v>-45669.198689320379</v>
      </c>
      <c r="O22" s="12">
        <f t="shared" si="9"/>
        <v>-141925.82174757283</v>
      </c>
      <c r="P22" s="12">
        <f t="shared" si="9"/>
        <v>-76056.783980582521</v>
      </c>
      <c r="Q22" s="12">
        <f t="shared" si="9"/>
        <v>-31055.061504854366</v>
      </c>
      <c r="R22" s="12">
        <f t="shared" si="9"/>
        <v>-80740.804730092917</v>
      </c>
      <c r="S22" s="12">
        <f t="shared" si="9"/>
        <v>-117100.51447439146</v>
      </c>
      <c r="T22" s="12">
        <f t="shared" si="9"/>
        <v>-23420.102894878291</v>
      </c>
      <c r="U22" s="10">
        <f t="shared" si="6"/>
        <v>226452.30348316161</v>
      </c>
      <c r="V22" s="12">
        <f t="shared" si="7"/>
        <v>1298547.6965168384</v>
      </c>
    </row>
    <row r="23" spans="2:22" x14ac:dyDescent="0.2">
      <c r="B23" s="8" t="s">
        <v>46</v>
      </c>
      <c r="C23" s="9">
        <f t="shared" si="8"/>
        <v>0.29126213592233008</v>
      </c>
      <c r="D23" s="10">
        <v>1500000</v>
      </c>
      <c r="E23" s="12">
        <f>+$C$23*E16</f>
        <v>-140417.47572815532</v>
      </c>
      <c r="F23" s="12">
        <f t="shared" ref="F23:T23" si="10">+$C$23*F16</f>
        <v>-29417.475728155339</v>
      </c>
      <c r="G23" s="12">
        <f t="shared" si="10"/>
        <v>-189029.12621359222</v>
      </c>
      <c r="H23" s="12">
        <f t="shared" si="10"/>
        <v>-44737.864077669903</v>
      </c>
      <c r="I23" s="12">
        <f t="shared" si="10"/>
        <v>84525.14563106795</v>
      </c>
      <c r="J23" s="12">
        <f t="shared" si="10"/>
        <v>-34553.88349514563</v>
      </c>
      <c r="K23" s="12">
        <f t="shared" si="10"/>
        <v>-201566.46116504853</v>
      </c>
      <c r="L23" s="12">
        <f t="shared" si="10"/>
        <v>-181150.65728155337</v>
      </c>
      <c r="M23" s="12">
        <f t="shared" si="10"/>
        <v>-33402.439805825241</v>
      </c>
      <c r="N23" s="12">
        <f t="shared" si="10"/>
        <v>-44920.523300970861</v>
      </c>
      <c r="O23" s="12">
        <f t="shared" si="10"/>
        <v>-139599.16893203883</v>
      </c>
      <c r="P23" s="12">
        <f t="shared" si="10"/>
        <v>-74809.951456310679</v>
      </c>
      <c r="Q23" s="12">
        <f t="shared" si="10"/>
        <v>-30545.962135922327</v>
      </c>
      <c r="R23" s="12">
        <f t="shared" si="10"/>
        <v>-79417.184980419261</v>
      </c>
      <c r="S23" s="12">
        <f t="shared" si="10"/>
        <v>-115180.8339092375</v>
      </c>
      <c r="T23" s="12">
        <f t="shared" si="10"/>
        <v>-23036.1667818475</v>
      </c>
      <c r="U23" s="10">
        <f t="shared" si="6"/>
        <v>222739.97063917527</v>
      </c>
      <c r="V23" s="12">
        <f t="shared" si="7"/>
        <v>1277260.0293608247</v>
      </c>
    </row>
    <row r="24" spans="2:22" x14ac:dyDescent="0.2">
      <c r="B24" s="8" t="s">
        <v>47</v>
      </c>
      <c r="C24" s="9">
        <f t="shared" si="8"/>
        <v>3.8834951456310676E-2</v>
      </c>
      <c r="D24" s="10">
        <v>200000</v>
      </c>
      <c r="E24" s="12">
        <f>+$C$24*E16</f>
        <v>-18722.330097087379</v>
      </c>
      <c r="F24" s="12">
        <f t="shared" ref="F24:T24" si="11">+$C$24*F16</f>
        <v>-3922.3300970873784</v>
      </c>
      <c r="G24" s="12">
        <f t="shared" si="11"/>
        <v>-25203.88349514563</v>
      </c>
      <c r="H24" s="12">
        <f t="shared" si="11"/>
        <v>-5965.0485436893196</v>
      </c>
      <c r="I24" s="12">
        <f t="shared" si="11"/>
        <v>11270.019417475727</v>
      </c>
      <c r="J24" s="12">
        <f t="shared" si="11"/>
        <v>-4607.1844660194174</v>
      </c>
      <c r="K24" s="12">
        <f t="shared" si="11"/>
        <v>-26875.528155339802</v>
      </c>
      <c r="L24" s="12">
        <f t="shared" si="11"/>
        <v>-24153.420970873784</v>
      </c>
      <c r="M24" s="12">
        <f t="shared" si="11"/>
        <v>-4453.658640776699</v>
      </c>
      <c r="N24" s="12">
        <f t="shared" si="11"/>
        <v>-5989.403106796115</v>
      </c>
      <c r="O24" s="12">
        <f t="shared" si="11"/>
        <v>-18613.222524271845</v>
      </c>
      <c r="P24" s="12">
        <f t="shared" si="11"/>
        <v>-9974.6601941747558</v>
      </c>
      <c r="Q24" s="12">
        <f t="shared" si="11"/>
        <v>-4072.7949514563102</v>
      </c>
      <c r="R24" s="12">
        <f t="shared" si="11"/>
        <v>-10588.957997389234</v>
      </c>
      <c r="S24" s="12">
        <f t="shared" si="11"/>
        <v>-15357.444521231666</v>
      </c>
      <c r="T24" s="12">
        <f t="shared" si="11"/>
        <v>-3071.4889042463333</v>
      </c>
      <c r="U24" s="10">
        <f t="shared" si="6"/>
        <v>29698.662751890108</v>
      </c>
      <c r="V24" s="12">
        <f t="shared" si="7"/>
        <v>170301.33724810995</v>
      </c>
    </row>
    <row r="25" spans="2:22" x14ac:dyDescent="0.2">
      <c r="B25" s="8" t="s">
        <v>48</v>
      </c>
      <c r="C25" s="9">
        <f t="shared" si="8"/>
        <v>2.9126213592233011E-2</v>
      </c>
      <c r="D25" s="10">
        <v>150000</v>
      </c>
      <c r="E25" s="12">
        <f>+$C$25*E16</f>
        <v>-14041.747572815535</v>
      </c>
      <c r="F25" s="12">
        <f t="shared" ref="F25:T25" si="12">+$C$25*F16</f>
        <v>-2941.7475728155341</v>
      </c>
      <c r="G25" s="12">
        <f t="shared" si="12"/>
        <v>-18902.912621359224</v>
      </c>
      <c r="H25" s="12">
        <f t="shared" si="12"/>
        <v>-4473.7864077669901</v>
      </c>
      <c r="I25" s="12">
        <f t="shared" si="12"/>
        <v>8452.5145631067971</v>
      </c>
      <c r="J25" s="12">
        <f t="shared" si="12"/>
        <v>-3455.3883495145633</v>
      </c>
      <c r="K25" s="12">
        <f t="shared" si="12"/>
        <v>-20156.646116504853</v>
      </c>
      <c r="L25" s="12">
        <f t="shared" si="12"/>
        <v>-18115.065728155339</v>
      </c>
      <c r="M25" s="12">
        <f t="shared" si="12"/>
        <v>-3340.2439805825247</v>
      </c>
      <c r="N25" s="12">
        <f t="shared" si="12"/>
        <v>-4492.0523300970872</v>
      </c>
      <c r="O25" s="12">
        <f t="shared" si="12"/>
        <v>-13959.916893203885</v>
      </c>
      <c r="P25" s="12">
        <f t="shared" si="12"/>
        <v>-7480.9951456310682</v>
      </c>
      <c r="Q25" s="12">
        <f t="shared" si="12"/>
        <v>-3054.5962135922332</v>
      </c>
      <c r="R25" s="12">
        <f t="shared" si="12"/>
        <v>-7941.7184980419261</v>
      </c>
      <c r="S25" s="12">
        <f t="shared" si="12"/>
        <v>-11518.08339092375</v>
      </c>
      <c r="T25" s="12">
        <f t="shared" si="12"/>
        <v>-2303.6166781847505</v>
      </c>
      <c r="U25" s="10">
        <f t="shared" si="6"/>
        <v>22273.99706391753</v>
      </c>
      <c r="V25" s="12">
        <f t="shared" si="7"/>
        <v>127726.00293608247</v>
      </c>
    </row>
    <row r="26" spans="2:22" x14ac:dyDescent="0.2">
      <c r="B26" s="8" t="s">
        <v>49</v>
      </c>
      <c r="C26" s="9">
        <f t="shared" si="8"/>
        <v>2.9126213592233011E-2</v>
      </c>
      <c r="D26" s="10">
        <v>150000</v>
      </c>
      <c r="E26" s="12">
        <f>+$C$26*E16</f>
        <v>-14041.747572815535</v>
      </c>
      <c r="F26" s="12">
        <f t="shared" ref="F26:T26" si="13">+$C$26*F16</f>
        <v>-2941.7475728155341</v>
      </c>
      <c r="G26" s="12">
        <f t="shared" si="13"/>
        <v>-18902.912621359224</v>
      </c>
      <c r="H26" s="12">
        <f t="shared" si="13"/>
        <v>-4473.7864077669901</v>
      </c>
      <c r="I26" s="12">
        <f t="shared" si="13"/>
        <v>8452.5145631067971</v>
      </c>
      <c r="J26" s="12">
        <f t="shared" si="13"/>
        <v>-3455.3883495145633</v>
      </c>
      <c r="K26" s="12">
        <f t="shared" si="13"/>
        <v>-20156.646116504853</v>
      </c>
      <c r="L26" s="12">
        <f t="shared" si="13"/>
        <v>-18115.065728155339</v>
      </c>
      <c r="M26" s="12">
        <f t="shared" si="13"/>
        <v>-3340.2439805825247</v>
      </c>
      <c r="N26" s="12">
        <f t="shared" si="13"/>
        <v>-4492.0523300970872</v>
      </c>
      <c r="O26" s="12">
        <f t="shared" si="13"/>
        <v>-13959.916893203885</v>
      </c>
      <c r="P26" s="12">
        <f t="shared" si="13"/>
        <v>-7480.9951456310682</v>
      </c>
      <c r="Q26" s="12">
        <f t="shared" si="13"/>
        <v>-3054.5962135922332</v>
      </c>
      <c r="R26" s="12">
        <f t="shared" si="13"/>
        <v>-7941.7184980419261</v>
      </c>
      <c r="S26" s="12">
        <f t="shared" si="13"/>
        <v>-11518.08339092375</v>
      </c>
      <c r="T26" s="12">
        <f t="shared" si="13"/>
        <v>-2303.6166781847505</v>
      </c>
      <c r="U26" s="10">
        <f t="shared" si="6"/>
        <v>22273.99706391753</v>
      </c>
      <c r="V26" s="12">
        <f t="shared" si="7"/>
        <v>127726.00293608247</v>
      </c>
    </row>
    <row r="27" spans="2:22" x14ac:dyDescent="0.2">
      <c r="B27" s="8" t="s">
        <v>50</v>
      </c>
      <c r="C27" s="9">
        <f t="shared" si="8"/>
        <v>1.9417475728155338E-2</v>
      </c>
      <c r="D27" s="10">
        <v>100000</v>
      </c>
      <c r="E27" s="12">
        <f>+$C$27*E16</f>
        <v>-9361.1650485436894</v>
      </c>
      <c r="F27" s="12">
        <f t="shared" ref="F27:T27" si="14">+$C$27*F16</f>
        <v>-1961.1650485436892</v>
      </c>
      <c r="G27" s="12">
        <f t="shared" si="14"/>
        <v>-12601.941747572815</v>
      </c>
      <c r="H27" s="12">
        <f t="shared" si="14"/>
        <v>-2982.5242718446598</v>
      </c>
      <c r="I27" s="12">
        <f t="shared" si="14"/>
        <v>5635.0097087378635</v>
      </c>
      <c r="J27" s="12">
        <f t="shared" si="14"/>
        <v>-2303.5922330097087</v>
      </c>
      <c r="K27" s="12">
        <f t="shared" si="14"/>
        <v>-13437.764077669901</v>
      </c>
      <c r="L27" s="12">
        <f t="shared" si="14"/>
        <v>-12076.710485436892</v>
      </c>
      <c r="M27" s="12">
        <f t="shared" si="14"/>
        <v>-2226.8293203883495</v>
      </c>
      <c r="N27" s="12">
        <f t="shared" si="14"/>
        <v>-2994.7015533980575</v>
      </c>
      <c r="O27" s="12">
        <f t="shared" si="14"/>
        <v>-9306.6112621359225</v>
      </c>
      <c r="P27" s="12">
        <f t="shared" si="14"/>
        <v>-4987.3300970873779</v>
      </c>
      <c r="Q27" s="12">
        <f t="shared" si="14"/>
        <v>-2036.3974757281551</v>
      </c>
      <c r="R27" s="12">
        <f t="shared" si="14"/>
        <v>-5294.4789986946171</v>
      </c>
      <c r="S27" s="12">
        <f t="shared" si="14"/>
        <v>-7678.722260615833</v>
      </c>
      <c r="T27" s="12">
        <f t="shared" si="14"/>
        <v>-1535.7444521231666</v>
      </c>
      <c r="U27" s="10">
        <f t="shared" si="6"/>
        <v>14849.331375945054</v>
      </c>
      <c r="V27" s="12">
        <f t="shared" si="7"/>
        <v>85150.668624054975</v>
      </c>
    </row>
    <row r="28" spans="2:22" ht="13.5" thickBot="1" x14ac:dyDescent="0.25">
      <c r="C28" s="31">
        <f>+SUM(C21:C27)</f>
        <v>0.99999999999999989</v>
      </c>
      <c r="D28" s="13">
        <f>+SUM(D21:D27)</f>
        <v>5150000</v>
      </c>
      <c r="E28" s="32">
        <f>+SUM(E21:E27)</f>
        <v>-482099.99999999994</v>
      </c>
      <c r="F28" s="32">
        <f t="shared" ref="F28:T28" si="15">+SUM(F21:F27)</f>
        <v>-101000.00000000001</v>
      </c>
      <c r="G28" s="32">
        <f t="shared" si="15"/>
        <v>-649000</v>
      </c>
      <c r="H28" s="32">
        <f t="shared" si="15"/>
        <v>-153599.99999999994</v>
      </c>
      <c r="I28" s="32">
        <f t="shared" si="15"/>
        <v>290203</v>
      </c>
      <c r="J28" s="32">
        <f t="shared" si="15"/>
        <v>-118634.99999999999</v>
      </c>
      <c r="K28" s="32">
        <f t="shared" si="15"/>
        <v>-692044.84999999986</v>
      </c>
      <c r="L28" s="32">
        <f t="shared" si="15"/>
        <v>-621950.58999999985</v>
      </c>
      <c r="M28" s="32">
        <f t="shared" si="15"/>
        <v>-114681.71</v>
      </c>
      <c r="N28" s="32">
        <f t="shared" si="15"/>
        <v>-154227.12999999998</v>
      </c>
      <c r="O28" s="32">
        <f t="shared" si="15"/>
        <v>-479290.48</v>
      </c>
      <c r="P28" s="32">
        <f t="shared" si="15"/>
        <v>-256847.50000000003</v>
      </c>
      <c r="Q28" s="32">
        <f t="shared" si="15"/>
        <v>-104874.46999999999</v>
      </c>
      <c r="R28" s="32">
        <f t="shared" si="15"/>
        <v>-272665.6684327728</v>
      </c>
      <c r="S28" s="32">
        <f t="shared" si="15"/>
        <v>-395454.19642171543</v>
      </c>
      <c r="T28" s="32">
        <f t="shared" si="15"/>
        <v>-79090.839284343092</v>
      </c>
      <c r="U28" s="32">
        <f t="shared" ref="U28" si="16">+SUM(U21:U27)</f>
        <v>764740.56586116878</v>
      </c>
      <c r="V28" s="32">
        <f t="shared" ref="V28" si="17">+SUM(V21:V27)</f>
        <v>4385259.4341388308</v>
      </c>
    </row>
    <row r="29" spans="2:22" x14ac:dyDescent="0.2">
      <c r="T29" s="33" t="s">
        <v>10</v>
      </c>
      <c r="U29" s="9" t="s">
        <v>10</v>
      </c>
      <c r="V29" s="9" t="s">
        <v>10</v>
      </c>
    </row>
  </sheetData>
  <sortState ref="B22:T34">
    <sortCondition descending="1" ref="D22:D34"/>
  </sortState>
  <pageMargins left="0.7" right="0.7" top="0.75" bottom="0.75" header="0.3" footer="0.3"/>
  <pageSetup orientation="portrait" horizontalDpi="4294967294" verticalDpi="4294967294" r:id="rId1"/>
  <ignoredErrors>
    <ignoredError sqref="E17:T17 V5:V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K42"/>
  <sheetViews>
    <sheetView workbookViewId="0">
      <selection activeCell="B36" sqref="B36"/>
    </sheetView>
  </sheetViews>
  <sheetFormatPr defaultRowHeight="12.75" x14ac:dyDescent="0.2"/>
  <cols>
    <col min="1" max="1" width="9.140625" style="8"/>
    <col min="2" max="2" width="36.28515625" style="8" customWidth="1"/>
    <col min="3" max="3" width="12.7109375" style="2" customWidth="1"/>
    <col min="4" max="4" width="9.140625" style="8" customWidth="1"/>
    <col min="5" max="5" width="16.85546875" style="17" bestFit="1" customWidth="1"/>
    <col min="6" max="6" width="10" style="8" bestFit="1" customWidth="1"/>
    <col min="7" max="7" width="9.140625" style="8"/>
    <col min="8" max="8" width="20.28515625" style="8" bestFit="1" customWidth="1"/>
    <col min="9" max="10" width="9.140625" style="8"/>
    <col min="11" max="11" width="13.5703125" style="8" bestFit="1" customWidth="1"/>
    <col min="12" max="16384" width="9.140625" style="8"/>
  </cols>
  <sheetData>
    <row r="9" spans="2:11" ht="15" x14ac:dyDescent="0.25">
      <c r="B9" s="15" t="s">
        <v>27</v>
      </c>
      <c r="C9" s="16"/>
      <c r="D9" s="16"/>
      <c r="E9" s="16" t="s">
        <v>28</v>
      </c>
    </row>
    <row r="10" spans="2:11" ht="15" x14ac:dyDescent="0.25">
      <c r="B10" s="15" t="s">
        <v>29</v>
      </c>
      <c r="C10" s="16"/>
      <c r="D10" s="16"/>
      <c r="E10" s="16" t="s">
        <v>30</v>
      </c>
    </row>
    <row r="12" spans="2:11" x14ac:dyDescent="0.2">
      <c r="K12" s="9"/>
    </row>
    <row r="13" spans="2:11" s="18" customFormat="1" ht="15.75" x14ac:dyDescent="0.25">
      <c r="C13" s="19"/>
      <c r="E13" s="20"/>
    </row>
    <row r="14" spans="2:11" s="18" customFormat="1" ht="15.75" x14ac:dyDescent="0.25">
      <c r="B14" s="21" t="s">
        <v>31</v>
      </c>
      <c r="C14" s="22" t="s">
        <v>32</v>
      </c>
      <c r="D14" s="21"/>
      <c r="E14" s="23" t="s">
        <v>33</v>
      </c>
    </row>
    <row r="15" spans="2:11" s="18" customFormat="1" ht="15.75" x14ac:dyDescent="0.25">
      <c r="B15" s="18" t="s">
        <v>34</v>
      </c>
      <c r="C15" s="19"/>
      <c r="E15" s="20">
        <f>+MR!D5</f>
        <v>150000000</v>
      </c>
    </row>
    <row r="16" spans="2:11" s="18" customFormat="1" ht="15.75" x14ac:dyDescent="0.25">
      <c r="B16" s="18" t="s">
        <v>35</v>
      </c>
      <c r="C16" s="24">
        <f>+MR!E4</f>
        <v>41838</v>
      </c>
      <c r="E16" s="20">
        <f>+MR!E5</f>
        <v>-14463000</v>
      </c>
      <c r="F16" s="25" t="s">
        <v>36</v>
      </c>
    </row>
    <row r="17" spans="2:8" s="18" customFormat="1" ht="15.75" x14ac:dyDescent="0.25">
      <c r="B17" s="18" t="s">
        <v>35</v>
      </c>
      <c r="C17" s="24">
        <v>42368</v>
      </c>
      <c r="E17" s="20">
        <v>-8271767.21</v>
      </c>
    </row>
    <row r="18" spans="2:8" s="18" customFormat="1" ht="15.75" x14ac:dyDescent="0.25">
      <c r="B18" s="18" t="s">
        <v>35</v>
      </c>
      <c r="C18" s="24">
        <v>42429</v>
      </c>
      <c r="E18" s="20">
        <v>-3677393.4924572087</v>
      </c>
    </row>
    <row r="19" spans="2:8" s="18" customFormat="1" ht="15.75" x14ac:dyDescent="0.25">
      <c r="B19" s="18" t="s">
        <v>37</v>
      </c>
      <c r="C19" s="24">
        <v>42436</v>
      </c>
      <c r="E19" s="20">
        <f>8718611.53+3.96</f>
        <v>8718615.4900000002</v>
      </c>
    </row>
    <row r="20" spans="2:8" s="18" customFormat="1" ht="15.75" x14ac:dyDescent="0.25">
      <c r="B20" s="18" t="s">
        <v>35</v>
      </c>
      <c r="C20" s="24">
        <v>42513</v>
      </c>
      <c r="E20" s="20">
        <v>-3702130.2</v>
      </c>
      <c r="H20" s="26"/>
    </row>
    <row r="21" spans="2:8" s="18" customFormat="1" ht="15.75" x14ac:dyDescent="0.25">
      <c r="B21" s="18" t="s">
        <v>35</v>
      </c>
      <c r="C21" s="24">
        <v>42549</v>
      </c>
      <c r="E21" s="20">
        <f>-[1]Sheet1!$S$12</f>
        <v>-13723965.538963668</v>
      </c>
      <c r="H21" s="27"/>
    </row>
    <row r="22" spans="2:8" s="18" customFormat="1" ht="15.75" x14ac:dyDescent="0.25">
      <c r="B22" s="18" t="s">
        <v>35</v>
      </c>
      <c r="C22" s="24">
        <v>42556</v>
      </c>
      <c r="E22" s="20">
        <v>-12441784.73</v>
      </c>
      <c r="H22" s="27"/>
    </row>
    <row r="23" spans="2:8" s="18" customFormat="1" ht="15.75" x14ac:dyDescent="0.25">
      <c r="B23" s="18" t="s">
        <v>35</v>
      </c>
      <c r="C23" s="24">
        <v>42594</v>
      </c>
      <c r="E23" s="20">
        <v>-17517187</v>
      </c>
      <c r="H23" s="27"/>
    </row>
    <row r="24" spans="2:8" s="18" customFormat="1" ht="15.75" x14ac:dyDescent="0.25">
      <c r="B24" s="18" t="s">
        <v>38</v>
      </c>
      <c r="C24" s="24"/>
      <c r="E24" s="20">
        <f>+'[2]Detail Summary'!Q4</f>
        <v>-26051088.210000001</v>
      </c>
      <c r="H24" s="27"/>
    </row>
    <row r="25" spans="2:8" s="18" customFormat="1" ht="16.5" thickBot="1" x14ac:dyDescent="0.3">
      <c r="B25" s="18" t="s">
        <v>39</v>
      </c>
      <c r="C25" s="19"/>
      <c r="E25" s="28">
        <f>+SUM(E15:E24)</f>
        <v>58870299.108579122</v>
      </c>
      <c r="H25" s="29"/>
    </row>
    <row r="26" spans="2:8" s="18" customFormat="1" ht="15.75" x14ac:dyDescent="0.25">
      <c r="C26" s="19"/>
      <c r="E26" s="20"/>
      <c r="G26" s="30"/>
    </row>
    <row r="27" spans="2:8" s="18" customFormat="1" ht="15.75" x14ac:dyDescent="0.25">
      <c r="C27" s="19"/>
      <c r="E27" s="20"/>
    </row>
    <row r="28" spans="2:8" s="18" customFormat="1" ht="15.75" x14ac:dyDescent="0.25">
      <c r="B28" s="21" t="s">
        <v>40</v>
      </c>
      <c r="C28" s="19"/>
      <c r="E28" s="20"/>
    </row>
    <row r="29" spans="2:8" s="18" customFormat="1" ht="15.75" x14ac:dyDescent="0.25">
      <c r="B29" s="18" t="s">
        <v>41</v>
      </c>
      <c r="C29" s="19"/>
      <c r="E29" s="20"/>
    </row>
    <row r="30" spans="2:8" s="18" customFormat="1" ht="15.75" x14ac:dyDescent="0.25">
      <c r="C30" s="19"/>
      <c r="E30" s="20"/>
    </row>
    <row r="31" spans="2:8" s="18" customFormat="1" ht="15.75" x14ac:dyDescent="0.25">
      <c r="C31" s="19"/>
      <c r="E31" s="20"/>
    </row>
    <row r="32" spans="2:8" s="18" customFormat="1" ht="15.75" x14ac:dyDescent="0.25">
      <c r="C32" s="19"/>
      <c r="E32" s="20"/>
    </row>
    <row r="33" spans="3:5" s="18" customFormat="1" ht="15.75" x14ac:dyDescent="0.25">
      <c r="C33" s="19"/>
      <c r="E33" s="20"/>
    </row>
    <row r="34" spans="3:5" s="18" customFormat="1" ht="15.75" x14ac:dyDescent="0.25">
      <c r="C34" s="19"/>
      <c r="E34" s="20"/>
    </row>
    <row r="35" spans="3:5" s="18" customFormat="1" ht="15.75" x14ac:dyDescent="0.25">
      <c r="C35" s="19"/>
      <c r="E35" s="20"/>
    </row>
    <row r="36" spans="3:5" s="18" customFormat="1" ht="15.75" x14ac:dyDescent="0.25">
      <c r="C36" s="19"/>
      <c r="E36" s="20"/>
    </row>
    <row r="37" spans="3:5" s="18" customFormat="1" ht="15.75" x14ac:dyDescent="0.25">
      <c r="C37" s="19"/>
      <c r="E37" s="20"/>
    </row>
    <row r="38" spans="3:5" s="18" customFormat="1" ht="15.75" x14ac:dyDescent="0.25">
      <c r="C38" s="19"/>
      <c r="E38" s="20"/>
    </row>
    <row r="39" spans="3:5" s="18" customFormat="1" ht="15.75" x14ac:dyDescent="0.25">
      <c r="C39" s="19"/>
      <c r="E39" s="20"/>
    </row>
    <row r="40" spans="3:5" s="18" customFormat="1" ht="15.75" x14ac:dyDescent="0.25">
      <c r="C40" s="19"/>
      <c r="E40" s="20"/>
    </row>
    <row r="41" spans="3:5" s="18" customFormat="1" ht="15.75" x14ac:dyDescent="0.25">
      <c r="C41" s="19"/>
      <c r="E41" s="20"/>
    </row>
    <row r="42" spans="3:5" s="18" customFormat="1" ht="15.75" x14ac:dyDescent="0.25">
      <c r="C42" s="19"/>
      <c r="E42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MR</vt:lpstr>
      <vt:lpstr>MERS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Ruthard</dc:creator>
  <cp:lastModifiedBy>Mike Ruthard</cp:lastModifiedBy>
  <dcterms:created xsi:type="dcterms:W3CDTF">2016-09-20T14:07:53Z</dcterms:created>
  <dcterms:modified xsi:type="dcterms:W3CDTF">2017-05-24T19:52:34Z</dcterms:modified>
</cp:coreProperties>
</file>