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5195" windowHeight="8955"/>
  </bookViews>
  <sheets>
    <sheet name="Chart" sheetId="1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L56" i="11" l="1"/>
  <c r="D56" i="11"/>
  <c r="E56" i="11"/>
  <c r="F56" i="11"/>
  <c r="J56" i="11"/>
  <c r="G56" i="11"/>
  <c r="C54" i="11" l="1"/>
  <c r="C56" i="11" s="1"/>
  <c r="P54" i="11"/>
  <c r="N54" i="11"/>
  <c r="O54" i="11" s="1"/>
  <c r="L54" i="11"/>
  <c r="H54" i="11"/>
  <c r="I54" i="11" s="1"/>
  <c r="J54" i="11" s="1"/>
  <c r="K54" i="11" l="1"/>
  <c r="K56" i="11" s="1"/>
  <c r="Q54" i="11"/>
  <c r="R54" i="11" s="1"/>
  <c r="R56" i="11" s="1"/>
  <c r="C53" i="11"/>
  <c r="C52" i="11"/>
  <c r="C58" i="11"/>
  <c r="F14" i="11"/>
  <c r="G13" i="11"/>
  <c r="C30" i="11" l="1"/>
  <c r="C29" i="11"/>
  <c r="C27" i="11"/>
  <c r="C24" i="11"/>
  <c r="C22" i="11"/>
  <c r="H53" i="11" l="1"/>
  <c r="P53" i="11"/>
  <c r="L53" i="11"/>
  <c r="H52" i="11" l="1"/>
  <c r="P52" i="11"/>
  <c r="L52" i="11"/>
  <c r="H51" i="11" l="1"/>
  <c r="P51" i="11"/>
  <c r="L51" i="11"/>
  <c r="P50" i="11" l="1"/>
  <c r="L50" i="11"/>
  <c r="H50" i="11"/>
  <c r="P49" i="11" l="1"/>
  <c r="L49" i="11"/>
  <c r="H49" i="11"/>
  <c r="L48" i="11" l="1"/>
  <c r="H48" i="11"/>
  <c r="P48" i="11"/>
  <c r="H47" i="11"/>
  <c r="P47" i="11" l="1"/>
  <c r="L47" i="11"/>
  <c r="H46" i="11" l="1"/>
  <c r="P46" i="11"/>
  <c r="L46" i="11"/>
  <c r="H45" i="11" l="1"/>
  <c r="P45" i="11"/>
  <c r="L45" i="11"/>
  <c r="P44" i="11" l="1"/>
  <c r="L44" i="11"/>
  <c r="H44" i="11"/>
  <c r="H43" i="11" l="1"/>
  <c r="P43" i="11"/>
  <c r="L43" i="11"/>
  <c r="H42" i="11" l="1"/>
  <c r="P42" i="11"/>
  <c r="L42" i="11"/>
  <c r="H41" i="11" l="1"/>
  <c r="P41" i="11"/>
  <c r="L41" i="11"/>
  <c r="H40" i="11" l="1"/>
  <c r="P40" i="11"/>
  <c r="L40" i="11"/>
  <c r="H39" i="11" l="1"/>
  <c r="P39" i="11"/>
  <c r="L39" i="11"/>
  <c r="H38" i="11" l="1"/>
  <c r="P38" i="11"/>
  <c r="L38" i="11"/>
  <c r="H37" i="11" l="1"/>
  <c r="P37" i="11"/>
  <c r="L37" i="11"/>
  <c r="H36" i="11" l="1"/>
  <c r="P36" i="11"/>
  <c r="L36" i="11"/>
  <c r="H35" i="11" l="1"/>
  <c r="P35" i="11"/>
  <c r="L35" i="11"/>
  <c r="H34" i="11" l="1"/>
  <c r="P34" i="11"/>
  <c r="L34" i="11"/>
  <c r="P33" i="11" l="1"/>
  <c r="L33" i="11"/>
  <c r="H33" i="11"/>
  <c r="H32" i="11" l="1"/>
  <c r="P32" i="11"/>
  <c r="L32" i="11"/>
  <c r="H21" i="11" l="1"/>
  <c r="H20" i="11"/>
  <c r="I53" i="11" l="1"/>
  <c r="J53" i="11" s="1"/>
  <c r="I52" i="11"/>
  <c r="J52" i="11" s="1"/>
  <c r="K52" i="11" s="1"/>
  <c r="I50" i="11"/>
  <c r="J50" i="11" s="1"/>
  <c r="K50" i="11" s="1"/>
  <c r="I51" i="11"/>
  <c r="J51" i="11" s="1"/>
  <c r="K51" i="11" s="1"/>
  <c r="I49" i="11"/>
  <c r="J49" i="11" s="1"/>
  <c r="K49" i="11" s="1"/>
  <c r="I48" i="11"/>
  <c r="J48" i="11" s="1"/>
  <c r="K48" i="11" s="1"/>
  <c r="P31" i="11"/>
  <c r="L31" i="11"/>
  <c r="H31" i="11"/>
  <c r="K53" i="11" l="1"/>
  <c r="H30" i="11"/>
  <c r="P30" i="11"/>
  <c r="L30" i="11"/>
  <c r="C21" i="11" l="1"/>
  <c r="C23" i="11" s="1"/>
  <c r="C25" i="11" s="1"/>
  <c r="C26" i="11" s="1"/>
  <c r="H29" i="11"/>
  <c r="C28" i="11" l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P29" i="11"/>
  <c r="L29" i="11"/>
  <c r="P28" i="11"/>
  <c r="L28" i="11"/>
  <c r="H28" i="11"/>
  <c r="L21" i="11" l="1"/>
  <c r="H22" i="11"/>
  <c r="C61" i="11" l="1"/>
  <c r="H23" i="11"/>
  <c r="P27" i="11"/>
  <c r="L27" i="11"/>
  <c r="H27" i="11"/>
  <c r="I20" i="11" l="1"/>
  <c r="J20" i="11" l="1"/>
  <c r="K20" i="11" s="1"/>
  <c r="P26" i="11"/>
  <c r="P25" i="11"/>
  <c r="P24" i="11"/>
  <c r="P23" i="11"/>
  <c r="P22" i="11"/>
  <c r="P21" i="11"/>
  <c r="P20" i="11"/>
  <c r="N21" i="11"/>
  <c r="N22" i="11" s="1"/>
  <c r="N23" i="11" s="1"/>
  <c r="N24" i="11" s="1"/>
  <c r="N25" i="11" s="1"/>
  <c r="N26" i="11" s="1"/>
  <c r="N27" i="11" s="1"/>
  <c r="N28" i="11" s="1"/>
  <c r="N29" i="11" s="1"/>
  <c r="N30" i="11" s="1"/>
  <c r="L24" i="11"/>
  <c r="L23" i="11"/>
  <c r="L22" i="11"/>
  <c r="N31" i="11" l="1"/>
  <c r="O30" i="11"/>
  <c r="Q30" i="11" s="1"/>
  <c r="O29" i="11"/>
  <c r="Q29" i="11" s="1"/>
  <c r="O28" i="11"/>
  <c r="Q28" i="11" s="1"/>
  <c r="O31" i="11" l="1"/>
  <c r="Q31" i="11" s="1"/>
  <c r="N32" i="11"/>
  <c r="O27" i="11"/>
  <c r="Q27" i="11" s="1"/>
  <c r="O20" i="11"/>
  <c r="O32" i="11" l="1"/>
  <c r="Q32" i="11" s="1"/>
  <c r="N33" i="11"/>
  <c r="L26" i="11"/>
  <c r="L25" i="11"/>
  <c r="O33" i="11" l="1"/>
  <c r="Q33" i="11" s="1"/>
  <c r="N34" i="11"/>
  <c r="H26" i="11"/>
  <c r="O34" i="11" l="1"/>
  <c r="Q34" i="11" s="1"/>
  <c r="N35" i="11"/>
  <c r="H25" i="11"/>
  <c r="O35" i="11" l="1"/>
  <c r="Q35" i="11" s="1"/>
  <c r="N36" i="11"/>
  <c r="I36" i="11"/>
  <c r="J36" i="11" s="1"/>
  <c r="K36" i="11" s="1"/>
  <c r="H24" i="11"/>
  <c r="I42" i="11" s="1"/>
  <c r="J42" i="11" s="1"/>
  <c r="K42" i="11" s="1"/>
  <c r="I47" i="11" l="1"/>
  <c r="I30" i="11"/>
  <c r="I37" i="11"/>
  <c r="J37" i="11" s="1"/>
  <c r="K37" i="11" s="1"/>
  <c r="I33" i="11"/>
  <c r="J33" i="11" s="1"/>
  <c r="K33" i="11" s="1"/>
  <c r="R33" i="11" s="1"/>
  <c r="I40" i="11"/>
  <c r="J40" i="11" s="1"/>
  <c r="K40" i="11" s="1"/>
  <c r="I41" i="11"/>
  <c r="J41" i="11" s="1"/>
  <c r="K41" i="11" s="1"/>
  <c r="I34" i="11"/>
  <c r="J34" i="11" s="1"/>
  <c r="K34" i="11" s="1"/>
  <c r="R34" i="11" s="1"/>
  <c r="I44" i="11"/>
  <c r="J44" i="11" s="1"/>
  <c r="K44" i="11" s="1"/>
  <c r="O36" i="11"/>
  <c r="Q36" i="11" s="1"/>
  <c r="R36" i="11" s="1"/>
  <c r="N37" i="11"/>
  <c r="I45" i="11"/>
  <c r="J45" i="11" s="1"/>
  <c r="K45" i="11" s="1"/>
  <c r="I39" i="11"/>
  <c r="J39" i="11" s="1"/>
  <c r="K39" i="11" s="1"/>
  <c r="I46" i="11"/>
  <c r="J46" i="11" s="1"/>
  <c r="K46" i="11" s="1"/>
  <c r="I31" i="11"/>
  <c r="J31" i="11" s="1"/>
  <c r="K31" i="11" s="1"/>
  <c r="R31" i="11" s="1"/>
  <c r="J47" i="11"/>
  <c r="I43" i="11"/>
  <c r="J43" i="11" s="1"/>
  <c r="K43" i="11" s="1"/>
  <c r="I32" i="11"/>
  <c r="J32" i="11" s="1"/>
  <c r="K32" i="11" s="1"/>
  <c r="R32" i="11" s="1"/>
  <c r="I35" i="11"/>
  <c r="J35" i="11" s="1"/>
  <c r="K35" i="11" s="1"/>
  <c r="R35" i="11" s="1"/>
  <c r="I38" i="11"/>
  <c r="J38" i="11" s="1"/>
  <c r="K38" i="11" s="1"/>
  <c r="O23" i="11"/>
  <c r="O21" i="11"/>
  <c r="O22" i="11"/>
  <c r="K47" i="11" l="1"/>
  <c r="O37" i="11"/>
  <c r="Q37" i="11" s="1"/>
  <c r="R37" i="11" s="1"/>
  <c r="N38" i="11"/>
  <c r="O24" i="11"/>
  <c r="O38" i="11" l="1"/>
  <c r="Q38" i="11" s="1"/>
  <c r="R38" i="11" s="1"/>
  <c r="N39" i="11"/>
  <c r="O25" i="11"/>
  <c r="O26" i="11"/>
  <c r="N40" i="11" l="1"/>
  <c r="O39" i="11"/>
  <c r="Q39" i="11" s="1"/>
  <c r="R39" i="11" s="1"/>
  <c r="Q25" i="11"/>
  <c r="Q26" i="11"/>
  <c r="Q23" i="11"/>
  <c r="Q24" i="11"/>
  <c r="Q22" i="11"/>
  <c r="Q20" i="11"/>
  <c r="Q21" i="11"/>
  <c r="O40" i="11" l="1"/>
  <c r="Q40" i="11" s="1"/>
  <c r="R40" i="11" s="1"/>
  <c r="N41" i="11"/>
  <c r="I23" i="11"/>
  <c r="J23" i="11" s="1"/>
  <c r="I21" i="11"/>
  <c r="J21" i="11" s="1"/>
  <c r="I22" i="11"/>
  <c r="J22" i="11" s="1"/>
  <c r="I24" i="11"/>
  <c r="J30" i="11"/>
  <c r="I28" i="11"/>
  <c r="J28" i="11" s="1"/>
  <c r="K28" i="11" s="1"/>
  <c r="R28" i="11" s="1"/>
  <c r="I27" i="11"/>
  <c r="J27" i="11" s="1"/>
  <c r="K27" i="11" s="1"/>
  <c r="R27" i="11" s="1"/>
  <c r="I26" i="11"/>
  <c r="J26" i="11" s="1"/>
  <c r="K26" i="11" s="1"/>
  <c r="I25" i="11"/>
  <c r="J25" i="11" s="1"/>
  <c r="K25" i="11" s="1"/>
  <c r="R25" i="11" s="1"/>
  <c r="I29" i="11"/>
  <c r="J29" i="11" s="1"/>
  <c r="K29" i="11" s="1"/>
  <c r="R29" i="11" s="1"/>
  <c r="J24" i="11"/>
  <c r="K24" i="11" s="1"/>
  <c r="R24" i="11" s="1"/>
  <c r="K22" i="11"/>
  <c r="R22" i="11" s="1"/>
  <c r="O41" i="11" l="1"/>
  <c r="Q41" i="11" s="1"/>
  <c r="R41" i="11" s="1"/>
  <c r="N42" i="11"/>
  <c r="K30" i="11"/>
  <c r="R30" i="11" s="1"/>
  <c r="K21" i="11"/>
  <c r="R21" i="11" s="1"/>
  <c r="O42" i="11" l="1"/>
  <c r="Q42" i="11" s="1"/>
  <c r="R42" i="11" s="1"/>
  <c r="N43" i="11"/>
  <c r="R26" i="11"/>
  <c r="K23" i="11"/>
  <c r="R23" i="11" s="1"/>
  <c r="O43" i="11" l="1"/>
  <c r="Q43" i="11" s="1"/>
  <c r="R43" i="11" s="1"/>
  <c r="N44" i="11"/>
  <c r="O44" i="11" l="1"/>
  <c r="Q44" i="11" s="1"/>
  <c r="R44" i="11" s="1"/>
  <c r="N45" i="11"/>
  <c r="O45" i="11" l="1"/>
  <c r="Q45" i="11" s="1"/>
  <c r="R45" i="11" s="1"/>
  <c r="N46" i="11"/>
  <c r="O46" i="11" l="1"/>
  <c r="Q46" i="11" s="1"/>
  <c r="R46" i="11" s="1"/>
  <c r="N47" i="11"/>
  <c r="O47" i="11" l="1"/>
  <c r="Q47" i="11" s="1"/>
  <c r="R47" i="11" s="1"/>
  <c r="N48" i="11"/>
  <c r="O48" i="11" l="1"/>
  <c r="Q48" i="11" s="1"/>
  <c r="R48" i="11" s="1"/>
  <c r="N49" i="11"/>
  <c r="O49" i="11" l="1"/>
  <c r="Q49" i="11" s="1"/>
  <c r="R49" i="11" s="1"/>
  <c r="N50" i="11"/>
  <c r="N51" i="11" l="1"/>
  <c r="O50" i="11"/>
  <c r="Q50" i="11" s="1"/>
  <c r="R50" i="11" s="1"/>
  <c r="O51" i="11" l="1"/>
  <c r="Q51" i="11" s="1"/>
  <c r="R51" i="11" s="1"/>
  <c r="N52" i="11"/>
  <c r="O52" i="11" l="1"/>
  <c r="Q52" i="11" s="1"/>
  <c r="R52" i="11" s="1"/>
  <c r="N53" i="11"/>
  <c r="O53" i="11" s="1"/>
  <c r="Q53" i="11" s="1"/>
  <c r="R53" i="11" s="1"/>
</calcChain>
</file>

<file path=xl/sharedStrings.xml><?xml version="1.0" encoding="utf-8"?>
<sst xmlns="http://schemas.openxmlformats.org/spreadsheetml/2006/main" count="32" uniqueCount="26">
  <si>
    <t>Date</t>
  </si>
  <si>
    <t>Invested Amount</t>
  </si>
  <si>
    <t>Orchard Managed Fund</t>
  </si>
  <si>
    <t>Unitholder</t>
  </si>
  <si>
    <t>Month End</t>
  </si>
  <si>
    <t>Undrawn Capital Commitment</t>
  </si>
  <si>
    <t>Consolidated</t>
  </si>
  <si>
    <t>Monthly Return</t>
  </si>
  <si>
    <t>Annualized Return</t>
  </si>
  <si>
    <t>Since Inception</t>
  </si>
  <si>
    <t>Portfolio</t>
  </si>
  <si>
    <t>Portfolio Return</t>
  </si>
  <si>
    <t>Initial Capital Commitment</t>
  </si>
  <si>
    <t>Total</t>
  </si>
  <si>
    <t>Sharpe Ratio</t>
  </si>
  <si>
    <t>Annualized</t>
  </si>
  <si>
    <t>Std Deviation</t>
  </si>
  <si>
    <t>T-Bill Rate</t>
  </si>
  <si>
    <t>Net Asset Value</t>
  </si>
  <si>
    <t>Number of Loans Invested</t>
  </si>
  <si>
    <t>Distributions</t>
  </si>
  <si>
    <t>Black Forest LTD</t>
  </si>
  <si>
    <t>Unhide</t>
  </si>
  <si>
    <t>ETMF SPC for the account of St. Prex Master Segregated Portfolio</t>
  </si>
  <si>
    <t>Returns of Capital</t>
  </si>
  <si>
    <t>as per mike's revised sheet.  Await for IRR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</si>
</sst>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0.0000"/>
    <numFmt numFmtId="174" formatCode="[$€-2]\ #,##0.00;[Red]\-[$€-2]\ 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numFmtId="168" fontId="0" fillId="0" borderId="0"/>
    <xf numFmtId="168" fontId="3" fillId="0" borderId="0"/>
    <xf numFmtId="168" fontId="4" fillId="0" borderId="0" applyNumberFormat="0" applyFill="0" applyBorder="0" applyAlignment="0" applyProtection="0"/>
    <xf numFmtId="168" fontId="5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horizontal="left" wrapText="1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40" borderId="0" applyNumberFormat="0" applyBorder="0" applyAlignment="0" applyProtection="0"/>
    <xf numFmtId="168" fontId="13" fillId="41" borderId="0" applyNumberFormat="0" applyBorder="0" applyAlignment="0" applyProtection="0"/>
    <xf numFmtId="168" fontId="13" fillId="42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43" borderId="0" applyNumberFormat="0" applyBorder="0" applyAlignment="0" applyProtection="0"/>
    <xf numFmtId="168" fontId="15" fillId="27" borderId="0" applyNumberFormat="0" applyBorder="0" applyAlignment="0" applyProtection="0"/>
    <xf numFmtId="168" fontId="16" fillId="25" borderId="1" applyNumberFormat="0" applyAlignment="0" applyProtection="0"/>
    <xf numFmtId="168" fontId="16" fillId="25" borderId="1" applyNumberFormat="0" applyAlignment="0" applyProtection="0"/>
    <xf numFmtId="168" fontId="18" fillId="44" borderId="12" applyNumberFormat="0" applyAlignment="0" applyProtection="0"/>
    <xf numFmtId="165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3" fillId="0" borderId="0" applyFont="0" applyFill="0" applyBorder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24" fillId="28" borderId="0" applyNumberFormat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5" fillId="31" borderId="1" applyNumberFormat="0" applyAlignment="0" applyProtection="0"/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168" fontId="50" fillId="25" borderId="15" applyNumberFormat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34" fillId="25" borderId="0" applyNumberFormat="0" applyBorder="0" applyAlignment="0"/>
    <xf numFmtId="168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37" fillId="0" borderId="16" applyNumberFormat="0" applyFill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52" fillId="0" borderId="0" applyNumberFormat="0" applyFill="0" applyBorder="0" applyAlignment="0" applyProtection="0">
      <alignment vertical="top"/>
      <protection locked="0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43" fontId="3" fillId="0" borderId="0" applyFont="0" applyFill="0" applyBorder="0" applyAlignment="0" applyProtection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6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6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6" fillId="0" borderId="0"/>
    <xf numFmtId="168" fontId="8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9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vertical="top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>
      <alignment horizontal="left" wrapText="1"/>
    </xf>
    <xf numFmtId="165" fontId="6" fillId="0" borderId="0" applyFont="0" applyFill="0" applyBorder="0" applyAlignment="0" applyProtection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40" fontId="30" fillId="0" borderId="0">
      <alignment horizontal="right" vertical="top"/>
      <protection locked="0"/>
    </xf>
    <xf numFmtId="9" fontId="6" fillId="0" borderId="0" applyFon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vertical="top"/>
    </xf>
    <xf numFmtId="164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8" fontId="6" fillId="0" borderId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168" fontId="10" fillId="0" borderId="0" applyNumberFormat="0" applyFill="0" applyBorder="0" applyAlignment="0" applyProtection="0">
      <alignment vertical="top"/>
      <protection locked="0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5" fontId="6" fillId="0" borderId="0" applyFont="0" applyFill="0" applyBorder="0" applyAlignment="0" applyProtection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/>
    <xf numFmtId="168" fontId="6" fillId="22" borderId="4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6" fillId="25" borderId="1" applyNumberFormat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7" fillId="0" borderId="0">
      <alignment vertical="top"/>
    </xf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5" fontId="6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38" fontId="11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2" fillId="25" borderId="0" applyNumberFormat="0" applyBorder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1" fillId="0" borderId="0"/>
    <xf numFmtId="43" fontId="1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17" fillId="0" borderId="2" applyNumberFormat="0" applyFill="0" applyAlignment="0" applyProtection="0"/>
    <xf numFmtId="168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168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6" fillId="0" borderId="0">
      <alignment horizontal="left" wrapText="1"/>
    </xf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40" fontId="30" fillId="0" borderId="0">
      <alignment horizontal="right" vertical="top"/>
      <protection locked="0"/>
    </xf>
    <xf numFmtId="168" fontId="7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0" fillId="0" borderId="0" applyNumberFormat="0" applyFill="0" applyBorder="0" applyAlignment="0" applyProtection="0">
      <alignment vertical="top"/>
      <protection locked="0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63">
    <xf numFmtId="168" fontId="0" fillId="0" borderId="0" xfId="0"/>
    <xf numFmtId="168" fontId="0" fillId="46" borderId="0" xfId="0" applyFill="1"/>
    <xf numFmtId="169" fontId="53" fillId="46" borderId="0" xfId="0" applyNumberFormat="1" applyFont="1" applyFill="1" applyBorder="1"/>
    <xf numFmtId="168" fontId="0" fillId="46" borderId="0" xfId="0" applyFont="1" applyFill="1"/>
    <xf numFmtId="4" fontId="0" fillId="46" borderId="0" xfId="0" applyNumberFormat="1" applyFont="1" applyFill="1" applyBorder="1"/>
    <xf numFmtId="168" fontId="2" fillId="46" borderId="0" xfId="0" applyFont="1" applyFill="1"/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0" fontId="53" fillId="46" borderId="0" xfId="31499" applyNumberFormat="1" applyFont="1" applyFill="1" applyBorder="1"/>
    <xf numFmtId="171" fontId="0" fillId="46" borderId="0" xfId="0" applyNumberFormat="1" applyFont="1" applyFill="1" applyBorder="1"/>
    <xf numFmtId="171" fontId="0" fillId="46" borderId="23" xfId="0" applyNumberFormat="1" applyFont="1" applyFill="1" applyBorder="1"/>
    <xf numFmtId="10" fontId="0" fillId="46" borderId="0" xfId="31499" applyNumberFormat="1" applyFont="1" applyFill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Border="1" applyAlignment="1">
      <alignment horizontal="center"/>
    </xf>
    <xf numFmtId="168" fontId="2" fillId="47" borderId="24" xfId="0" applyFont="1" applyFill="1" applyBorder="1" applyAlignment="1">
      <alignment horizontal="center"/>
    </xf>
    <xf numFmtId="168" fontId="2" fillId="46" borderId="0" xfId="0" applyFont="1" applyFill="1" applyAlignment="1">
      <alignment horizontal="right"/>
    </xf>
    <xf numFmtId="15" fontId="2" fillId="46" borderId="0" xfId="0" applyNumberFormat="1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8" fontId="2" fillId="48" borderId="26" xfId="0" applyFont="1" applyFill="1" applyBorder="1" applyAlignment="1">
      <alignment horizontal="center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70" fontId="2" fillId="48" borderId="0" xfId="31498" applyNumberFormat="1" applyFont="1" applyFill="1" applyAlignment="1">
      <alignment horizontal="right"/>
    </xf>
    <xf numFmtId="171" fontId="54" fillId="46" borderId="23" xfId="0" applyNumberFormat="1" applyFont="1" applyFill="1" applyBorder="1"/>
    <xf numFmtId="169" fontId="54" fillId="46" borderId="23" xfId="0" applyNumberFormat="1" applyFont="1" applyFill="1" applyBorder="1"/>
    <xf numFmtId="169" fontId="54" fillId="46" borderId="0" xfId="0" applyNumberFormat="1" applyFont="1" applyFill="1" applyBorder="1"/>
    <xf numFmtId="10" fontId="54" fillId="46" borderId="0" xfId="31499" applyNumberFormat="1" applyFont="1" applyFill="1" applyBorder="1"/>
    <xf numFmtId="172" fontId="54" fillId="46" borderId="0" xfId="31498" applyNumberFormat="1" applyFont="1" applyFill="1" applyBorder="1"/>
    <xf numFmtId="43" fontId="54" fillId="46" borderId="0" xfId="31498" applyFont="1" applyFill="1" applyBorder="1"/>
    <xf numFmtId="171" fontId="54" fillId="46" borderId="25" xfId="0" applyNumberFormat="1" applyFont="1" applyFill="1" applyBorder="1" applyAlignment="1">
      <alignment horizontal="center"/>
    </xf>
    <xf numFmtId="169" fontId="54" fillId="46" borderId="26" xfId="0" applyNumberFormat="1" applyFont="1" applyFill="1" applyBorder="1"/>
    <xf numFmtId="169" fontId="54" fillId="46" borderId="27" xfId="0" applyNumberFormat="1" applyFont="1" applyFill="1" applyBorder="1"/>
    <xf numFmtId="10" fontId="54" fillId="46" borderId="27" xfId="31499" applyNumberFormat="1" applyFont="1" applyFill="1" applyBorder="1"/>
    <xf numFmtId="10" fontId="54" fillId="46" borderId="24" xfId="31499" applyNumberFormat="1" applyFont="1" applyFill="1" applyBorder="1"/>
    <xf numFmtId="166" fontId="54" fillId="46" borderId="0" xfId="0" applyNumberFormat="1" applyFont="1" applyFill="1" applyBorder="1"/>
    <xf numFmtId="43" fontId="54" fillId="46" borderId="24" xfId="31498" applyNumberFormat="1" applyFont="1" applyFill="1" applyBorder="1"/>
    <xf numFmtId="43" fontId="54" fillId="46" borderId="28" xfId="31499" applyNumberFormat="1" applyFont="1" applyFill="1" applyBorder="1"/>
    <xf numFmtId="168" fontId="55" fillId="46" borderId="0" xfId="0" applyFont="1" applyFill="1" applyAlignment="1">
      <alignment horizontal="right"/>
    </xf>
    <xf numFmtId="173" fontId="54" fillId="49" borderId="0" xfId="31499" applyNumberFormat="1" applyFont="1" applyFill="1" applyBorder="1"/>
    <xf numFmtId="166" fontId="54" fillId="49" borderId="0" xfId="0" applyNumberFormat="1" applyFont="1" applyFill="1" applyBorder="1"/>
    <xf numFmtId="170" fontId="0" fillId="46" borderId="0" xfId="31498" applyNumberFormat="1" applyFont="1" applyFill="1"/>
    <xf numFmtId="168" fontId="2" fillId="48" borderId="0" xfId="0" applyFont="1" applyFill="1" applyAlignment="1">
      <alignment horizontal="center"/>
    </xf>
    <xf numFmtId="171" fontId="54" fillId="46" borderId="20" xfId="0" applyNumberFormat="1" applyFont="1" applyFill="1" applyBorder="1"/>
    <xf numFmtId="169" fontId="54" fillId="46" borderId="20" xfId="0" applyNumberFormat="1" applyFont="1" applyFill="1" applyBorder="1"/>
    <xf numFmtId="169" fontId="54" fillId="46" borderId="21" xfId="0" applyNumberFormat="1" applyFont="1" applyFill="1" applyBorder="1"/>
    <xf numFmtId="10" fontId="54" fillId="46" borderId="21" xfId="31499" applyNumberFormat="1" applyFont="1" applyFill="1" applyBorder="1"/>
    <xf numFmtId="173" fontId="54" fillId="49" borderId="21" xfId="31499" applyNumberFormat="1" applyFont="1" applyFill="1" applyBorder="1"/>
    <xf numFmtId="10" fontId="54" fillId="46" borderId="22" xfId="31499" applyNumberFormat="1" applyFont="1" applyFill="1" applyBorder="1"/>
    <xf numFmtId="10" fontId="54" fillId="46" borderId="28" xfId="31499" applyNumberFormat="1" applyFont="1" applyFill="1" applyBorder="1"/>
    <xf numFmtId="10" fontId="54" fillId="46" borderId="20" xfId="31499" applyNumberFormat="1" applyFont="1" applyFill="1" applyBorder="1"/>
    <xf numFmtId="10" fontId="54" fillId="46" borderId="23" xfId="31499" applyNumberFormat="1" applyFont="1" applyFill="1" applyBorder="1"/>
    <xf numFmtId="10" fontId="54" fillId="46" borderId="26" xfId="31499" applyNumberFormat="1" applyFont="1" applyFill="1" applyBorder="1"/>
    <xf numFmtId="44" fontId="0" fillId="46" borderId="0" xfId="43807" applyFont="1" applyFill="1"/>
    <xf numFmtId="174" fontId="0" fillId="49" borderId="0" xfId="0" applyNumberFormat="1" applyFont="1" applyFill="1" applyAlignment="1">
      <alignment horizontal="left"/>
    </xf>
    <xf numFmtId="168" fontId="0" fillId="49" borderId="0" xfId="0" applyFont="1" applyFill="1"/>
    <xf numFmtId="169" fontId="54" fillId="0" borderId="23" xfId="0" applyNumberFormat="1" applyFont="1" applyFill="1" applyBorder="1"/>
    <xf numFmtId="169" fontId="54" fillId="46" borderId="0" xfId="0" applyNumberFormat="1" applyFont="1" applyFill="1" applyBorder="1" applyAlignment="1">
      <alignment wrapText="1"/>
    </xf>
  </cellXfs>
  <cellStyles count="43808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" xfId="43807" builtinId="4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942975</xdr:colOff>
      <xdr:row>6</xdr:row>
      <xdr:rowOff>71704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0500"/>
          <a:ext cx="5943600" cy="1024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1"/>
  <sheetViews>
    <sheetView tabSelected="1" topLeftCell="B23" workbookViewId="0">
      <selection activeCell="C20" sqref="C20"/>
    </sheetView>
  </sheetViews>
  <sheetFormatPr defaultColWidth="9.140625" defaultRowHeight="15"/>
  <cols>
    <col min="1" max="1" width="2" style="3" bestFit="1" customWidth="1"/>
    <col min="2" max="2" width="12.140625" style="3" bestFit="1" customWidth="1"/>
    <col min="3" max="4" width="16.140625" style="3" customWidth="1"/>
    <col min="5" max="5" width="16" style="3" customWidth="1"/>
    <col min="6" max="6" width="14.5703125" style="3" customWidth="1"/>
    <col min="7" max="7" width="16.140625" style="3" customWidth="1"/>
    <col min="8" max="9" width="19" style="3" hidden="1" customWidth="1"/>
    <col min="10" max="10" width="16.85546875" style="3" customWidth="1"/>
    <col min="11" max="11" width="17.28515625" style="3" customWidth="1"/>
    <col min="12" max="17" width="14.85546875" style="3" customWidth="1"/>
    <col min="18" max="18" width="14" style="3" customWidth="1"/>
    <col min="19" max="16384" width="9.140625" style="3"/>
  </cols>
  <sheetData>
    <row r="2" spans="2:18">
      <c r="K2" s="11"/>
      <c r="L2" s="11"/>
      <c r="M2" s="11"/>
      <c r="N2" s="11"/>
      <c r="O2" s="11"/>
      <c r="P2" s="11"/>
      <c r="Q2" s="11"/>
      <c r="R2" s="11"/>
    </row>
    <row r="3" spans="2:18">
      <c r="K3" s="11"/>
      <c r="L3" s="11"/>
      <c r="M3" s="11"/>
      <c r="N3" s="11"/>
      <c r="O3" s="11"/>
      <c r="P3" s="11"/>
      <c r="Q3" s="11"/>
      <c r="R3" s="11"/>
    </row>
    <row r="4" spans="2:18">
      <c r="K4" s="11"/>
      <c r="L4" s="11"/>
      <c r="M4" s="11"/>
      <c r="N4" s="11"/>
      <c r="O4" s="11"/>
      <c r="P4" s="11"/>
      <c r="Q4" s="11"/>
      <c r="R4" s="11"/>
    </row>
    <row r="5" spans="2:18">
      <c r="K5" s="11"/>
      <c r="L5" s="11"/>
      <c r="M5" s="11"/>
      <c r="N5" s="11"/>
      <c r="O5" s="11"/>
      <c r="P5" s="11"/>
      <c r="Q5" s="11"/>
      <c r="R5" s="11"/>
    </row>
    <row r="6" spans="2:18">
      <c r="K6" s="11"/>
      <c r="L6" s="11"/>
      <c r="M6" s="11"/>
      <c r="N6" s="11"/>
      <c r="O6" s="11"/>
      <c r="P6" s="11"/>
      <c r="Q6" s="11"/>
      <c r="R6" s="11"/>
    </row>
    <row r="7" spans="2:18">
      <c r="K7" s="11"/>
      <c r="L7" s="11"/>
      <c r="M7" s="11"/>
      <c r="N7" s="11"/>
      <c r="O7" s="11"/>
      <c r="P7" s="11"/>
      <c r="Q7" s="11"/>
      <c r="R7" s="11"/>
    </row>
    <row r="8" spans="2:18">
      <c r="K8" s="11"/>
      <c r="L8" s="11"/>
      <c r="M8" s="11"/>
      <c r="N8" s="11"/>
      <c r="O8" s="11"/>
      <c r="P8" s="11"/>
      <c r="Q8" s="11"/>
      <c r="R8" s="11"/>
    </row>
    <row r="9" spans="2:18" s="1" customFormat="1">
      <c r="B9" s="5" t="s">
        <v>2</v>
      </c>
      <c r="D9" s="25"/>
      <c r="E9" s="26"/>
      <c r="F9" s="26" t="s">
        <v>21</v>
      </c>
      <c r="H9" s="15"/>
      <c r="I9" s="15"/>
      <c r="K9" s="11"/>
      <c r="L9" s="11"/>
      <c r="M9" s="11"/>
      <c r="N9" s="11"/>
      <c r="O9" s="11"/>
      <c r="P9" s="11"/>
      <c r="Q9" s="11"/>
      <c r="R9" s="11"/>
    </row>
    <row r="10" spans="2:18" s="1" customFormat="1">
      <c r="B10" s="5" t="s">
        <v>3</v>
      </c>
      <c r="D10" s="25"/>
      <c r="E10" s="47"/>
      <c r="F10" s="47" t="s">
        <v>23</v>
      </c>
      <c r="H10" s="15"/>
      <c r="I10" s="15"/>
      <c r="K10" s="11"/>
      <c r="L10" s="11"/>
      <c r="M10" s="11"/>
      <c r="N10" s="11"/>
      <c r="O10" s="11"/>
      <c r="P10" s="11"/>
      <c r="Q10" s="11"/>
      <c r="R10" s="11"/>
    </row>
    <row r="11" spans="2:18" s="1" customFormat="1">
      <c r="B11" s="5" t="s">
        <v>4</v>
      </c>
      <c r="D11" s="25"/>
      <c r="E11" s="27"/>
      <c r="F11" s="27">
        <v>42886</v>
      </c>
      <c r="H11" s="16"/>
      <c r="I11" s="16"/>
    </row>
    <row r="12" spans="2:18" s="1" customFormat="1">
      <c r="B12" s="5" t="s">
        <v>19</v>
      </c>
      <c r="D12" s="25"/>
      <c r="E12" s="28"/>
      <c r="F12" s="28">
        <v>8</v>
      </c>
      <c r="H12" s="16"/>
      <c r="I12" s="16"/>
    </row>
    <row r="13" spans="2:18" s="1" customFormat="1">
      <c r="B13" s="5" t="s">
        <v>12</v>
      </c>
      <c r="D13" s="25"/>
      <c r="E13" s="28"/>
      <c r="F13" s="28">
        <v>1500000</v>
      </c>
      <c r="G13" s="46">
        <f>F13-F14</f>
        <v>1277260.03</v>
      </c>
      <c r="H13" s="17"/>
      <c r="I13" s="17"/>
    </row>
    <row r="14" spans="2:18" s="1" customFormat="1">
      <c r="B14" s="5" t="s">
        <v>5</v>
      </c>
      <c r="D14" s="25"/>
      <c r="E14" s="28"/>
      <c r="F14" s="28">
        <f>F13-C56</f>
        <v>222739.96999999997</v>
      </c>
      <c r="G14" s="43" t="s">
        <v>22</v>
      </c>
      <c r="H14" s="17"/>
      <c r="I14" s="17"/>
    </row>
    <row r="15" spans="2:18" s="1" customFormat="1">
      <c r="B15" s="5"/>
      <c r="D15" s="6"/>
      <c r="G15" s="7"/>
      <c r="H15" s="7"/>
      <c r="I15" s="7"/>
    </row>
    <row r="16" spans="2:18" s="1" customFormat="1">
      <c r="B16" s="5"/>
      <c r="D16" s="6"/>
      <c r="G16" s="7"/>
      <c r="H16" s="7"/>
      <c r="I16" s="7"/>
    </row>
    <row r="17" spans="2:18">
      <c r="C17" s="19" t="s">
        <v>6</v>
      </c>
      <c r="D17" s="20" t="s">
        <v>6</v>
      </c>
      <c r="E17" s="20" t="s">
        <v>6</v>
      </c>
      <c r="F17" s="20" t="s">
        <v>6</v>
      </c>
      <c r="G17" s="20" t="s">
        <v>10</v>
      </c>
      <c r="H17" s="20"/>
      <c r="I17" s="20"/>
      <c r="J17" s="21" t="s">
        <v>11</v>
      </c>
      <c r="K17" s="19" t="s">
        <v>8</v>
      </c>
      <c r="L17" s="20" t="s">
        <v>15</v>
      </c>
      <c r="M17" s="20"/>
      <c r="N17" s="20"/>
      <c r="O17" s="20"/>
      <c r="P17" s="20"/>
      <c r="Q17" s="20"/>
      <c r="R17" s="21" t="s">
        <v>15</v>
      </c>
    </row>
    <row r="18" spans="2:18" ht="14.25" customHeight="1">
      <c r="B18" s="18" t="s">
        <v>0</v>
      </c>
      <c r="C18" s="22" t="s">
        <v>1</v>
      </c>
      <c r="D18" s="23" t="s">
        <v>18</v>
      </c>
      <c r="E18" s="23" t="s">
        <v>24</v>
      </c>
      <c r="F18" s="23" t="s">
        <v>20</v>
      </c>
      <c r="G18" s="23" t="s">
        <v>7</v>
      </c>
      <c r="H18" s="23"/>
      <c r="I18" s="23"/>
      <c r="J18" s="24" t="s">
        <v>9</v>
      </c>
      <c r="K18" s="22" t="s">
        <v>9</v>
      </c>
      <c r="L18" s="23" t="s">
        <v>16</v>
      </c>
      <c r="M18" s="23" t="s">
        <v>17</v>
      </c>
      <c r="N18" s="23"/>
      <c r="O18" s="23"/>
      <c r="P18" s="23"/>
      <c r="Q18" s="23"/>
      <c r="R18" s="24" t="s">
        <v>14</v>
      </c>
    </row>
    <row r="19" spans="2:18" hidden="1">
      <c r="B19" s="10">
        <v>41838</v>
      </c>
      <c r="C19" s="12"/>
      <c r="D19" s="13"/>
      <c r="E19" s="13"/>
      <c r="F19" s="13"/>
      <c r="G19" s="13"/>
      <c r="H19" s="13"/>
      <c r="I19" s="13"/>
      <c r="J19" s="14"/>
      <c r="K19" s="12"/>
      <c r="L19" s="13"/>
      <c r="M19" s="13" t="s">
        <v>17</v>
      </c>
      <c r="N19" s="13"/>
      <c r="O19" s="13"/>
      <c r="P19" s="13"/>
      <c r="Q19" s="13"/>
      <c r="R19" s="14"/>
    </row>
    <row r="20" spans="2:18">
      <c r="B20" s="48">
        <v>41851</v>
      </c>
      <c r="C20" s="49">
        <v>140417.48000000001</v>
      </c>
      <c r="D20" s="50">
        <v>144359.99</v>
      </c>
      <c r="E20" s="50">
        <v>0</v>
      </c>
      <c r="F20" s="50">
        <v>0</v>
      </c>
      <c r="G20" s="51">
        <v>-1.86688E-3</v>
      </c>
      <c r="H20" s="51">
        <f>+G20+1</f>
        <v>0.99813311999999998</v>
      </c>
      <c r="I20" s="52">
        <f>+H20</f>
        <v>0.99813311999999998</v>
      </c>
      <c r="J20" s="53">
        <f>+I20-1</f>
        <v>-1.8668800000000152E-3</v>
      </c>
      <c r="K20" s="55">
        <f>+(1+J20)^(365/(B20-$B$19))-1</f>
        <v>-5.1112691027559554E-2</v>
      </c>
      <c r="L20" s="32"/>
      <c r="M20" s="40">
        <v>0</v>
      </c>
      <c r="N20" s="34">
        <v>100</v>
      </c>
      <c r="O20" s="32">
        <f>+N20/100</f>
        <v>1</v>
      </c>
      <c r="P20" s="33">
        <f>COUNT($B$19:B20)/12</f>
        <v>0.16666666666666666</v>
      </c>
      <c r="Q20" s="32">
        <f t="shared" ref="Q20:Q25" si="0">-1+(O20^(1/P20))</f>
        <v>0</v>
      </c>
      <c r="R20" s="39"/>
    </row>
    <row r="21" spans="2:18">
      <c r="B21" s="29">
        <v>41882</v>
      </c>
      <c r="C21" s="30">
        <f>+C20</f>
        <v>140417.48000000001</v>
      </c>
      <c r="D21" s="31">
        <v>145621.94</v>
      </c>
      <c r="E21" s="31">
        <v>0</v>
      </c>
      <c r="F21" s="31">
        <v>0</v>
      </c>
      <c r="G21" s="32">
        <v>8.7416690000000005E-3</v>
      </c>
      <c r="H21" s="32">
        <f>+G21+1</f>
        <v>1.008741669</v>
      </c>
      <c r="I21" s="44">
        <f>+H21*H20</f>
        <v>1.0068584693529772</v>
      </c>
      <c r="J21" s="39">
        <f>+I21-1</f>
        <v>6.8584693529771812E-3</v>
      </c>
      <c r="K21" s="56">
        <f>+(1+J21)^(365/(B21-$B$19))-1</f>
        <v>5.8338160731056021E-2</v>
      </c>
      <c r="L21" s="32">
        <f>STDEV($G$20:G21)*(12^0.5)</f>
        <v>2.598553196131274E-2</v>
      </c>
      <c r="M21" s="40">
        <v>1.01E-4</v>
      </c>
      <c r="N21" s="33">
        <f t="shared" ref="N21:N24" si="1">+N20*(1+(M21*(B21-B20)/365))</f>
        <v>100.00085780821917</v>
      </c>
      <c r="O21" s="32">
        <f t="shared" ref="O21:O25" si="2">+N21/100</f>
        <v>1.0000085780821917</v>
      </c>
      <c r="P21" s="33">
        <f>COUNT($B$19:B21)/12</f>
        <v>0.25</v>
      </c>
      <c r="Q21" s="32">
        <f t="shared" si="0"/>
        <v>3.431277027043933E-5</v>
      </c>
      <c r="R21" s="41">
        <f t="shared" ref="R21:R26" si="3">+(K21-Q21)/L21</f>
        <v>2.2437042292452718</v>
      </c>
    </row>
    <row r="22" spans="2:18">
      <c r="B22" s="29">
        <v>41912</v>
      </c>
      <c r="C22" s="30">
        <f>+C21+29417.48+189029.13</f>
        <v>358864.09</v>
      </c>
      <c r="D22" s="31">
        <v>367025.31</v>
      </c>
      <c r="E22" s="31">
        <v>0</v>
      </c>
      <c r="F22" s="31">
        <v>0</v>
      </c>
      <c r="G22" s="32">
        <v>-9.7043200000000007E-3</v>
      </c>
      <c r="H22" s="32">
        <f>+G22+1</f>
        <v>0.99029568000000001</v>
      </c>
      <c r="I22" s="44">
        <f>+H22*H21*H20</f>
        <v>0.99708759257166568</v>
      </c>
      <c r="J22" s="39">
        <f>+I22-1</f>
        <v>-2.9124074283343182E-3</v>
      </c>
      <c r="K22" s="56">
        <f>+(1+J22)^(365/(B22-$B$19))-1</f>
        <v>-1.4283225199519967E-2</v>
      </c>
      <c r="L22" s="32">
        <f>STDEV($G$20:G22)*(12^0.5)</f>
        <v>3.2069340118783922E-2</v>
      </c>
      <c r="M22" s="40">
        <v>1.01E-4</v>
      </c>
      <c r="N22" s="33">
        <f t="shared" si="1"/>
        <v>100.00168795232646</v>
      </c>
      <c r="O22" s="32">
        <f t="shared" si="2"/>
        <v>1.0000168795232647</v>
      </c>
      <c r="P22" s="33">
        <f>COUNT($B$19:B22)/12</f>
        <v>0.33333333333333331</v>
      </c>
      <c r="Q22" s="32">
        <f t="shared" si="0"/>
        <v>5.0639424553855505E-5</v>
      </c>
      <c r="R22" s="41">
        <f t="shared" si="3"/>
        <v>-0.4469647510981391</v>
      </c>
    </row>
    <row r="23" spans="2:18">
      <c r="B23" s="29">
        <v>41943</v>
      </c>
      <c r="C23" s="30">
        <f>+C22</f>
        <v>358864.09</v>
      </c>
      <c r="D23" s="31">
        <v>365356.79999999999</v>
      </c>
      <c r="E23" s="31">
        <v>0</v>
      </c>
      <c r="F23" s="31">
        <v>3063.28</v>
      </c>
      <c r="G23" s="32">
        <v>3.8322040000000001E-3</v>
      </c>
      <c r="H23" s="32">
        <f>+G23+1</f>
        <v>1.0038322040000001</v>
      </c>
      <c r="I23" s="44">
        <f>+H23*H22*H21*H20</f>
        <v>1.0009086356322694</v>
      </c>
      <c r="J23" s="39">
        <f t="shared" ref="J23:J27" si="4">+I23-1</f>
        <v>9.0863563226939448E-4</v>
      </c>
      <c r="K23" s="56">
        <f t="shared" ref="K23" si="5">+(1+J23)^(365/(B23-$B$19))-1</f>
        <v>3.1621454632362322E-3</v>
      </c>
      <c r="L23" s="32">
        <f>STDEV($G$20:G23)*(12^0.5)</f>
        <v>2.7459810175144678E-2</v>
      </c>
      <c r="M23" s="40">
        <v>-5.1E-5</v>
      </c>
      <c r="N23" s="33">
        <f t="shared" si="1"/>
        <v>100.00125479433015</v>
      </c>
      <c r="O23" s="32">
        <f t="shared" si="2"/>
        <v>1.0000125479433015</v>
      </c>
      <c r="P23" s="33">
        <f>COUNT($B$19:B23)/12</f>
        <v>0.41666666666666669</v>
      </c>
      <c r="Q23" s="32">
        <f t="shared" si="0"/>
        <v>3.0115328441659983E-5</v>
      </c>
      <c r="R23" s="41">
        <f t="shared" si="3"/>
        <v>0.11405869577458105</v>
      </c>
    </row>
    <row r="24" spans="2:18">
      <c r="B24" s="29">
        <v>41973</v>
      </c>
      <c r="C24" s="30">
        <f>+C23+44737.86</f>
        <v>403601.95</v>
      </c>
      <c r="D24" s="31">
        <v>413163.16</v>
      </c>
      <c r="E24" s="31">
        <v>0</v>
      </c>
      <c r="F24" s="31">
        <v>0</v>
      </c>
      <c r="G24" s="32">
        <v>4.1959129999999999E-3</v>
      </c>
      <c r="H24" s="32">
        <f t="shared" ref="H24:H25" si="6">+G24+1</f>
        <v>1.004195913</v>
      </c>
      <c r="I24" s="44">
        <f>+H24*H23*H22*H21*H20</f>
        <v>1.0051083611883309</v>
      </c>
      <c r="J24" s="39">
        <f t="shared" si="4"/>
        <v>5.1083611883309121E-3</v>
      </c>
      <c r="K24" s="56">
        <f t="shared" ref="K24:K29" si="7">+(1+J24)^(365/(B24-$B$19))-1</f>
        <v>1.3871668700073503E-2</v>
      </c>
      <c r="L24" s="32">
        <f>STDEV($G$20:G24)*(12^0.5)</f>
        <v>2.4553752785898133E-2</v>
      </c>
      <c r="M24" s="40">
        <v>3.5500000000000001E-4</v>
      </c>
      <c r="N24" s="33">
        <f t="shared" si="1"/>
        <v>100.00417263916181</v>
      </c>
      <c r="O24" s="32">
        <f t="shared" si="2"/>
        <v>1.0000417263916181</v>
      </c>
      <c r="P24" s="33">
        <f>COUNT($B$19:B24)/12</f>
        <v>0.5</v>
      </c>
      <c r="Q24" s="32">
        <f t="shared" si="0"/>
        <v>8.3454524328008262E-5</v>
      </c>
      <c r="R24" s="41">
        <f t="shared" si="3"/>
        <v>0.56155221142669598</v>
      </c>
    </row>
    <row r="25" spans="2:18">
      <c r="B25" s="29">
        <v>42004</v>
      </c>
      <c r="C25" s="30">
        <f>+C24</f>
        <v>403601.95</v>
      </c>
      <c r="D25" s="31">
        <v>412951.46</v>
      </c>
      <c r="E25" s="31">
        <v>0</v>
      </c>
      <c r="F25" s="31">
        <v>0</v>
      </c>
      <c r="G25" s="32">
        <v>-5.1237600000000004E-4</v>
      </c>
      <c r="H25" s="32">
        <f t="shared" si="6"/>
        <v>0.99948762400000002</v>
      </c>
      <c r="I25" s="44">
        <f>+H25*H24*H23*H22*H21*H20</f>
        <v>1.0045933677866588</v>
      </c>
      <c r="J25" s="39">
        <f t="shared" si="4"/>
        <v>4.593367786658753E-3</v>
      </c>
      <c r="K25" s="56">
        <f t="shared" si="7"/>
        <v>1.0127690925765487E-2</v>
      </c>
      <c r="L25" s="32">
        <f>STDEV($G$20:G25)*(12^0.5)</f>
        <v>2.2070962989860065E-2</v>
      </c>
      <c r="M25" s="40">
        <v>1.01E-4</v>
      </c>
      <c r="N25" s="33">
        <f>+N24*(1+(M25*(B25-B24)/365))</f>
        <v>100.00503048317422</v>
      </c>
      <c r="O25" s="32">
        <f t="shared" si="2"/>
        <v>1.0000503048317422</v>
      </c>
      <c r="P25" s="33">
        <f>COUNT($B$19:B25)/12</f>
        <v>0.58333333333333337</v>
      </c>
      <c r="Q25" s="32">
        <f t="shared" si="0"/>
        <v>8.6238403740113156E-5</v>
      </c>
      <c r="R25" s="41">
        <f t="shared" si="3"/>
        <v>0.45496213856362588</v>
      </c>
    </row>
    <row r="26" spans="2:18">
      <c r="B26" s="29">
        <v>42035</v>
      </c>
      <c r="C26" s="30">
        <f>+C25</f>
        <v>403601.95</v>
      </c>
      <c r="D26" s="31">
        <v>410715.1</v>
      </c>
      <c r="E26" s="31">
        <v>0</v>
      </c>
      <c r="F26" s="31">
        <v>0</v>
      </c>
      <c r="G26" s="32">
        <v>-5.4155619999999996E-3</v>
      </c>
      <c r="H26" s="32">
        <f t="shared" ref="H26" si="8">+G26+1</f>
        <v>0.99458443799999996</v>
      </c>
      <c r="I26" s="44">
        <f>+H26*H25*H24*H23*H22*H21*H20</f>
        <v>0.99915293011862139</v>
      </c>
      <c r="J26" s="39">
        <f t="shared" si="4"/>
        <v>-8.4706988137861483E-4</v>
      </c>
      <c r="K26" s="56">
        <f t="shared" si="7"/>
        <v>-1.5688773098071485E-3</v>
      </c>
      <c r="L26" s="32">
        <f>STDEV($G$20:G26)*(12^0.5)</f>
        <v>2.1720136526626018E-2</v>
      </c>
      <c r="M26" s="40">
        <v>1.01E-4</v>
      </c>
      <c r="N26" s="33">
        <f t="shared" ref="N26:N30" si="9">+N25*(1+(M26*(B26-B25)/365))</f>
        <v>100.00588833454529</v>
      </c>
      <c r="O26" s="32">
        <f t="shared" ref="O26" si="10">+N26/100</f>
        <v>1.0000588833454529</v>
      </c>
      <c r="P26" s="33">
        <f>COUNT($B$19:B26)/12</f>
        <v>0.66666666666666663</v>
      </c>
      <c r="Q26" s="32">
        <f t="shared" ref="Q26" si="11">-1+(O26^(1/P26))</f>
        <v>8.8326318384623903E-5</v>
      </c>
      <c r="R26" s="41">
        <f t="shared" si="3"/>
        <v>-7.6298029994436717E-2</v>
      </c>
    </row>
    <row r="27" spans="2:18">
      <c r="B27" s="29">
        <v>42063</v>
      </c>
      <c r="C27" s="61">
        <f>+C26-84525.15</f>
        <v>319076.80000000005</v>
      </c>
      <c r="D27" s="31">
        <v>306253.98</v>
      </c>
      <c r="E27" s="62">
        <v>84525.15</v>
      </c>
      <c r="F27" s="31">
        <v>5493.6699999999983</v>
      </c>
      <c r="G27" s="32">
        <v>-7.9988899999999998E-3</v>
      </c>
      <c r="H27" s="32">
        <f t="shared" ref="H27" si="12">+G27+1</f>
        <v>0.99200111000000002</v>
      </c>
      <c r="I27" s="44">
        <f>+H27*H26*H25*H24*H23*H22*H21*H20</f>
        <v>0.99116081573742487</v>
      </c>
      <c r="J27" s="39">
        <f t="shared" si="4"/>
        <v>-8.8391842625751282E-3</v>
      </c>
      <c r="K27" s="56">
        <f t="shared" si="7"/>
        <v>-1.4299644981112469E-2</v>
      </c>
      <c r="L27" s="32">
        <f>STDEV($G$20:G27)*(12^0.5)</f>
        <v>2.2312749360932468E-2</v>
      </c>
      <c r="M27" s="40">
        <v>2.03E-4</v>
      </c>
      <c r="N27" s="33">
        <f t="shared" si="9"/>
        <v>100.00744568651596</v>
      </c>
      <c r="O27" s="32">
        <f t="shared" ref="O27:O28" si="13">+N27/100</f>
        <v>1.0000744568651596</v>
      </c>
      <c r="P27" s="33">
        <f>COUNT($B$19:B27)/12</f>
        <v>0.75</v>
      </c>
      <c r="Q27" s="32">
        <f t="shared" ref="Q27:Q28" si="14">-1+(O27^(1/P27))</f>
        <v>9.9277052153512457E-5</v>
      </c>
      <c r="R27" s="41">
        <f t="shared" ref="R27:R28" si="15">+(K27-Q27)/L27</f>
        <v>-0.64532262700342724</v>
      </c>
    </row>
    <row r="28" spans="2:18">
      <c r="B28" s="29">
        <v>42094</v>
      </c>
      <c r="C28" s="30">
        <f>+C27+34554</f>
        <v>353630.80000000005</v>
      </c>
      <c r="D28" s="31">
        <v>343519.42</v>
      </c>
      <c r="E28" s="31">
        <v>0</v>
      </c>
      <c r="F28" s="31">
        <v>0</v>
      </c>
      <c r="G28" s="32">
        <v>7.9551810000000004E-3</v>
      </c>
      <c r="H28" s="32">
        <f t="shared" ref="H28:H33" si="16">+G28+1</f>
        <v>1.007955181</v>
      </c>
      <c r="I28" s="44">
        <f>+H28*H27*H26*H25*H24*H23*H22*H21*H20</f>
        <v>0.99904567942672373</v>
      </c>
      <c r="J28" s="39">
        <f t="shared" ref="J28" si="17">+I28-1</f>
        <v>-9.5432057327626829E-4</v>
      </c>
      <c r="K28" s="56">
        <f t="shared" si="7"/>
        <v>-1.3603758911827635E-3</v>
      </c>
      <c r="L28" s="32">
        <f>STDEV($G$20:G28)*(12^0.5)</f>
        <v>2.3339630531447726E-2</v>
      </c>
      <c r="M28" s="40">
        <v>1.01E-4</v>
      </c>
      <c r="N28" s="33">
        <f t="shared" si="9"/>
        <v>100.00830355860484</v>
      </c>
      <c r="O28" s="32">
        <f t="shared" si="13"/>
        <v>1.0000830355860484</v>
      </c>
      <c r="P28" s="33">
        <f>COUNT($B$19:B28)/12</f>
        <v>0.83333333333333337</v>
      </c>
      <c r="Q28" s="32">
        <f t="shared" si="14"/>
        <v>9.964353062885678E-5</v>
      </c>
      <c r="R28" s="41">
        <f t="shared" si="15"/>
        <v>-6.2555378494290895E-2</v>
      </c>
    </row>
    <row r="29" spans="2:18">
      <c r="B29" s="29">
        <v>42124</v>
      </c>
      <c r="C29" s="30">
        <f>+C28+201566.46</f>
        <v>555197.26</v>
      </c>
      <c r="D29" s="31">
        <v>558395.02910000004</v>
      </c>
      <c r="E29" s="31">
        <v>0</v>
      </c>
      <c r="F29" s="31">
        <v>0</v>
      </c>
      <c r="G29" s="32">
        <v>2.4416601900000001E-2</v>
      </c>
      <c r="H29" s="32">
        <f t="shared" si="16"/>
        <v>1.0244166019000001</v>
      </c>
      <c r="I29" s="44">
        <f>+H29*H28*H27*H26*H25*H24*H23*H22*H21*H20</f>
        <v>1.0234389800612016</v>
      </c>
      <c r="J29" s="39">
        <f t="shared" ref="J29:J35" si="18">+I29-1</f>
        <v>2.3438980061201597E-2</v>
      </c>
      <c r="K29" s="56">
        <f t="shared" si="7"/>
        <v>3.0009677173240323E-2</v>
      </c>
      <c r="L29" s="32">
        <f>STDEV($G$20:G29)*(12^0.5)</f>
        <v>3.470819404758696E-2</v>
      </c>
      <c r="M29" s="40">
        <v>-1.5200000000000001E-4</v>
      </c>
      <c r="N29" s="33">
        <f t="shared" si="9"/>
        <v>100.00705413979873</v>
      </c>
      <c r="O29" s="32">
        <f t="shared" ref="O29" si="19">+N29/100</f>
        <v>1.0000705413979873</v>
      </c>
      <c r="P29" s="33">
        <f>COUNT($B$19:B29)/12</f>
        <v>0.91666666666666663</v>
      </c>
      <c r="Q29" s="32">
        <f t="shared" ref="Q29:Q34" si="20">-1+(O29^(1/P29))</f>
        <v>7.6954499092840578E-5</v>
      </c>
      <c r="R29" s="41">
        <f t="shared" ref="R29:R34" si="21">+(K29-Q29)/L29</f>
        <v>0.86241083685045594</v>
      </c>
    </row>
    <row r="30" spans="2:18">
      <c r="B30" s="29">
        <v>42155</v>
      </c>
      <c r="C30" s="30">
        <f>+C29+181150.66</f>
        <v>736347.92</v>
      </c>
      <c r="D30" s="31">
        <v>742321.31</v>
      </c>
      <c r="E30" s="31">
        <v>0</v>
      </c>
      <c r="F30" s="31">
        <v>0</v>
      </c>
      <c r="G30" s="32">
        <v>3.7531370000000001E-3</v>
      </c>
      <c r="H30" s="32">
        <f t="shared" si="16"/>
        <v>1.0037531369999999</v>
      </c>
      <c r="I30" s="44">
        <f>+H30*H29*H28*H27*H26*H25*H24*H23*H22*H21*H20</f>
        <v>1.0272800867645109</v>
      </c>
      <c r="J30" s="39">
        <f t="shared" si="18"/>
        <v>2.728008676451088E-2</v>
      </c>
      <c r="K30" s="56">
        <f t="shared" ref="K30:K35" si="22">+(1+J30)^(365/(B30-$B$19))-1</f>
        <v>3.1475206020978863E-2</v>
      </c>
      <c r="L30" s="32">
        <f>STDEV($G$20:G30)*(12^0.5)</f>
        <v>3.2959018744630995E-2</v>
      </c>
      <c r="M30" s="40">
        <v>0</v>
      </c>
      <c r="N30" s="33">
        <f t="shared" si="9"/>
        <v>100.00705413979873</v>
      </c>
      <c r="O30" s="32">
        <f t="shared" ref="O30" si="23">+N30/100</f>
        <v>1.0000705413979873</v>
      </c>
      <c r="P30" s="33">
        <f>COUNT($B$19:B30)/12</f>
        <v>1</v>
      </c>
      <c r="Q30" s="32">
        <f t="shared" si="20"/>
        <v>7.0541397987344823E-5</v>
      </c>
      <c r="R30" s="41">
        <f t="shared" si="21"/>
        <v>0.95283979375470085</v>
      </c>
    </row>
    <row r="31" spans="2:18">
      <c r="B31" s="29">
        <v>42185</v>
      </c>
      <c r="C31" s="30">
        <f>+C30</f>
        <v>736347.92</v>
      </c>
      <c r="D31" s="31">
        <v>746000.52</v>
      </c>
      <c r="E31" s="31">
        <v>0</v>
      </c>
      <c r="F31" s="31">
        <v>5298.34</v>
      </c>
      <c r="G31" s="32">
        <v>1.2180838899999999E-2</v>
      </c>
      <c r="H31" s="32">
        <f t="shared" si="16"/>
        <v>1.0121808389</v>
      </c>
      <c r="I31" s="44">
        <f>+H31*H30*H29*H28*H27*H26*H25*H24*H23*H22*H21*H20</f>
        <v>1.0397932200065676</v>
      </c>
      <c r="J31" s="39">
        <f t="shared" si="18"/>
        <v>3.9793220006567598E-2</v>
      </c>
      <c r="K31" s="56">
        <f t="shared" si="22"/>
        <v>4.1900089676861541E-2</v>
      </c>
      <c r="L31" s="32">
        <f>STDEV($G$20:G31)*(12^0.5)</f>
        <v>3.2885304379810347E-2</v>
      </c>
      <c r="M31" s="40">
        <v>-1E-4</v>
      </c>
      <c r="N31" s="33">
        <f t="shared" ref="N31:N36" si="24">+N30*(1+(M31*(B31-B30)/365))</f>
        <v>100.00623216401127</v>
      </c>
      <c r="O31" s="32">
        <f t="shared" ref="O31:O36" si="25">+N31/100</f>
        <v>1.0000623216401126</v>
      </c>
      <c r="P31" s="33">
        <f>COUNT($B$19:B31)/12</f>
        <v>1.0833333333333333</v>
      </c>
      <c r="Q31" s="32">
        <f t="shared" si="20"/>
        <v>5.7527529906176156E-5</v>
      </c>
      <c r="R31" s="41">
        <f t="shared" si="21"/>
        <v>1.2723787398678983</v>
      </c>
    </row>
    <row r="32" spans="2:18">
      <c r="B32" s="29">
        <v>42216</v>
      </c>
      <c r="C32" s="30">
        <f>+C31</f>
        <v>736347.92</v>
      </c>
      <c r="D32" s="31">
        <v>752341.05</v>
      </c>
      <c r="E32" s="31">
        <v>0</v>
      </c>
      <c r="F32" s="31">
        <v>0</v>
      </c>
      <c r="G32" s="32">
        <v>8.4986000000000003E-3</v>
      </c>
      <c r="H32" s="32">
        <f t="shared" si="16"/>
        <v>1.0084986</v>
      </c>
      <c r="I32" s="44">
        <f>+H32*H31*H30*H29*H28*H27*H26*H25*H24*H23*H22*H21*H20</f>
        <v>1.0486300066661154</v>
      </c>
      <c r="J32" s="39">
        <f t="shared" si="18"/>
        <v>4.8630006666115388E-2</v>
      </c>
      <c r="K32" s="56">
        <f t="shared" si="22"/>
        <v>4.6918921392930191E-2</v>
      </c>
      <c r="L32" s="32">
        <f>STDEV($G$20:G32)*(12^0.5)</f>
        <v>3.1879264743305373E-2</v>
      </c>
      <c r="M32" s="40">
        <v>2.0000000000000001E-4</v>
      </c>
      <c r="N32" s="33">
        <f t="shared" si="24"/>
        <v>100.00793090000967</v>
      </c>
      <c r="O32" s="32">
        <f t="shared" si="25"/>
        <v>1.0000793090000968</v>
      </c>
      <c r="P32" s="33">
        <f>COUNT($B$19:B32)/12</f>
        <v>1.1666666666666667</v>
      </c>
      <c r="Q32" s="32">
        <f t="shared" si="20"/>
        <v>6.7978757854803007E-5</v>
      </c>
      <c r="R32" s="41">
        <f t="shared" si="21"/>
        <v>1.4696368630934018</v>
      </c>
    </row>
    <row r="33" spans="2:18">
      <c r="B33" s="29">
        <v>42247</v>
      </c>
      <c r="C33" s="30">
        <f>+C32+33402.44</f>
        <v>769750.3600000001</v>
      </c>
      <c r="D33" s="31">
        <v>789495.6</v>
      </c>
      <c r="E33" s="31">
        <v>0</v>
      </c>
      <c r="F33" s="31">
        <v>4204.1000000000004</v>
      </c>
      <c r="G33" s="32">
        <v>1.018018E-2</v>
      </c>
      <c r="H33" s="32">
        <f t="shared" si="16"/>
        <v>1.0101801800000001</v>
      </c>
      <c r="I33" s="44">
        <f>+H33*H32*H31*H30*H29*H28*H27*H26*H25*H24*H23*H22*H21*H20</f>
        <v>1.0593052488873773</v>
      </c>
      <c r="J33" s="39">
        <f t="shared" si="18"/>
        <v>5.9305248887377315E-2</v>
      </c>
      <c r="K33" s="56">
        <f t="shared" si="22"/>
        <v>5.2759975122970815E-2</v>
      </c>
      <c r="L33" s="32">
        <f>STDEV($G$20:G33)*(12^0.5)</f>
        <v>3.121098749218678E-2</v>
      </c>
      <c r="M33" s="40">
        <v>0</v>
      </c>
      <c r="N33" s="33">
        <f t="shared" si="24"/>
        <v>100.00793090000967</v>
      </c>
      <c r="O33" s="32">
        <f t="shared" si="25"/>
        <v>1.0000793090000968</v>
      </c>
      <c r="P33" s="33">
        <f>COUNT($B$19:B33)/12</f>
        <v>1.25</v>
      </c>
      <c r="Q33" s="32">
        <f t="shared" si="20"/>
        <v>6.3446696900060218E-5</v>
      </c>
      <c r="R33" s="41">
        <f t="shared" si="21"/>
        <v>1.6883967045023029</v>
      </c>
    </row>
    <row r="34" spans="2:18">
      <c r="B34" s="29">
        <v>42277</v>
      </c>
      <c r="C34" s="30">
        <f>+C33</f>
        <v>769750.3600000001</v>
      </c>
      <c r="D34" s="31">
        <v>808823.08</v>
      </c>
      <c r="E34" s="31">
        <v>0</v>
      </c>
      <c r="F34" s="31">
        <v>0</v>
      </c>
      <c r="G34" s="32">
        <v>2.4480789999999999E-2</v>
      </c>
      <c r="H34" s="32">
        <f t="shared" ref="H34:H39" si="26">+G34+1</f>
        <v>1.0244807899999999</v>
      </c>
      <c r="I34" s="44">
        <f>+H34*H33*H32*H31*H30*H29*H28*H27*H26*H25*H24*H23*H22*H21*H20</f>
        <v>1.0852378782312868</v>
      </c>
      <c r="J34" s="39">
        <f t="shared" si="18"/>
        <v>8.5237878231286812E-2</v>
      </c>
      <c r="K34" s="56">
        <f t="shared" si="22"/>
        <v>7.0376792496335216E-2</v>
      </c>
      <c r="L34" s="32">
        <f>STDEV($G$20:G34)*(12^0.5)</f>
        <v>3.514050496203186E-2</v>
      </c>
      <c r="M34" s="40">
        <v>-2.0000000000000001E-4</v>
      </c>
      <c r="N34" s="33">
        <f t="shared" si="24"/>
        <v>100.00628693402227</v>
      </c>
      <c r="O34" s="32">
        <f t="shared" si="25"/>
        <v>1.0000628693402227</v>
      </c>
      <c r="P34" s="33">
        <f>COUNT($B$19:B34)/12</f>
        <v>1.3333333333333333</v>
      </c>
      <c r="Q34" s="32">
        <f t="shared" si="20"/>
        <v>4.7151634624764682E-5</v>
      </c>
      <c r="R34" s="41">
        <f t="shared" si="21"/>
        <v>2.0013838997959557</v>
      </c>
    </row>
    <row r="35" spans="2:18">
      <c r="B35" s="29">
        <v>42308</v>
      </c>
      <c r="C35" s="30">
        <f>+C34</f>
        <v>769750.3600000001</v>
      </c>
      <c r="D35" s="31">
        <v>809461.84</v>
      </c>
      <c r="E35" s="31">
        <v>0</v>
      </c>
      <c r="F35" s="31">
        <v>7463.72</v>
      </c>
      <c r="G35" s="32">
        <v>1.0110920000000001E-2</v>
      </c>
      <c r="H35" s="32">
        <f t="shared" si="26"/>
        <v>1.01011092</v>
      </c>
      <c r="I35" s="44">
        <f>+H35*H34*H33*H32*H31*H30*H29*H28*H27*H26*H25*H24*H23*H22*H21*H20</f>
        <v>1.0962106315990532</v>
      </c>
      <c r="J35" s="39">
        <f t="shared" si="18"/>
        <v>9.6210631599053187E-2</v>
      </c>
      <c r="K35" s="56">
        <f t="shared" si="22"/>
        <v>7.3943708756785131E-2</v>
      </c>
      <c r="L35" s="32">
        <f>STDEV($G$20:G35)*(12^0.5)</f>
        <v>3.4181394388799642E-2</v>
      </c>
      <c r="M35" s="40">
        <v>0</v>
      </c>
      <c r="N35" s="33">
        <f t="shared" si="24"/>
        <v>100.00628693402227</v>
      </c>
      <c r="O35" s="32">
        <f t="shared" si="25"/>
        <v>1.0000628693402227</v>
      </c>
      <c r="P35" s="33">
        <f>COUNT($B$19:B35)/12</f>
        <v>1.4166666666666667</v>
      </c>
      <c r="Q35" s="32">
        <f t="shared" ref="Q35" si="27">-1+(O35^(1/P35))</f>
        <v>4.4377947515661376E-5</v>
      </c>
      <c r="R35" s="41">
        <f t="shared" ref="R35" si="28">+(K35-Q35)/L35</f>
        <v>2.1619753123203296</v>
      </c>
    </row>
    <row r="36" spans="2:18">
      <c r="B36" s="29">
        <v>42338</v>
      </c>
      <c r="C36" s="30">
        <f>+C35+44920.53</f>
        <v>814670.89000000013</v>
      </c>
      <c r="D36" s="31">
        <v>856332.06</v>
      </c>
      <c r="E36" s="31">
        <v>0</v>
      </c>
      <c r="F36" s="31">
        <v>0</v>
      </c>
      <c r="G36" s="32">
        <v>2.2819802500000002E-3</v>
      </c>
      <c r="H36" s="32">
        <f t="shared" si="26"/>
        <v>1.00228198025</v>
      </c>
      <c r="I36" s="44">
        <f>+H36*H35*H34*H33*H32*H31*H30*H29*H28*H27*H26*H25*H24*H23*H22*H21*H20</f>
        <v>1.098712162610203</v>
      </c>
      <c r="J36" s="39">
        <f t="shared" ref="J36" si="29">+I36-1</f>
        <v>9.8712162610202991E-2</v>
      </c>
      <c r="K36" s="56">
        <f t="shared" ref="K36" si="30">+(1+J36)^(365/(B36-$B$19))-1</f>
        <v>7.1137614539833693E-2</v>
      </c>
      <c r="L36" s="32">
        <f>STDEV($G$20:G36)*(12^0.5)</f>
        <v>3.3227939671685615E-2</v>
      </c>
      <c r="M36" s="40">
        <v>9.1500000000000001E-4</v>
      </c>
      <c r="N36" s="33">
        <f t="shared" si="24"/>
        <v>100.01380795477935</v>
      </c>
      <c r="O36" s="32">
        <f t="shared" si="25"/>
        <v>1.0001380795477934</v>
      </c>
      <c r="P36" s="33">
        <f>COUNT($B$19:B36)/12</f>
        <v>1.5</v>
      </c>
      <c r="Q36" s="32">
        <f t="shared" ref="Q36" si="31">-1+(O36^(1/P36))</f>
        <v>9.2050913552021996E-5</v>
      </c>
      <c r="R36" s="41">
        <f t="shared" ref="R36" si="32">+(K36-Q36)/L36</f>
        <v>2.138127260620418</v>
      </c>
    </row>
    <row r="37" spans="2:18">
      <c r="B37" s="29">
        <v>42369</v>
      </c>
      <c r="C37" s="30">
        <f>+C36+214409</f>
        <v>1029079.8900000001</v>
      </c>
      <c r="D37" s="31">
        <v>1071400.1000000001</v>
      </c>
      <c r="E37" s="31">
        <v>0</v>
      </c>
      <c r="F37" s="31">
        <v>0</v>
      </c>
      <c r="G37" s="32">
        <v>6.1538999999999995E-4</v>
      </c>
      <c r="H37" s="32">
        <f t="shared" si="26"/>
        <v>1.0006153900000001</v>
      </c>
      <c r="I37" s="44">
        <f>+H37*H36*H35*H34*H33*H32*H31*H30*H29*H28*H27*H26*H25*H24*H23*H22*H21*H20</f>
        <v>1.0993882990879515</v>
      </c>
      <c r="J37" s="39">
        <f t="shared" ref="J37:J42" si="33">+I37-1</f>
        <v>9.9388299087951548E-2</v>
      </c>
      <c r="K37" s="56">
        <f t="shared" ref="K37" si="34">+(1+J37)^(365/(B37-$B$19))-1</f>
        <v>6.7300086982529095E-2</v>
      </c>
      <c r="L37" s="32">
        <f>STDEV($G$20:G37)*(12^0.5)</f>
        <v>3.2491322181517304E-2</v>
      </c>
      <c r="M37" s="40">
        <v>1.2199999999999999E-3</v>
      </c>
      <c r="N37" s="33">
        <f t="shared" ref="N37" si="35">+N36*(1+(M37*(B37-B36)/365))</f>
        <v>100.02417102934606</v>
      </c>
      <c r="O37" s="32">
        <f t="shared" ref="O37" si="36">+N37/100</f>
        <v>1.0002417102934607</v>
      </c>
      <c r="P37" s="33">
        <f>COUNT($B$19:B37)/12</f>
        <v>1.5833333333333333</v>
      </c>
      <c r="Q37" s="32">
        <f t="shared" ref="Q37" si="37">-1+(O37^(1/P37))</f>
        <v>1.5265233622474561E-4</v>
      </c>
      <c r="R37" s="41">
        <f t="shared" ref="R37" si="38">+(K37-Q37)/L37</f>
        <v>2.066626721780537</v>
      </c>
    </row>
    <row r="38" spans="2:18">
      <c r="B38" s="29">
        <v>42400</v>
      </c>
      <c r="C38" s="30">
        <f>+C37</f>
        <v>1029079.8900000001</v>
      </c>
      <c r="D38" s="31">
        <v>1070093.82</v>
      </c>
      <c r="E38" s="31">
        <v>0</v>
      </c>
      <c r="F38" s="31">
        <v>8868.92</v>
      </c>
      <c r="G38" s="32">
        <v>7.117572E-3</v>
      </c>
      <c r="H38" s="32">
        <f t="shared" si="26"/>
        <v>1.0071175720000001</v>
      </c>
      <c r="I38" s="44">
        <f>+H38*H37*H36*H35*H34*H33*H32*H31*H30*H29*H28*H27*H26*H25*H24*H23*H22*H21*H20</f>
        <v>1.1072132744626682</v>
      </c>
      <c r="J38" s="39">
        <f t="shared" si="33"/>
        <v>0.10721327446266815</v>
      </c>
      <c r="K38" s="56">
        <f t="shared" ref="K38:K43" si="39">+(1+J38)^(365/(B38-$B$19))-1</f>
        <v>6.8382396294271119E-2</v>
      </c>
      <c r="L38" s="32">
        <f>STDEV($G$20:G38)*(12^0.5)</f>
        <v>3.1608217886698355E-2</v>
      </c>
      <c r="M38" s="40">
        <v>2.186E-3</v>
      </c>
      <c r="N38" s="33">
        <f t="shared" ref="N38" si="40">+N37*(1+(M38*(B38-B37)/365))</f>
        <v>100.04274154434327</v>
      </c>
      <c r="O38" s="32">
        <f t="shared" ref="O38" si="41">+N38/100</f>
        <v>1.0004274154434327</v>
      </c>
      <c r="P38" s="33">
        <f>COUNT($B$19:B38)/12</f>
        <v>1.6666666666666667</v>
      </c>
      <c r="Q38" s="32">
        <f t="shared" ref="Q38" si="42">-1+(O38^(1/P38))</f>
        <v>2.5642734835584768E-4</v>
      </c>
      <c r="R38" s="41">
        <f t="shared" ref="R38" si="43">+(K38-Q38)/L38</f>
        <v>2.1553245801492857</v>
      </c>
    </row>
    <row r="39" spans="2:18">
      <c r="B39" s="29">
        <v>42429</v>
      </c>
      <c r="C39" s="30">
        <f>+C38+30545.96</f>
        <v>1059625.8500000001</v>
      </c>
      <c r="D39" s="31">
        <v>1102826.21</v>
      </c>
      <c r="E39" s="31">
        <v>0</v>
      </c>
      <c r="F39" s="31">
        <v>0</v>
      </c>
      <c r="G39" s="32">
        <v>1.9865E-3</v>
      </c>
      <c r="H39" s="32">
        <f t="shared" si="26"/>
        <v>1.0019864999999999</v>
      </c>
      <c r="I39" s="44">
        <f>+H39*H38*H37*H36*H35*H34*H33*H32*H31*H30*H29*H28*H27*H26*H25*H24*H23*H22*H21*H20</f>
        <v>1.1094127536323872</v>
      </c>
      <c r="J39" s="39">
        <f t="shared" si="33"/>
        <v>0.10941275363238723</v>
      </c>
      <c r="K39" s="56">
        <f t="shared" si="39"/>
        <v>6.6226346910460698E-2</v>
      </c>
      <c r="L39" s="32">
        <f>STDEV($G$20:G39)*(12^0.5)</f>
        <v>3.0879512673837865E-2</v>
      </c>
      <c r="M39" s="40">
        <v>2.186E-3</v>
      </c>
      <c r="N39" s="33">
        <f t="shared" ref="N39" si="44">+N38*(1+(M39*(B39-B38)/365))</f>
        <v>100.06011718696645</v>
      </c>
      <c r="O39" s="32">
        <f t="shared" ref="O39" si="45">+N39/100</f>
        <v>1.0006011718696646</v>
      </c>
      <c r="P39" s="33">
        <f>COUNT($B$19:B39)/12</f>
        <v>1.75</v>
      </c>
      <c r="Q39" s="32">
        <f t="shared" ref="Q39" si="46">-1+(O39^(1/P39))</f>
        <v>3.4348254133553802E-4</v>
      </c>
      <c r="R39" s="41">
        <f t="shared" ref="R39" si="47">+(K39-Q39)/L39</f>
        <v>2.1335461172916528</v>
      </c>
    </row>
    <row r="40" spans="2:18">
      <c r="B40" s="29">
        <v>42460</v>
      </c>
      <c r="C40" s="30">
        <f t="shared" ref="C40:C45" si="48">+C39</f>
        <v>1059625.8500000001</v>
      </c>
      <c r="D40" s="31">
        <v>1123890.95</v>
      </c>
      <c r="E40" s="31">
        <v>0</v>
      </c>
      <c r="F40" s="31">
        <v>0</v>
      </c>
      <c r="G40" s="32">
        <v>1.9100700000000002E-2</v>
      </c>
      <c r="H40" s="32">
        <f t="shared" ref="H40:H45" si="49">+G40+1</f>
        <v>1.0191007000000001</v>
      </c>
      <c r="I40" s="44">
        <f>+H40*H39*H38*H37*H36*H35*H34*H33*H32*H31*H30*H29*H28*H27*H26*H25*H24*H23*H22*H21*H20</f>
        <v>1.1306033138156941</v>
      </c>
      <c r="J40" s="39">
        <f t="shared" si="33"/>
        <v>0.13060331381569412</v>
      </c>
      <c r="K40" s="56">
        <f t="shared" si="39"/>
        <v>7.4690348061948963E-2</v>
      </c>
      <c r="L40" s="32">
        <f>STDEV($G$20:G40)*(12^0.5)</f>
        <v>3.1868639976827075E-2</v>
      </c>
      <c r="M40" s="40">
        <v>1.678E-3</v>
      </c>
      <c r="N40" s="33">
        <f t="shared" ref="N40" si="50">+N39*(1+(M40*(B40-B39)/365))</f>
        <v>100.07437726142078</v>
      </c>
      <c r="O40" s="32">
        <f t="shared" ref="O40" si="51">+N40/100</f>
        <v>1.0007437726142079</v>
      </c>
      <c r="P40" s="33">
        <f>COUNT($B$19:B40)/12</f>
        <v>1.8333333333333333</v>
      </c>
      <c r="Q40" s="32">
        <f t="shared" ref="Q40" si="52">-1+(O40^(1/P40))</f>
        <v>4.0562559969603562E-4</v>
      </c>
      <c r="R40" s="41">
        <f t="shared" ref="R40" si="53">+(K40-Q40)/L40</f>
        <v>2.3309661948632963</v>
      </c>
    </row>
    <row r="41" spans="2:18">
      <c r="B41" s="29">
        <v>42490</v>
      </c>
      <c r="C41" s="30">
        <f t="shared" si="48"/>
        <v>1059625.8500000001</v>
      </c>
      <c r="D41" s="31">
        <v>1096286.24</v>
      </c>
      <c r="E41" s="31">
        <v>0</v>
      </c>
      <c r="F41" s="31">
        <v>41522.69</v>
      </c>
      <c r="G41" s="32">
        <v>1.28588E-2</v>
      </c>
      <c r="H41" s="32">
        <f t="shared" si="49"/>
        <v>1.0128588000000001</v>
      </c>
      <c r="I41" s="44">
        <f>+H41*H40*H39*H38*H37*H36*H35*H34*H33*H32*H31*H30*H29*H28*H27*H26*H25*H24*H23*H22*H21*H20</f>
        <v>1.145141515707387</v>
      </c>
      <c r="J41" s="39">
        <f t="shared" si="33"/>
        <v>0.14514151570738698</v>
      </c>
      <c r="K41" s="56">
        <f t="shared" si="39"/>
        <v>7.8823247571377264E-2</v>
      </c>
      <c r="L41" s="32">
        <f>STDEV($G$20:G41)*(12^0.5)</f>
        <v>3.152210776070194E-2</v>
      </c>
      <c r="M41" s="40">
        <v>1.5250000000000001E-3</v>
      </c>
      <c r="N41" s="33">
        <f t="shared" ref="N41" si="54">+N40*(1+(M41*(B41-B40)/365))</f>
        <v>100.08692083062547</v>
      </c>
      <c r="O41" s="32">
        <f t="shared" ref="O41" si="55">+N41/100</f>
        <v>1.0008692083062547</v>
      </c>
      <c r="P41" s="33">
        <f>COUNT($B$19:B41)/12</f>
        <v>1.9166666666666667</v>
      </c>
      <c r="Q41" s="32">
        <f t="shared" ref="Q41" si="56">-1+(O41^(1/P41))</f>
        <v>4.5340576436436741E-4</v>
      </c>
      <c r="R41" s="41">
        <f t="shared" ref="R41" si="57">+(K41-Q41)/L41</f>
        <v>2.4861865964659637</v>
      </c>
    </row>
    <row r="42" spans="2:18">
      <c r="B42" s="29">
        <v>42521</v>
      </c>
      <c r="C42" s="30">
        <f t="shared" si="48"/>
        <v>1059625.8500000001</v>
      </c>
      <c r="D42" s="31">
        <v>1144648.98</v>
      </c>
      <c r="E42" s="31">
        <v>0</v>
      </c>
      <c r="F42" s="31">
        <v>0</v>
      </c>
      <c r="G42" s="32">
        <v>4.4115059999999998E-2</v>
      </c>
      <c r="H42" s="32">
        <f t="shared" si="49"/>
        <v>1.04411506</v>
      </c>
      <c r="I42" s="44">
        <f>+H42*H41*H40*H39*H38*H37*H36*H35*H34*H33*H32*H31*H30*H29*H28*H27*H26*H25*H24*H23*H22*H21*H20</f>
        <v>1.1956595023813095</v>
      </c>
      <c r="J42" s="39">
        <f t="shared" si="33"/>
        <v>0.19565950238130947</v>
      </c>
      <c r="K42" s="56">
        <f t="shared" si="39"/>
        <v>0.10020598705230888</v>
      </c>
      <c r="L42" s="32">
        <f>STDEV($G$20:G42)*(12^0.5)</f>
        <v>4.1203997825466118E-2</v>
      </c>
      <c r="M42" s="40">
        <v>1.7799999999999999E-3</v>
      </c>
      <c r="N42" s="33">
        <f t="shared" ref="N42" si="58">+N41*(1+(M42*(B42-B41)/365))</f>
        <v>100.10205177936912</v>
      </c>
      <c r="O42" s="32">
        <f t="shared" ref="O42" si="59">+N42/100</f>
        <v>1.0010205177936913</v>
      </c>
      <c r="P42" s="33">
        <f>COUNT($B$19:B42)/12</f>
        <v>2</v>
      </c>
      <c r="Q42" s="32">
        <f t="shared" ref="Q42" si="60">-1+(O42^(1/P42))</f>
        <v>5.101287811588584E-4</v>
      </c>
      <c r="R42" s="41">
        <f t="shared" ref="R42" si="61">+(K42-Q42)/L42</f>
        <v>2.4195676034506786</v>
      </c>
    </row>
    <row r="43" spans="2:18">
      <c r="B43" s="29">
        <v>42551</v>
      </c>
      <c r="C43" s="30">
        <f t="shared" si="48"/>
        <v>1059625.8500000001</v>
      </c>
      <c r="D43" s="31">
        <v>1150959.3799999999</v>
      </c>
      <c r="E43" s="31">
        <v>0</v>
      </c>
      <c r="F43" s="31">
        <v>0</v>
      </c>
      <c r="G43" s="32">
        <v>5.5129999999999997E-3</v>
      </c>
      <c r="H43" s="32">
        <f t="shared" si="49"/>
        <v>1.0055130000000001</v>
      </c>
      <c r="I43" s="44">
        <f>+H43*H42*H41*H40*H39*H38*H37*H36*H35*H34*H33*H32*H31*H30*H29*H28*H27*H26*H25*H24*H23*H22*H21*H20</f>
        <v>1.202251173217938</v>
      </c>
      <c r="J43" s="39">
        <f t="shared" ref="J43" si="62">+I43-1</f>
        <v>0.20225117321793795</v>
      </c>
      <c r="K43" s="56">
        <f t="shared" si="39"/>
        <v>9.8882518153911025E-2</v>
      </c>
      <c r="L43" s="32">
        <f>STDEV($G$20:G43)*(12^0.5)</f>
        <v>4.033264550729939E-2</v>
      </c>
      <c r="M43" s="40">
        <v>1.6800000000000001E-3</v>
      </c>
      <c r="N43" s="33">
        <f t="shared" ref="N43" si="63">+N42*(1+(M43*(B43-B42)/365))</f>
        <v>100.11587409008058</v>
      </c>
      <c r="O43" s="32">
        <f t="shared" ref="O43" si="64">+N43/100</f>
        <v>1.0011587409008058</v>
      </c>
      <c r="P43" s="33">
        <f>COUNT($B$19:B43)/12</f>
        <v>2.0833333333333335</v>
      </c>
      <c r="Q43" s="32">
        <f t="shared" ref="Q43" si="65">-1+(O43^(1/P43))</f>
        <v>5.5602816416921996E-4</v>
      </c>
      <c r="R43" s="41">
        <f t="shared" ref="R43" si="66">+(K43-Q43)/L43</f>
        <v>2.4378884338729208</v>
      </c>
    </row>
    <row r="44" spans="2:18">
      <c r="B44" s="29">
        <v>42582</v>
      </c>
      <c r="C44" s="30">
        <f t="shared" si="48"/>
        <v>1059625.8500000001</v>
      </c>
      <c r="D44" s="31">
        <v>1125289.18</v>
      </c>
      <c r="E44" s="31">
        <v>0</v>
      </c>
      <c r="F44" s="31">
        <v>37226.449999999997</v>
      </c>
      <c r="G44" s="32">
        <v>1.0376099999999999E-2</v>
      </c>
      <c r="H44" s="32">
        <f t="shared" si="49"/>
        <v>1.0103761</v>
      </c>
      <c r="I44" s="44">
        <f>+H44*H43*H42*H41*H40*H39*H38*H37*H36*H35*H34*H33*H32*H31*H30*H29*H28*H27*H26*H25*H24*H23*H22*H21*H20</f>
        <v>1.2147258516163648</v>
      </c>
      <c r="J44" s="39">
        <f t="shared" ref="J44" si="67">+I44-1</f>
        <v>0.21472585161636482</v>
      </c>
      <c r="K44" s="56">
        <f t="shared" ref="K44" si="68">+(1+J44)^(365/(B44-$B$19))-1</f>
        <v>0.10013077711680252</v>
      </c>
      <c r="L44" s="32">
        <f>STDEV($G$20:G44)*(12^0.5)</f>
        <v>3.9524760905028378E-2</v>
      </c>
      <c r="M44" s="40">
        <v>1.7799999999999999E-3</v>
      </c>
      <c r="N44" s="33">
        <f t="shared" ref="N44" si="69">+N43*(1+(M44*(B44-B43)/365))</f>
        <v>100.13100941592246</v>
      </c>
      <c r="O44" s="32">
        <f t="shared" ref="O44" si="70">+N44/100</f>
        <v>1.0013100941592246</v>
      </c>
      <c r="P44" s="33">
        <f>COUNT($B$19:B44)/12</f>
        <v>2.1666666666666665</v>
      </c>
      <c r="Q44" s="32">
        <f t="shared" ref="Q44" si="71">-1+(O44^(1/P44))</f>
        <v>6.0444571203555064E-4</v>
      </c>
      <c r="R44" s="41">
        <f t="shared" ref="R44" si="72">+(K44-Q44)/L44</f>
        <v>2.5180754829589653</v>
      </c>
    </row>
    <row r="45" spans="2:18">
      <c r="B45" s="29">
        <v>42613</v>
      </c>
      <c r="C45" s="30">
        <f t="shared" si="48"/>
        <v>1059625.8500000001</v>
      </c>
      <c r="D45" s="31">
        <v>1127761.1599999999</v>
      </c>
      <c r="E45" s="31">
        <v>0</v>
      </c>
      <c r="F45" s="31">
        <v>4837.6000000000004</v>
      </c>
      <c r="G45" s="32">
        <v>6.5237999999999997E-3</v>
      </c>
      <c r="H45" s="32">
        <f t="shared" si="49"/>
        <v>1.0065238000000001</v>
      </c>
      <c r="I45" s="44">
        <f>+H45*H44*H43*H42*H41*H40*H39*H38*H37*H36*H35*H34*H33*H32*H31*H30*H29*H28*H27*H26*H25*H24*H23*H22*H21*H20</f>
        <v>1.2226504801271389</v>
      </c>
      <c r="J45" s="39">
        <f t="shared" ref="J45" si="73">+I45-1</f>
        <v>0.22265048012713895</v>
      </c>
      <c r="K45" s="56">
        <f t="shared" ref="K45" si="74">+(1+J45)^(365/(B45-$B$19))-1</f>
        <v>9.9300885516720339E-2</v>
      </c>
      <c r="L45" s="32">
        <f>STDEV($G$20:G45)*(12^0.5)</f>
        <v>3.8737036806803724E-2</v>
      </c>
      <c r="M45" s="40">
        <v>2.6870000000000002E-3</v>
      </c>
      <c r="N45" s="33">
        <f t="shared" ref="N45" si="75">+N44*(1+(M45*(B45-B44)/365))</f>
        <v>100.1538604095973</v>
      </c>
      <c r="O45" s="32">
        <f t="shared" ref="O45" si="76">+N45/100</f>
        <v>1.0015386040959731</v>
      </c>
      <c r="P45" s="33">
        <f>COUNT($B$19:B45)/12</f>
        <v>2.25</v>
      </c>
      <c r="Q45" s="32">
        <f t="shared" ref="Q45" si="77">-1+(O45^(1/P45))</f>
        <v>6.8353201601301095E-4</v>
      </c>
      <c r="R45" s="41">
        <f t="shared" ref="R45" si="78">+(K45-Q45)/L45</f>
        <v>2.5458156232380249</v>
      </c>
    </row>
    <row r="46" spans="2:18">
      <c r="B46" s="29">
        <v>42643</v>
      </c>
      <c r="C46" s="30">
        <f>+C45</f>
        <v>1059625.8500000001</v>
      </c>
      <c r="D46" s="31">
        <v>1135218.1399999999</v>
      </c>
      <c r="E46" s="31">
        <v>0</v>
      </c>
      <c r="F46" s="31">
        <v>0</v>
      </c>
      <c r="G46" s="32">
        <v>6.6122000000000004E-3</v>
      </c>
      <c r="H46" s="32">
        <f t="shared" ref="H46:H51" si="79">+G46+1</f>
        <v>1.0066122</v>
      </c>
      <c r="I46" s="44">
        <f>+H46*H45*H44*H43*H42*H41*H40*H39*H38*H37*H36*H35*H34*H33*H32*H31*H30*H29*H28*H27*H26*H25*H24*H23*H22*H21*H20</f>
        <v>1.2307348896318357</v>
      </c>
      <c r="J46" s="39">
        <f t="shared" ref="J46" si="80">+I46-1</f>
        <v>0.23073488963183575</v>
      </c>
      <c r="K46" s="56">
        <f t="shared" ref="K46" si="81">+(1+J46)^(365/(B46-$B$19))-1</f>
        <v>9.8707390952508689E-2</v>
      </c>
      <c r="L46" s="32">
        <f>STDEV($G$20:G46)*(12^0.5)</f>
        <v>3.799333225700733E-2</v>
      </c>
      <c r="M46" s="40">
        <v>1.825E-3</v>
      </c>
      <c r="N46" s="33">
        <f t="shared" ref="N46" si="82">+N45*(1+(M46*(B46-B45)/365))</f>
        <v>100.16888348865875</v>
      </c>
      <c r="O46" s="32">
        <f t="shared" ref="O46" si="83">+N46/100</f>
        <v>1.0016888348865876</v>
      </c>
      <c r="P46" s="33">
        <f>COUNT($B$19:B46)/12</f>
        <v>2.3333333333333335</v>
      </c>
      <c r="Q46" s="32">
        <f t="shared" ref="Q46" si="84">-1+(O46^(1/P46))</f>
        <v>7.2343744409986144E-4</v>
      </c>
      <c r="R46" s="41">
        <f t="shared" ref="R46" si="85">+(K46-Q46)/L46</f>
        <v>2.5789776175880723</v>
      </c>
    </row>
    <row r="47" spans="2:18">
      <c r="B47" s="29">
        <v>42674</v>
      </c>
      <c r="C47" s="30">
        <f>+C46</f>
        <v>1059625.8500000001</v>
      </c>
      <c r="D47" s="31">
        <v>1129494.8</v>
      </c>
      <c r="E47" s="31">
        <v>0</v>
      </c>
      <c r="F47" s="31">
        <v>17277.13</v>
      </c>
      <c r="G47" s="32">
        <v>1.03348E-2</v>
      </c>
      <c r="H47" s="32">
        <f t="shared" si="79"/>
        <v>1.0103348000000001</v>
      </c>
      <c r="I47" s="44">
        <f>+H47*H46*H45*H44*H43*H42*H41*H40*H39*H38*H37*H36*H35*H34*H33*H32*H31*H30*H29*H28*H27*H26*H25*H24*H23*H22*H21*H20</f>
        <v>1.243454288569203</v>
      </c>
      <c r="J47" s="39">
        <f t="shared" ref="J47" si="86">+I47-1</f>
        <v>0.24345428856920304</v>
      </c>
      <c r="K47" s="56">
        <f t="shared" ref="K47" si="87">+(1+J47)^(365/(B47-$B$19))-1</f>
        <v>9.9804907017764011E-2</v>
      </c>
      <c r="L47" s="32">
        <f>STDEV($G$20:G47)*(12^0.5)</f>
        <v>3.7320729753789757E-2</v>
      </c>
      <c r="M47" s="40">
        <v>1.622E-3</v>
      </c>
      <c r="N47" s="33">
        <f t="shared" ref="N47:N52" si="88">+N46*(1+(M47*(B47-B46)/365))</f>
        <v>100.18268264427402</v>
      </c>
      <c r="O47" s="32">
        <f t="shared" ref="O47" si="89">+N47/100</f>
        <v>1.0018268264427403</v>
      </c>
      <c r="P47" s="33">
        <f>COUNT($B$19:B47)/12</f>
        <v>2.4166666666666665</v>
      </c>
      <c r="Q47" s="32">
        <f t="shared" ref="Q47" si="90">-1+(O47^(1/P47))</f>
        <v>7.555238126160102E-4</v>
      </c>
      <c r="R47" s="41">
        <f t="shared" ref="R47" si="91">+(K47-Q47)/L47</f>
        <v>2.654004459682088</v>
      </c>
    </row>
    <row r="48" spans="2:18">
      <c r="B48" s="29">
        <v>42704</v>
      </c>
      <c r="C48" s="30">
        <f>+C47</f>
        <v>1059625.8500000001</v>
      </c>
      <c r="D48" s="31">
        <v>1125975.17</v>
      </c>
      <c r="E48" s="31">
        <v>0</v>
      </c>
      <c r="F48" s="31">
        <v>7601.94</v>
      </c>
      <c r="G48" s="32">
        <v>3.6389999999999999E-3</v>
      </c>
      <c r="H48" s="32">
        <f t="shared" si="79"/>
        <v>1.0036389999999999</v>
      </c>
      <c r="I48" s="44">
        <f>+H48*H47*H46*H45*H44*H43*H42*H41*H40*H39*H38*H37*H36*H35*H34*H33*H32*H31*H30*H29*H28*H27*H26*H25*H24*H23*H22*H21*H20</f>
        <v>1.2479792187253065</v>
      </c>
      <c r="J48" s="39">
        <f t="shared" ref="J48" si="92">+I48-1</f>
        <v>0.24797921872530648</v>
      </c>
      <c r="K48" s="56">
        <f t="shared" ref="K48" si="93">+(1+J48)^(365/(B48-$B$19))-1</f>
        <v>9.7865881671791222E-2</v>
      </c>
      <c r="L48" s="32">
        <f>STDEV($G$20:G48)*(12^0.5)</f>
        <v>3.6749022337171762E-2</v>
      </c>
      <c r="M48" s="40">
        <v>3.5999999999999999E-3</v>
      </c>
      <c r="N48" s="33">
        <f t="shared" si="88"/>
        <v>100.21232573941261</v>
      </c>
      <c r="O48" s="32">
        <f t="shared" ref="O48" si="94">+N48/100</f>
        <v>1.0021232573941261</v>
      </c>
      <c r="P48" s="33">
        <f>COUNT($B$19:B48)/12</f>
        <v>2.5</v>
      </c>
      <c r="Q48" s="32">
        <f t="shared" ref="Q48" si="95">-1+(O48^(1/P48))</f>
        <v>8.4876258278621108E-4</v>
      </c>
      <c r="R48" s="41">
        <f t="shared" ref="R48" si="96">+(K48-Q48)/L48</f>
        <v>2.6399918397522066</v>
      </c>
    </row>
    <row r="49" spans="2:18">
      <c r="B49" s="29">
        <v>42735</v>
      </c>
      <c r="C49" s="30">
        <f>+C48+79417.18</f>
        <v>1139043.03</v>
      </c>
      <c r="D49" s="31">
        <v>1212547.3400000001</v>
      </c>
      <c r="E49" s="31">
        <v>0</v>
      </c>
      <c r="F49" s="31">
        <v>2303.62</v>
      </c>
      <c r="G49" s="32">
        <v>7.8618999999999998E-3</v>
      </c>
      <c r="H49" s="32">
        <f t="shared" si="79"/>
        <v>1.0078619</v>
      </c>
      <c r="I49" s="44">
        <f>+H49*H48*H47*H46*H45*H44*H43*H42*H41*H40*H39*H38*H37*H36*H35*H34*H33*H32*H31*H30*H29*H28*H27*H26*H25*H24*H23*H22*H21*H20</f>
        <v>1.2577907065450022</v>
      </c>
      <c r="J49" s="39">
        <f t="shared" ref="J49" si="97">+I49-1</f>
        <v>0.25779070654500225</v>
      </c>
      <c r="K49" s="56">
        <f t="shared" ref="K49" si="98">+(1+J49)^(365/(B49-$B$19))-1</f>
        <v>9.7821769922928015E-2</v>
      </c>
      <c r="L49" s="32">
        <f>STDEV($G$20:G49)*(12^0.5)</f>
        <v>3.6109969358030375E-2</v>
      </c>
      <c r="M49" s="40">
        <v>4.1580000000000002E-3</v>
      </c>
      <c r="N49" s="33">
        <f t="shared" si="88"/>
        <v>100.24771524177743</v>
      </c>
      <c r="O49" s="32">
        <f t="shared" ref="O49" si="99">+N49/100</f>
        <v>1.0024771524177742</v>
      </c>
      <c r="P49" s="33">
        <f>COUNT($B$19:B49)/12</f>
        <v>2.5833333333333335</v>
      </c>
      <c r="Q49" s="32">
        <f t="shared" ref="Q49" si="100">-1+(O49^(1/P49))</f>
        <v>9.5817075251192207E-4</v>
      </c>
      <c r="R49" s="41">
        <f t="shared" ref="R49" si="101">+(K49-Q49)/L49</f>
        <v>2.6824614058797289</v>
      </c>
    </row>
    <row r="50" spans="2:18">
      <c r="B50" s="29">
        <v>42766</v>
      </c>
      <c r="C50" s="30">
        <f>+C49</f>
        <v>1139043.03</v>
      </c>
      <c r="D50" s="31">
        <v>1227296.6399999999</v>
      </c>
      <c r="E50" s="31">
        <v>0</v>
      </c>
      <c r="F50" s="31">
        <v>0</v>
      </c>
      <c r="G50" s="32">
        <v>1.21639E-2</v>
      </c>
      <c r="H50" s="32">
        <f t="shared" si="79"/>
        <v>1.0121639</v>
      </c>
      <c r="I50" s="44">
        <f>+H50*H49*H48*H47*H46*H45*H44*H43*H42*H41*H40*H39*H38*H37*H36*H35*H34*H33*H32*H31*H30*H29*H28*H27*H26*H25*H24*H23*H22*H21*H20</f>
        <v>1.2730903469203454</v>
      </c>
      <c r="J50" s="39">
        <f>+I50-1</f>
        <v>0.27309034692034539</v>
      </c>
      <c r="K50" s="56">
        <f>+(1+J50)^(365/(B50-$B$19))-1</f>
        <v>9.9621245043794993E-2</v>
      </c>
      <c r="L50" s="32">
        <f>STDEV($G$20:G50)*(12^0.5)</f>
        <v>3.5610235337760289E-2</v>
      </c>
      <c r="M50" s="40">
        <v>4.614E-3</v>
      </c>
      <c r="N50" s="33">
        <f t="shared" si="88"/>
        <v>100.28699971219358</v>
      </c>
      <c r="O50" s="32">
        <f t="shared" ref="O50" si="102">+N50/100</f>
        <v>1.0028699971219357</v>
      </c>
      <c r="P50" s="33">
        <f>COUNT($B$19:B50)/12</f>
        <v>2.6666666666666665</v>
      </c>
      <c r="Q50" s="32">
        <f t="shared" ref="Q50" si="103">-1+(O50^(1/P50))</f>
        <v>1.0752851586979251E-3</v>
      </c>
      <c r="R50" s="41">
        <f t="shared" ref="R50" si="104">+(K50-Q50)/L50</f>
        <v>2.7673493014128203</v>
      </c>
    </row>
    <row r="51" spans="2:18">
      <c r="B51" s="29">
        <v>42794</v>
      </c>
      <c r="C51" s="30">
        <f>+C50+115181</f>
        <v>1254224.03</v>
      </c>
      <c r="D51" s="31">
        <v>1338176.93</v>
      </c>
      <c r="E51" s="31">
        <v>0</v>
      </c>
      <c r="F51" s="31">
        <v>12669.89</v>
      </c>
      <c r="G51" s="32">
        <v>6.2934999999999996E-3</v>
      </c>
      <c r="H51" s="32">
        <f t="shared" si="79"/>
        <v>1.0062935</v>
      </c>
      <c r="I51" s="44">
        <f>+H51*H50*H49*H48*H47*H46*H45*H44*H43*H42*H41*H40*H39*H38*H37*H36*H35*H34*H33*H32*H31*H30*H29*H28*H27*H26*H25*H24*H23*H22*H21*H20</f>
        <v>1.2811025410186889</v>
      </c>
      <c r="J51" s="39">
        <f>+I51-1</f>
        <v>0.28110254101868892</v>
      </c>
      <c r="K51" s="56">
        <f>+(1+J51)^(365/(B51-$B$19))-1</f>
        <v>9.9196761462867045E-2</v>
      </c>
      <c r="L51" s="32">
        <f>STDEV($G$20:G51)*(12^0.5)</f>
        <v>3.5044456961639783E-2</v>
      </c>
      <c r="M51" s="40">
        <v>4.2589999999999998E-3</v>
      </c>
      <c r="N51" s="33">
        <f t="shared" si="88"/>
        <v>100.31976526093241</v>
      </c>
      <c r="O51" s="32">
        <f t="shared" ref="O51" si="105">+N51/100</f>
        <v>1.003197652609324</v>
      </c>
      <c r="P51" s="33">
        <f>COUNT($B$19:B51)/12</f>
        <v>2.75</v>
      </c>
      <c r="Q51" s="32">
        <f t="shared" ref="Q51" si="106">-1+(O51^(1/P51))</f>
        <v>1.1616017703506287E-3</v>
      </c>
      <c r="R51" s="41">
        <f t="shared" ref="R51" si="107">+(K51-Q51)/L51</f>
        <v>2.7974512431403133</v>
      </c>
    </row>
    <row r="52" spans="2:18">
      <c r="B52" s="29">
        <v>42825</v>
      </c>
      <c r="C52" s="30">
        <f>+C51</f>
        <v>1254224.03</v>
      </c>
      <c r="D52" s="31">
        <v>1342604.6</v>
      </c>
      <c r="E52" s="31">
        <v>0</v>
      </c>
      <c r="F52" s="31">
        <v>6910.85</v>
      </c>
      <c r="G52" s="32">
        <v>8.5172400000000006E-3</v>
      </c>
      <c r="H52" s="32">
        <f>+G52+1</f>
        <v>1.00851724</v>
      </c>
      <c r="I52" s="44">
        <f>+H52*H51*H50*H49*H48*H47*H46*H45*H44*H43*H42*H41*H40*H39*H38*H37*H36*H35*H34*H33*H32*H31*H30*H29*H28*H27*H26*H25*H24*H23*H22*H21*H20</f>
        <v>1.2920139988251547</v>
      </c>
      <c r="J52" s="39">
        <f>+I52-1</f>
        <v>0.29201399882515466</v>
      </c>
      <c r="K52" s="56">
        <f>+(1+J52)^(365/(B52-$B$19))-1</f>
        <v>9.937903781744617E-2</v>
      </c>
      <c r="L52" s="32">
        <f>STDEV($G$20:G52)*(12^0.5)</f>
        <v>3.4495103230213681E-2</v>
      </c>
      <c r="M52" s="40">
        <v>7.2529999999999999E-3</v>
      </c>
      <c r="N52" s="33">
        <f t="shared" si="88"/>
        <v>100.38156306087917</v>
      </c>
      <c r="O52" s="32">
        <f t="shared" ref="O52" si="108">+N52/100</f>
        <v>1.0038156306087918</v>
      </c>
      <c r="P52" s="33">
        <f>COUNT($B$19:B52)/12</f>
        <v>2.8333333333333335</v>
      </c>
      <c r="Q52" s="32">
        <f t="shared" ref="Q52" si="109">-1+(O52^(1/P52))</f>
        <v>1.3450341792842213E-3</v>
      </c>
      <c r="R52" s="41">
        <f t="shared" ref="R52" si="110">+(K52-Q52)/L52</f>
        <v>2.8419686986846182</v>
      </c>
    </row>
    <row r="53" spans="2:18">
      <c r="B53" s="29">
        <v>42855</v>
      </c>
      <c r="C53" s="30">
        <f>+C52+23036</f>
        <v>1277260.03</v>
      </c>
      <c r="D53" s="31">
        <v>1362681.02</v>
      </c>
      <c r="E53" s="31">
        <v>0</v>
      </c>
      <c r="F53" s="31">
        <v>13821.7</v>
      </c>
      <c r="G53" s="32">
        <v>8.0352099999999992E-3</v>
      </c>
      <c r="H53" s="32">
        <f>+G53+1</f>
        <v>1.0080352100000001</v>
      </c>
      <c r="I53" s="44">
        <f>+H53*H52*H51*H50*H49*H48*H47*H46*H45*H44*H43*H42*H41*H40*H39*H38*H37*H36*H35*H34*H33*H32*H31*H30*H29*H28*H27*H26*H25*H24*H23*H22*H21*H20</f>
        <v>1.3023956026286543</v>
      </c>
      <c r="J53" s="39">
        <f>+I53-1</f>
        <v>0.30239560262865428</v>
      </c>
      <c r="K53" s="56">
        <f>+(1+J53)^(365/(B53-$B$19))-1</f>
        <v>9.9464187396531178E-2</v>
      </c>
      <c r="L53" s="32">
        <f>STDEV($G$20:G53)*(12^0.5)</f>
        <v>3.396862505767298E-2</v>
      </c>
      <c r="M53" s="40">
        <v>6.5929999999999999E-3</v>
      </c>
      <c r="N53" s="33">
        <f t="shared" ref="N53" si="111">+N52*(1+(M53*(B53-B52)/365))</f>
        <v>100.43595886733893</v>
      </c>
      <c r="O53" s="32">
        <f t="shared" ref="O53" si="112">+N53/100</f>
        <v>1.0043595886733891</v>
      </c>
      <c r="P53" s="33">
        <f>COUNT($B$19:B53)/12</f>
        <v>2.9166666666666665</v>
      </c>
      <c r="Q53" s="32">
        <f t="shared" ref="Q53" si="113">-1+(O53^(1/P53))</f>
        <v>1.4925801721779042E-3</v>
      </c>
      <c r="R53" s="41">
        <f t="shared" ref="R53" si="114">+(K53-Q53)/L53</f>
        <v>2.884179358393637</v>
      </c>
    </row>
    <row r="54" spans="2:18">
      <c r="B54" s="29">
        <v>42886</v>
      </c>
      <c r="C54" s="30">
        <f>+C53</f>
        <v>1277260.03</v>
      </c>
      <c r="D54" s="31">
        <v>1368264.32</v>
      </c>
      <c r="E54" s="31">
        <v>0</v>
      </c>
      <c r="F54" s="31">
        <v>9214.4699999999993</v>
      </c>
      <c r="G54" s="32">
        <v>1.09338E-2</v>
      </c>
      <c r="H54" s="32">
        <f>+G54+1</f>
        <v>1.0109338000000001</v>
      </c>
      <c r="I54" s="44">
        <f>+H54*H53*H52*H51*H50*H49*H48*H47*H46*H45*H44*H43*H42*H41*H40*H39*H38*H37*H36*H35*H34*H33*H32*H31*H30*H29*H28*H27*H26*H25*H24*H23*H22*H21*H20</f>
        <v>1.3166357356686762</v>
      </c>
      <c r="J54" s="39">
        <f>+I54-1</f>
        <v>0.3166357356686762</v>
      </c>
      <c r="K54" s="56">
        <f>+(1+J54)^(365/(B54-$B$19))-1</f>
        <v>0.10054494758146948</v>
      </c>
      <c r="L54" s="32">
        <f>STDEV($G$20:G54)*(12^0.5)</f>
        <v>3.3514135445928322E-2</v>
      </c>
      <c r="M54" s="45">
        <v>8.5730000000000008E-3</v>
      </c>
      <c r="N54" s="33">
        <f t="shared" ref="N54" si="115">+N53*(1+(M54*(B54-B53)/365))</f>
        <v>100.50908807757581</v>
      </c>
      <c r="O54" s="32">
        <f t="shared" ref="O54" si="116">+N54/100</f>
        <v>1.0050908807757581</v>
      </c>
      <c r="P54" s="33">
        <f>COUNT($B$19:B54)/12</f>
        <v>3</v>
      </c>
      <c r="Q54" s="32">
        <f t="shared" ref="Q54" si="117">-1+(O54^(1/P54))</f>
        <v>1.6940887014154082E-3</v>
      </c>
      <c r="R54" s="41">
        <f t="shared" ref="R54" si="118">+(K54-Q54)/L54</f>
        <v>2.9495273431576345</v>
      </c>
    </row>
    <row r="55" spans="2:18" ht="6" customHeight="1">
      <c r="B55" s="29"/>
      <c r="C55" s="30"/>
      <c r="D55" s="31"/>
      <c r="E55" s="31"/>
      <c r="F55" s="31"/>
      <c r="G55" s="32"/>
      <c r="H55" s="32"/>
      <c r="I55" s="32"/>
      <c r="J55" s="39"/>
      <c r="K55" s="56"/>
      <c r="L55" s="32"/>
      <c r="M55" s="32"/>
      <c r="N55" s="32"/>
      <c r="O55" s="32"/>
      <c r="P55" s="32"/>
      <c r="Q55" s="32"/>
      <c r="R55" s="39"/>
    </row>
    <row r="56" spans="2:18">
      <c r="B56" s="35" t="s">
        <v>13</v>
      </c>
      <c r="C56" s="36">
        <f>+C54</f>
        <v>1277260.03</v>
      </c>
      <c r="D56" s="37">
        <f>+D54</f>
        <v>1368264.32</v>
      </c>
      <c r="E56" s="37">
        <f>+SUM(E20:E54)</f>
        <v>84525.15</v>
      </c>
      <c r="F56" s="37">
        <f>+SUM(F20:F54)</f>
        <v>187778.37</v>
      </c>
      <c r="G56" s="38">
        <f>G54</f>
        <v>1.09338E-2</v>
      </c>
      <c r="H56" s="38"/>
      <c r="I56" s="38"/>
      <c r="J56" s="54">
        <f>+J54</f>
        <v>0.3166357356686762</v>
      </c>
      <c r="K56" s="57">
        <f>+K54</f>
        <v>0.10054494758146948</v>
      </c>
      <c r="L56" s="38">
        <f>+L54</f>
        <v>3.3514135445928322E-2</v>
      </c>
      <c r="M56" s="38"/>
      <c r="N56" s="38"/>
      <c r="O56" s="38"/>
      <c r="P56" s="38"/>
      <c r="Q56" s="38"/>
      <c r="R56" s="42">
        <f>R54</f>
        <v>2.9495273431576345</v>
      </c>
    </row>
    <row r="57" spans="2:18">
      <c r="B57" s="9"/>
      <c r="C57" s="2"/>
      <c r="D57" s="2"/>
      <c r="E57" s="8"/>
      <c r="F57" s="8"/>
      <c r="G57" s="8"/>
      <c r="H57" s="8"/>
      <c r="I57" s="8"/>
      <c r="J57" s="8"/>
      <c r="K57" s="4"/>
      <c r="L57" s="4"/>
      <c r="M57" s="4"/>
      <c r="N57" s="4"/>
      <c r="O57" s="4"/>
      <c r="P57" s="4"/>
      <c r="Q57" s="4"/>
      <c r="R57" s="4"/>
    </row>
    <row r="58" spans="2:18" s="1" customFormat="1">
      <c r="C58" s="1">
        <f>C56-F13</f>
        <v>-222739.96999999997</v>
      </c>
    </row>
    <row r="60" spans="2:18">
      <c r="C60" s="58">
        <v>1277260</v>
      </c>
      <c r="D60" s="59" t="s">
        <v>25</v>
      </c>
      <c r="E60" s="60"/>
      <c r="F60" s="60"/>
    </row>
    <row r="61" spans="2:18">
      <c r="C61" s="3">
        <f>C56-C60</f>
        <v>3.0000000027939677E-2</v>
      </c>
    </row>
  </sheetData>
  <pageMargins left="0.70866141732283472" right="0.70866141732283472" top="0.74803149606299213" bottom="0.74803149606299213" header="0.31496062992125984" footer="0.31496062992125984"/>
  <pageSetup scale="67" orientation="landscape" r:id="rId1"/>
  <ignoredErrors>
    <ignoredError sqref="C22:C24 C51 C28 C25:C26 C31:C49 C5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Joanne Robinson</cp:lastModifiedBy>
  <cp:lastPrinted>2012-11-16T21:36:21Z</cp:lastPrinted>
  <dcterms:created xsi:type="dcterms:W3CDTF">2010-04-15T16:43:35Z</dcterms:created>
  <dcterms:modified xsi:type="dcterms:W3CDTF">2017-06-13T20:15:51Z</dcterms:modified>
</cp:coreProperties>
</file>