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3995"/>
  </bookViews>
  <sheets>
    <sheet name="Chart" sheetId="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F49" i="1" l="1"/>
  <c r="E49" i="1"/>
  <c r="D49" i="1"/>
  <c r="O47" i="1"/>
  <c r="K47" i="1"/>
  <c r="K49" i="1" s="1"/>
  <c r="G47" i="1"/>
  <c r="H47" i="1" s="1"/>
  <c r="I47" i="1" s="1"/>
  <c r="O46" i="1"/>
  <c r="K46" i="1"/>
  <c r="G46" i="1"/>
  <c r="H46" i="1" s="1"/>
  <c r="I46" i="1" s="1"/>
  <c r="J46" i="1" s="1"/>
  <c r="O45" i="1"/>
  <c r="K45" i="1"/>
  <c r="G45" i="1"/>
  <c r="H45" i="1" s="1"/>
  <c r="I45" i="1" s="1"/>
  <c r="J45" i="1" s="1"/>
  <c r="O44" i="1"/>
  <c r="K44" i="1"/>
  <c r="G44" i="1"/>
  <c r="O43" i="1"/>
  <c r="K43" i="1"/>
  <c r="G43" i="1"/>
  <c r="H43" i="1" s="1"/>
  <c r="I43" i="1" s="1"/>
  <c r="J43" i="1" s="1"/>
  <c r="O42" i="1"/>
  <c r="K42" i="1"/>
  <c r="G42" i="1"/>
  <c r="H42" i="1" s="1"/>
  <c r="I42" i="1" s="1"/>
  <c r="J42" i="1" s="1"/>
  <c r="O41" i="1"/>
  <c r="K41" i="1"/>
  <c r="G41" i="1"/>
  <c r="H41" i="1" s="1"/>
  <c r="I41" i="1" s="1"/>
  <c r="J41" i="1" s="1"/>
  <c r="O40" i="1"/>
  <c r="K40" i="1"/>
  <c r="G40" i="1"/>
  <c r="O39" i="1"/>
  <c r="K39" i="1"/>
  <c r="G39" i="1"/>
  <c r="H40" i="1" s="1"/>
  <c r="I40" i="1" s="1"/>
  <c r="J40" i="1" s="1"/>
  <c r="O38" i="1"/>
  <c r="K38" i="1"/>
  <c r="G38" i="1"/>
  <c r="H39" i="1" s="1"/>
  <c r="I39" i="1" s="1"/>
  <c r="J39" i="1" s="1"/>
  <c r="O37" i="1"/>
  <c r="K37" i="1"/>
  <c r="G37" i="1"/>
  <c r="H37" i="1" s="1"/>
  <c r="I37" i="1" s="1"/>
  <c r="J37" i="1" s="1"/>
  <c r="O36" i="1"/>
  <c r="K36" i="1"/>
  <c r="G36" i="1"/>
  <c r="O35" i="1"/>
  <c r="K35" i="1"/>
  <c r="G35" i="1"/>
  <c r="H36" i="1" s="1"/>
  <c r="I36" i="1" s="1"/>
  <c r="J36" i="1" s="1"/>
  <c r="O34" i="1"/>
  <c r="K34" i="1"/>
  <c r="G34" i="1"/>
  <c r="H35" i="1" s="1"/>
  <c r="I35" i="1" s="1"/>
  <c r="J35" i="1" s="1"/>
  <c r="O33" i="1"/>
  <c r="K33" i="1"/>
  <c r="G33" i="1"/>
  <c r="H33" i="1" s="1"/>
  <c r="I33" i="1" s="1"/>
  <c r="J33" i="1" s="1"/>
  <c r="O32" i="1"/>
  <c r="K32" i="1"/>
  <c r="G32" i="1"/>
  <c r="O31" i="1"/>
  <c r="K31" i="1"/>
  <c r="G31" i="1"/>
  <c r="H32" i="1" s="1"/>
  <c r="I32" i="1" s="1"/>
  <c r="J32" i="1" s="1"/>
  <c r="O30" i="1"/>
  <c r="K30" i="1"/>
  <c r="G30" i="1"/>
  <c r="H31" i="1" s="1"/>
  <c r="I31" i="1" s="1"/>
  <c r="J31" i="1" s="1"/>
  <c r="O29" i="1"/>
  <c r="K29" i="1"/>
  <c r="G29" i="1"/>
  <c r="H29" i="1" s="1"/>
  <c r="I29" i="1" s="1"/>
  <c r="J29" i="1" s="1"/>
  <c r="O28" i="1"/>
  <c r="K28" i="1"/>
  <c r="G28" i="1"/>
  <c r="O27" i="1"/>
  <c r="K27" i="1"/>
  <c r="G27" i="1"/>
  <c r="H28" i="1" s="1"/>
  <c r="I28" i="1" s="1"/>
  <c r="J28" i="1" s="1"/>
  <c r="O26" i="1"/>
  <c r="K26" i="1"/>
  <c r="G26" i="1"/>
  <c r="H27" i="1" s="1"/>
  <c r="I27" i="1" s="1"/>
  <c r="J27" i="1" s="1"/>
  <c r="O25" i="1"/>
  <c r="K25" i="1"/>
  <c r="G25" i="1"/>
  <c r="H25" i="1" s="1"/>
  <c r="I25" i="1" s="1"/>
  <c r="J25" i="1" s="1"/>
  <c r="O24" i="1"/>
  <c r="K24" i="1"/>
  <c r="G24" i="1"/>
  <c r="O23" i="1"/>
  <c r="K23" i="1"/>
  <c r="G23" i="1"/>
  <c r="H24" i="1" s="1"/>
  <c r="I24" i="1" s="1"/>
  <c r="J24" i="1" s="1"/>
  <c r="O22" i="1"/>
  <c r="K22" i="1"/>
  <c r="G22" i="1"/>
  <c r="H23" i="1" s="1"/>
  <c r="I23" i="1" s="1"/>
  <c r="J23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9" i="1" s="1"/>
  <c r="E14" i="1" s="1"/>
  <c r="F11" i="1" s="1"/>
  <c r="O21" i="1"/>
  <c r="N21" i="1"/>
  <c r="P21" i="1" s="1"/>
  <c r="M21" i="1"/>
  <c r="M22" i="1" s="1"/>
  <c r="H21" i="1"/>
  <c r="I21" i="1" s="1"/>
  <c r="J21" i="1" s="1"/>
  <c r="G21" i="1"/>
  <c r="C21" i="1"/>
  <c r="O20" i="1"/>
  <c r="N20" i="1"/>
  <c r="P20" i="1" s="1"/>
  <c r="Q13" i="1"/>
  <c r="Q9" i="1"/>
  <c r="Q14" i="1" s="1"/>
  <c r="J47" i="1" l="1"/>
  <c r="I49" i="1"/>
  <c r="M23" i="1"/>
  <c r="N22" i="1"/>
  <c r="P22" i="1" s="1"/>
  <c r="H22" i="1"/>
  <c r="I22" i="1" s="1"/>
  <c r="J22" i="1" s="1"/>
  <c r="Q22" i="1" s="1"/>
  <c r="H26" i="1"/>
  <c r="I26" i="1" s="1"/>
  <c r="J26" i="1" s="1"/>
  <c r="H30" i="1"/>
  <c r="I30" i="1" s="1"/>
  <c r="J30" i="1" s="1"/>
  <c r="H34" i="1"/>
  <c r="I34" i="1" s="1"/>
  <c r="J34" i="1" s="1"/>
  <c r="H38" i="1"/>
  <c r="I38" i="1" s="1"/>
  <c r="J38" i="1" s="1"/>
  <c r="H44" i="1"/>
  <c r="I44" i="1" s="1"/>
  <c r="J44" i="1" s="1"/>
  <c r="M24" i="1" l="1"/>
  <c r="N23" i="1"/>
  <c r="P23" i="1" s="1"/>
  <c r="Q23" i="1" s="1"/>
  <c r="J49" i="1"/>
  <c r="N24" i="1" l="1"/>
  <c r="P24" i="1" s="1"/>
  <c r="Q24" i="1" s="1"/>
  <c r="M25" i="1"/>
  <c r="N25" i="1" l="1"/>
  <c r="P25" i="1" s="1"/>
  <c r="Q25" i="1" s="1"/>
  <c r="M26" i="1"/>
  <c r="M27" i="1" l="1"/>
  <c r="N26" i="1"/>
  <c r="P26" i="1" s="1"/>
  <c r="Q26" i="1" s="1"/>
  <c r="M28" i="1" l="1"/>
  <c r="N27" i="1"/>
  <c r="P27" i="1" s="1"/>
  <c r="Q27" i="1" s="1"/>
  <c r="N28" i="1" l="1"/>
  <c r="P28" i="1" s="1"/>
  <c r="Q28" i="1" s="1"/>
  <c r="M29" i="1"/>
  <c r="N29" i="1" l="1"/>
  <c r="P29" i="1" s="1"/>
  <c r="Q29" i="1" s="1"/>
  <c r="M30" i="1"/>
  <c r="M31" i="1" l="1"/>
  <c r="N30" i="1"/>
  <c r="P30" i="1" s="1"/>
  <c r="Q30" i="1" s="1"/>
  <c r="M32" i="1" l="1"/>
  <c r="N31" i="1"/>
  <c r="P31" i="1" s="1"/>
  <c r="Q31" i="1" s="1"/>
  <c r="N32" i="1" l="1"/>
  <c r="P32" i="1" s="1"/>
  <c r="Q32" i="1" s="1"/>
  <c r="M33" i="1"/>
  <c r="N33" i="1" l="1"/>
  <c r="P33" i="1" s="1"/>
  <c r="Q33" i="1" s="1"/>
  <c r="M34" i="1"/>
  <c r="M35" i="1" l="1"/>
  <c r="N34" i="1"/>
  <c r="P34" i="1" s="1"/>
  <c r="Q34" i="1" s="1"/>
  <c r="M36" i="1" l="1"/>
  <c r="N35" i="1"/>
  <c r="P35" i="1" s="1"/>
  <c r="Q35" i="1" s="1"/>
  <c r="N36" i="1" l="1"/>
  <c r="P36" i="1" s="1"/>
  <c r="Q36" i="1" s="1"/>
  <c r="M37" i="1"/>
  <c r="N37" i="1" l="1"/>
  <c r="P37" i="1" s="1"/>
  <c r="Q37" i="1" s="1"/>
  <c r="M38" i="1"/>
  <c r="M39" i="1" l="1"/>
  <c r="N38" i="1"/>
  <c r="P38" i="1" s="1"/>
  <c r="Q38" i="1" s="1"/>
  <c r="M40" i="1" l="1"/>
  <c r="N39" i="1"/>
  <c r="P39" i="1" s="1"/>
  <c r="Q39" i="1" s="1"/>
  <c r="N40" i="1" l="1"/>
  <c r="P40" i="1" s="1"/>
  <c r="Q40" i="1" s="1"/>
  <c r="M41" i="1"/>
  <c r="N41" i="1" l="1"/>
  <c r="P41" i="1" s="1"/>
  <c r="Q41" i="1" s="1"/>
  <c r="M42" i="1"/>
  <c r="M43" i="1" l="1"/>
  <c r="N42" i="1"/>
  <c r="P42" i="1" s="1"/>
  <c r="Q42" i="1" s="1"/>
  <c r="M44" i="1" l="1"/>
  <c r="N43" i="1"/>
  <c r="P43" i="1" s="1"/>
  <c r="Q43" i="1" s="1"/>
  <c r="N44" i="1" l="1"/>
  <c r="P44" i="1" s="1"/>
  <c r="Q44" i="1" s="1"/>
  <c r="M45" i="1"/>
  <c r="N45" i="1" l="1"/>
  <c r="P45" i="1" s="1"/>
  <c r="Q45" i="1" s="1"/>
  <c r="M46" i="1"/>
  <c r="M47" i="1" l="1"/>
  <c r="N47" i="1" s="1"/>
  <c r="P47" i="1" s="1"/>
  <c r="Q47" i="1" s="1"/>
  <c r="Q49" i="1" s="1"/>
  <c r="N46" i="1"/>
  <c r="P46" i="1" s="1"/>
  <c r="Q46" i="1" s="1"/>
</calcChain>
</file>

<file path=xl/sharedStrings.xml><?xml version="1.0" encoding="utf-8"?>
<sst xmlns="http://schemas.openxmlformats.org/spreadsheetml/2006/main" count="34" uniqueCount="28">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</sst>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_-* #,##0.00000_-;\-* #,##0.00000_-;_-* &quot;-&quot;??_-;_-@_-"/>
    <numFmt numFmtId="174" formatCode="[$-F800]dddd\,\ mmmm\ dd\,\ yyyy"/>
    <numFmt numFmtId="175" formatCode="_-&quot;$&quot;* #,##0_-;\-&quot;$&quot;* #,##0_-;_-&quot;$&quot;* &quot;-&quot;??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numFmtId="168" fontId="0" fillId="0" borderId="0"/>
    <xf numFmtId="168" fontId="5" fillId="0" borderId="0"/>
    <xf numFmtId="168" fontId="3" fillId="0" borderId="0"/>
    <xf numFmtId="168" fontId="4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6" borderId="0"/>
    <xf numFmtId="168" fontId="9" fillId="17" borderId="0"/>
    <xf numFmtId="168" fontId="9" fillId="18" borderId="0"/>
    <xf numFmtId="168" fontId="9" fillId="13" borderId="0"/>
    <xf numFmtId="168" fontId="9" fillId="14" borderId="0"/>
    <xf numFmtId="168" fontId="9" fillId="19" borderId="0"/>
    <xf numFmtId="168" fontId="10" fillId="0" borderId="0"/>
    <xf numFmtId="168" fontId="11" fillId="3" borderId="0"/>
    <xf numFmtId="168" fontId="12" fillId="20" borderId="1"/>
    <xf numFmtId="168" fontId="12" fillId="20" borderId="1"/>
    <xf numFmtId="168" fontId="13" fillId="0" borderId="2"/>
    <xf numFmtId="168" fontId="14" fillId="21" borderId="3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8" fillId="0" borderId="0"/>
    <xf numFmtId="167" fontId="5" fillId="0" borderId="0"/>
    <xf numFmtId="167" fontId="5" fillId="0" borderId="0"/>
    <xf numFmtId="168" fontId="15" fillId="0" borderId="0"/>
    <xf numFmtId="168" fontId="5" fillId="0" borderId="0"/>
    <xf numFmtId="168" fontId="15" fillId="0" borderId="0"/>
    <xf numFmtId="168" fontId="5" fillId="0" borderId="0"/>
    <xf numFmtId="168" fontId="5" fillId="22" borderId="4"/>
    <xf numFmtId="44" fontId="5" fillId="0" borderId="0"/>
    <xf numFmtId="168" fontId="16" fillId="0" borderId="0"/>
    <xf numFmtId="168" fontId="17" fillId="0" borderId="0"/>
    <xf numFmtId="168" fontId="17" fillId="0" borderId="0"/>
    <xf numFmtId="168" fontId="18" fillId="7" borderId="1"/>
    <xf numFmtId="168" fontId="5" fillId="0" borderId="0"/>
    <xf numFmtId="168" fontId="5" fillId="0" borderId="0"/>
    <xf numFmtId="168" fontId="19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20" fillId="4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18" fillId="7" borderId="1"/>
    <xf numFmtId="168" fontId="11" fillId="3" borderId="0"/>
    <xf numFmtId="168" fontId="13" fillId="0" borderId="2"/>
    <xf numFmtId="168" fontId="16" fillId="0" borderId="0"/>
    <xf numFmtId="168" fontId="24" fillId="23" borderId="0"/>
    <xf numFmtId="168" fontId="24" fillId="23" borderId="0"/>
    <xf numFmtId="0" fontId="2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168" fontId="8" fillId="24" borderId="8"/>
    <xf numFmtId="168" fontId="8" fillId="24" borderId="8"/>
    <xf numFmtId="0" fontId="33" fillId="0" borderId="0"/>
    <xf numFmtId="168" fontId="26" fillId="20" borderId="9"/>
    <xf numFmtId="0" fontId="5" fillId="0" borderId="0"/>
    <xf numFmtId="0" fontId="5" fillId="0" borderId="0"/>
    <xf numFmtId="0" fontId="5" fillId="0" borderId="0"/>
    <xf numFmtId="0" fontId="5" fillId="0" borderId="0"/>
    <xf numFmtId="168" fontId="16" fillId="0" borderId="0"/>
    <xf numFmtId="0" fontId="7" fillId="0" borderId="0"/>
    <xf numFmtId="168" fontId="20" fillId="4" borderId="0"/>
    <xf numFmtId="168" fontId="26" fillId="20" borderId="9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27" fillId="0" borderId="0"/>
    <xf numFmtId="168" fontId="32" fillId="0" borderId="0"/>
    <xf numFmtId="168" fontId="27" fillId="20" borderId="0"/>
    <xf numFmtId="168" fontId="27" fillId="25" borderId="0"/>
    <xf numFmtId="168" fontId="19" fillId="0" borderId="0"/>
    <xf numFmtId="168" fontId="28" fillId="0" borderId="0"/>
    <xf numFmtId="168" fontId="28" fillId="0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30" fillId="0" borderId="10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4" fillId="21" borderId="3"/>
    <xf numFmtId="168" fontId="10" fillId="0" borderId="0"/>
    <xf numFmtId="168" fontId="31" fillId="0" borderId="0"/>
    <xf numFmtId="168" fontId="5" fillId="0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9" fillId="40" borderId="0"/>
    <xf numFmtId="168" fontId="9" fillId="41" borderId="0"/>
    <xf numFmtId="168" fontId="9" fillId="42" borderId="0"/>
    <xf numFmtId="168" fontId="9" fillId="37" borderId="0"/>
    <xf numFmtId="168" fontId="9" fillId="38" borderId="0"/>
    <xf numFmtId="168" fontId="9" fillId="43" borderId="0"/>
    <xf numFmtId="168" fontId="11" fillId="27" borderId="0"/>
    <xf numFmtId="168" fontId="12" fillId="25" borderId="1"/>
    <xf numFmtId="168" fontId="12" fillId="25" borderId="1"/>
    <xf numFmtId="168" fontId="14" fillId="44" borderId="12"/>
    <xf numFmtId="0" fontId="5" fillId="0" borderId="0"/>
    <xf numFmtId="168" fontId="8" fillId="0" borderId="0"/>
    <xf numFmtId="168" fontId="8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35" fillId="0" borderId="0"/>
    <xf numFmtId="168" fontId="35" fillId="0" borderId="0"/>
    <xf numFmtId="168" fontId="5" fillId="24" borderId="8"/>
    <xf numFmtId="168" fontId="36" fillId="0" borderId="0"/>
    <xf numFmtId="168" fontId="37" fillId="0" borderId="0"/>
    <xf numFmtId="168" fontId="37" fillId="0" borderId="0"/>
    <xf numFmtId="168" fontId="38" fillId="31" borderId="1"/>
    <xf numFmtId="168" fontId="5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20" fillId="28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8" fillId="31" borderId="1"/>
    <xf numFmtId="168" fontId="11" fillId="27" borderId="0"/>
    <xf numFmtId="168" fontId="36" fillId="0" borderId="0"/>
    <xf numFmtId="168" fontId="42" fillId="45" borderId="0"/>
    <xf numFmtId="168" fontId="42" fillId="45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3" fillId="0" borderId="0"/>
    <xf numFmtId="168" fontId="43" fillId="25" borderId="15"/>
    <xf numFmtId="0" fontId="5" fillId="0" borderId="0"/>
    <xf numFmtId="0" fontId="8" fillId="0" borderId="0"/>
    <xf numFmtId="0" fontId="8" fillId="0" borderId="0"/>
    <xf numFmtId="168" fontId="36" fillId="0" borderId="0"/>
    <xf numFmtId="0" fontId="44" fillId="0" borderId="0"/>
    <xf numFmtId="168" fontId="20" fillId="28" borderId="0"/>
    <xf numFmtId="168" fontId="43" fillId="25" borderId="15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29" fillId="0" borderId="0"/>
    <xf numFmtId="168" fontId="29" fillId="0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0" fillId="0" borderId="16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14" fillId="44" borderId="12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5" fillId="0" borderId="0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5" fillId="24" borderId="8"/>
    <xf numFmtId="168" fontId="5" fillId="0" borderId="0"/>
    <xf numFmtId="168" fontId="4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5" fontId="5" fillId="0" borderId="0"/>
    <xf numFmtId="168" fontId="6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6" borderId="0"/>
    <xf numFmtId="168" fontId="9" fillId="17" borderId="0"/>
    <xf numFmtId="168" fontId="9" fillId="18" borderId="0"/>
    <xf numFmtId="168" fontId="9" fillId="13" borderId="0"/>
    <xf numFmtId="168" fontId="9" fillId="14" borderId="0"/>
    <xf numFmtId="168" fontId="9" fillId="19" borderId="0"/>
    <xf numFmtId="168" fontId="10" fillId="0" borderId="0"/>
    <xf numFmtId="168" fontId="11" fillId="3" borderId="0"/>
    <xf numFmtId="168" fontId="12" fillId="20" borderId="1"/>
    <xf numFmtId="168" fontId="12" fillId="20" borderId="1"/>
    <xf numFmtId="168" fontId="13" fillId="0" borderId="2"/>
    <xf numFmtId="168" fontId="14" fillId="21" borderId="3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8" fillId="0" borderId="0"/>
    <xf numFmtId="167" fontId="5" fillId="0" borderId="0"/>
    <xf numFmtId="167" fontId="5" fillId="0" borderId="0"/>
    <xf numFmtId="168" fontId="15" fillId="0" borderId="0"/>
    <xf numFmtId="168" fontId="5" fillId="0" borderId="0"/>
    <xf numFmtId="168" fontId="15" fillId="0" borderId="0"/>
    <xf numFmtId="168" fontId="5" fillId="0" borderId="0"/>
    <xf numFmtId="168" fontId="5" fillId="22" borderId="4"/>
    <xf numFmtId="44" fontId="5" fillId="0" borderId="0"/>
    <xf numFmtId="168" fontId="16" fillId="0" borderId="0"/>
    <xf numFmtId="168" fontId="17" fillId="0" borderId="0"/>
    <xf numFmtId="168" fontId="17" fillId="0" borderId="0"/>
    <xf numFmtId="168" fontId="18" fillId="7" borderId="1"/>
    <xf numFmtId="168" fontId="5" fillId="0" borderId="0"/>
    <xf numFmtId="168" fontId="5" fillId="0" borderId="0"/>
    <xf numFmtId="168" fontId="19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20" fillId="4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18" fillId="7" borderId="1"/>
    <xf numFmtId="168" fontId="11" fillId="3" borderId="0"/>
    <xf numFmtId="168" fontId="13" fillId="0" borderId="2"/>
    <xf numFmtId="168" fontId="16" fillId="0" borderId="0"/>
    <xf numFmtId="168" fontId="24" fillId="23" borderId="0"/>
    <xf numFmtId="168" fontId="24" fillId="23" borderId="0"/>
    <xf numFmtId="0" fontId="2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168" fontId="8" fillId="24" borderId="8"/>
    <xf numFmtId="168" fontId="8" fillId="24" borderId="8"/>
    <xf numFmtId="0" fontId="33" fillId="0" borderId="0"/>
    <xf numFmtId="168" fontId="26" fillId="20" borderId="9"/>
    <xf numFmtId="0" fontId="5" fillId="0" borderId="0"/>
    <xf numFmtId="0" fontId="5" fillId="0" borderId="0"/>
    <xf numFmtId="0" fontId="5" fillId="0" borderId="0"/>
    <xf numFmtId="0" fontId="5" fillId="0" borderId="0"/>
    <xf numFmtId="168" fontId="16" fillId="0" borderId="0"/>
    <xf numFmtId="0" fontId="7" fillId="0" borderId="0"/>
    <xf numFmtId="168" fontId="20" fillId="4" borderId="0"/>
    <xf numFmtId="168" fontId="26" fillId="20" borderId="9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27" fillId="0" borderId="0"/>
    <xf numFmtId="168" fontId="32" fillId="0" borderId="0"/>
    <xf numFmtId="168" fontId="27" fillId="20" borderId="0"/>
    <xf numFmtId="168" fontId="27" fillId="25" borderId="0"/>
    <xf numFmtId="168" fontId="19" fillId="0" borderId="0"/>
    <xf numFmtId="168" fontId="28" fillId="0" borderId="0"/>
    <xf numFmtId="168" fontId="28" fillId="0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30" fillId="0" borderId="10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4" fillId="21" borderId="3"/>
    <xf numFmtId="168" fontId="10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5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0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33" fillId="0" borderId="0"/>
    <xf numFmtId="0" fontId="5" fillId="0" borderId="0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5" fillId="0" borderId="0"/>
    <xf numFmtId="168" fontId="5" fillId="24" borderId="8"/>
    <xf numFmtId="168" fontId="5" fillId="0" borderId="0"/>
    <xf numFmtId="168" fontId="4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5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0" fontId="5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12" fillId="25" borderId="1"/>
    <xf numFmtId="168" fontId="8" fillId="0" borderId="0"/>
    <xf numFmtId="168" fontId="8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35" fillId="0" borderId="0"/>
    <xf numFmtId="168" fontId="35" fillId="0" borderId="0"/>
    <xf numFmtId="168" fontId="5" fillId="24" borderId="8"/>
    <xf numFmtId="168" fontId="36" fillId="0" borderId="0"/>
    <xf numFmtId="168" fontId="37" fillId="0" borderId="0"/>
    <xf numFmtId="168" fontId="37" fillId="0" borderId="0"/>
    <xf numFmtId="168" fontId="38" fillId="31" borderId="1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11" fillId="27" borderId="0"/>
    <xf numFmtId="168" fontId="36" fillId="0" borderId="0"/>
    <xf numFmtId="168" fontId="42" fillId="45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3" fillId="0" borderId="0"/>
    <xf numFmtId="0" fontId="8" fillId="0" borderId="0"/>
    <xf numFmtId="0" fontId="8" fillId="0" borderId="0"/>
    <xf numFmtId="168" fontId="36" fillId="0" borderId="0"/>
    <xf numFmtId="0" fontId="44" fillId="0" borderId="0"/>
    <xf numFmtId="168" fontId="20" fillId="28" borderId="0"/>
    <xf numFmtId="168" fontId="43" fillId="25" borderId="15"/>
    <xf numFmtId="168" fontId="31" fillId="0" borderId="0"/>
    <xf numFmtId="168" fontId="31" fillId="0" borderId="0"/>
    <xf numFmtId="168" fontId="27" fillId="0" borderId="0"/>
    <xf numFmtId="168" fontId="32" fillId="0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14" fillId="44" borderId="12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22" borderId="4"/>
    <xf numFmtId="44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0" fontId="7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27" fillId="25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0" fontId="5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1" fillId="0" borderId="0"/>
    <xf numFmtId="165" fontId="1" fillId="0" borderId="0"/>
    <xf numFmtId="168" fontId="19" fillId="0" borderId="0"/>
    <xf numFmtId="168" fontId="13" fillId="0" borderId="2"/>
    <xf numFmtId="168" fontId="5" fillId="0" borderId="0"/>
    <xf numFmtId="165" fontId="1" fillId="0" borderId="0"/>
    <xf numFmtId="165" fontId="1" fillId="0" borderId="0"/>
    <xf numFmtId="168" fontId="1" fillId="0" borderId="0"/>
    <xf numFmtId="168" fontId="10" fillId="0" borderId="0"/>
    <xf numFmtId="165" fontId="1" fillId="0" borderId="0"/>
    <xf numFmtId="165" fontId="1" fillId="0" borderId="0"/>
    <xf numFmtId="165" fontId="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0" fillId="0" borderId="16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0" fontId="5" fillId="0" borderId="0"/>
    <xf numFmtId="168" fontId="30" fillId="0" borderId="16"/>
    <xf numFmtId="168" fontId="1" fillId="0" borderId="0"/>
    <xf numFmtId="165" fontId="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1" fillId="0" borderId="0"/>
    <xf numFmtId="165" fontId="1" fillId="0" borderId="0"/>
    <xf numFmtId="165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165" fontId="1" fillId="0" borderId="0"/>
    <xf numFmtId="168" fontId="30" fillId="0" borderId="16"/>
    <xf numFmtId="0" fontId="5" fillId="0" borderId="0"/>
    <xf numFmtId="0" fontId="5" fillId="0" borderId="0"/>
    <xf numFmtId="168" fontId="30" fillId="0" borderId="16"/>
    <xf numFmtId="168" fontId="1" fillId="0" borderId="0"/>
    <xf numFmtId="165" fontId="1" fillId="0" borderId="0"/>
    <xf numFmtId="165" fontId="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168" fontId="5" fillId="0" borderId="0"/>
    <xf numFmtId="168" fontId="30" fillId="0" borderId="16"/>
    <xf numFmtId="0" fontId="5" fillId="0" borderId="0"/>
    <xf numFmtId="0" fontId="5" fillId="0" borderId="0"/>
    <xf numFmtId="168" fontId="30" fillId="0" borderId="16"/>
    <xf numFmtId="168" fontId="30" fillId="0" borderId="16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44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0" fontId="33" fillId="0" borderId="0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4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44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4" fontId="5" fillId="0" borderId="0"/>
    <xf numFmtId="168" fontId="5" fillId="0" borderId="0"/>
    <xf numFmtId="168" fontId="5" fillId="24" borderId="8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5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44" fontId="5" fillId="0" borderId="0"/>
    <xf numFmtId="168" fontId="5" fillId="0" borderId="0"/>
    <xf numFmtId="168" fontId="5" fillId="0" borderId="0"/>
    <xf numFmtId="168" fontId="5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22" borderId="4"/>
    <xf numFmtId="44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</cellStyleXfs>
  <cellXfs count="54">
    <xf numFmtId="168" fontId="0" fillId="0" borderId="0" xfId="0"/>
    <xf numFmtId="4" fontId="0" fillId="46" borderId="0" xfId="0" applyNumberFormat="1" applyFill="1"/>
    <xf numFmtId="10" fontId="46" fillId="46" borderId="0" xfId="31499" applyNumberFormat="1" applyFont="1" applyFill="1"/>
    <xf numFmtId="10" fontId="0" fillId="46" borderId="0" xfId="31499" applyNumberFormat="1" applyFont="1" applyFill="1"/>
    <xf numFmtId="15" fontId="2" fillId="46" borderId="0" xfId="0" applyNumberFormat="1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0" fontId="47" fillId="46" borderId="0" xfId="31499" applyNumberFormat="1" applyFont="1" applyFill="1"/>
    <xf numFmtId="10" fontId="47" fillId="46" borderId="27" xfId="31499" applyNumberFormat="1" applyFont="1" applyFill="1" applyBorder="1"/>
    <xf numFmtId="10" fontId="47" fillId="46" borderId="24" xfId="31499" applyNumberFormat="1" applyFont="1" applyFill="1" applyBorder="1"/>
    <xf numFmtId="10" fontId="47" fillId="46" borderId="23" xfId="31499" applyNumberFormat="1" applyFont="1" applyFill="1" applyBorder="1"/>
    <xf numFmtId="10" fontId="47" fillId="46" borderId="26" xfId="31499" applyNumberFormat="1" applyFont="1" applyFill="1" applyBorder="1"/>
    <xf numFmtId="0" fontId="0" fillId="46" borderId="0" xfId="0" applyNumberFormat="1" applyFill="1"/>
    <xf numFmtId="10" fontId="47" fillId="46" borderId="28" xfId="31499" applyNumberFormat="1" applyFont="1" applyFill="1" applyBorder="1"/>
    <xf numFmtId="168" fontId="0" fillId="46" borderId="0" xfId="0" applyFill="1"/>
    <xf numFmtId="168" fontId="2" fillId="46" borderId="0" xfId="0" applyFont="1" applyFill="1"/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68" fontId="2" fillId="46" borderId="0" xfId="0" applyFont="1" applyFill="1" applyAlignment="1">
      <alignment horizontal="right"/>
    </xf>
    <xf numFmtId="174" fontId="0" fillId="46" borderId="0" xfId="0" applyNumberFormat="1" applyFill="1"/>
    <xf numFmtId="175" fontId="0" fillId="46" borderId="0" xfId="43807" applyNumberFormat="1" applyFont="1" applyFill="1"/>
    <xf numFmtId="170" fontId="2" fillId="48" borderId="0" xfId="31498" applyNumberFormat="1" applyFont="1" applyFill="1" applyAlignment="1">
      <alignment horizontal="right"/>
    </xf>
    <xf numFmtId="168" fontId="48" fillId="46" borderId="0" xfId="0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5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6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71" fontId="0" fillId="46" borderId="23" xfId="0" applyNumberFormat="1" applyFill="1" applyBorder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Alignment="1">
      <alignment horizontal="center"/>
    </xf>
    <xf numFmtId="168" fontId="2" fillId="47" borderId="24" xfId="0" applyFont="1" applyFill="1" applyBorder="1" applyAlignment="1">
      <alignment horizontal="center"/>
    </xf>
    <xf numFmtId="171" fontId="47" fillId="46" borderId="23" xfId="0" applyNumberFormat="1" applyFont="1" applyFill="1" applyBorder="1"/>
    <xf numFmtId="169" fontId="47" fillId="46" borderId="23" xfId="0" applyNumberFormat="1" applyFont="1" applyFill="1" applyBorder="1"/>
    <xf numFmtId="169" fontId="47" fillId="46" borderId="0" xfId="0" applyNumberFormat="1" applyFont="1" applyFill="1"/>
    <xf numFmtId="172" fontId="47" fillId="46" borderId="0" xfId="31498" applyNumberFormat="1" applyFont="1" applyFill="1"/>
    <xf numFmtId="172" fontId="47" fillId="46" borderId="0" xfId="31499" applyNumberFormat="1" applyFont="1" applyFill="1"/>
    <xf numFmtId="172" fontId="47" fillId="46" borderId="24" xfId="31499" applyNumberFormat="1" applyFont="1" applyFill="1" applyBorder="1"/>
    <xf numFmtId="166" fontId="47" fillId="46" borderId="0" xfId="0" applyNumberFormat="1" applyFont="1" applyFill="1"/>
    <xf numFmtId="165" fontId="47" fillId="46" borderId="0" xfId="31498" applyFont="1" applyFill="1"/>
    <xf numFmtId="173" fontId="47" fillId="46" borderId="0" xfId="31498" applyNumberFormat="1" applyFont="1" applyFill="1"/>
    <xf numFmtId="172" fontId="47" fillId="49" borderId="0" xfId="31499" applyNumberFormat="1" applyFont="1" applyFill="1"/>
    <xf numFmtId="165" fontId="47" fillId="46" borderId="24" xfId="31498" applyFont="1" applyFill="1" applyBorder="1"/>
    <xf numFmtId="166" fontId="47" fillId="49" borderId="0" xfId="0" applyNumberFormat="1" applyFont="1" applyFill="1"/>
    <xf numFmtId="171" fontId="47" fillId="46" borderId="25" xfId="0" applyNumberFormat="1" applyFont="1" applyFill="1" applyBorder="1" applyAlignment="1">
      <alignment horizontal="center"/>
    </xf>
    <xf numFmtId="169" fontId="47" fillId="46" borderId="26" xfId="0" applyNumberFormat="1" applyFont="1" applyFill="1" applyBorder="1"/>
    <xf numFmtId="169" fontId="47" fillId="46" borderId="27" xfId="0" applyNumberFormat="1" applyFont="1" applyFill="1" applyBorder="1"/>
    <xf numFmtId="165" fontId="47" fillId="46" borderId="28" xfId="31499" applyNumberFormat="1" applyFont="1" applyFill="1" applyBorder="1"/>
    <xf numFmtId="171" fontId="0" fillId="46" borderId="0" xfId="0" applyNumberFormat="1" applyFill="1"/>
    <xf numFmtId="169" fontId="46" fillId="46" borderId="0" xfId="0" applyNumberFormat="1" applyFont="1" applyFill="1"/>
  </cellXfs>
  <cellStyles count="43808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" xfId="43807" builtinId="4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4" zoomScaleNormal="100" workbookViewId="0">
      <selection activeCell="U28" sqref="U28"/>
    </sheetView>
  </sheetViews>
  <sheetFormatPr defaultColWidth="9.140625" defaultRowHeight="15"/>
  <cols>
    <col min="1" max="1" width="2" style="13" bestFit="1" customWidth="1"/>
    <col min="2" max="2" width="13" style="13" customWidth="1"/>
    <col min="3" max="4" width="16.140625" style="13" customWidth="1"/>
    <col min="5" max="5" width="16" style="13" customWidth="1"/>
    <col min="6" max="6" width="15.7109375" style="13" customWidth="1"/>
    <col min="7" max="8" width="19" style="13" hidden="1" customWidth="1"/>
    <col min="9" max="9" width="15.28515625" style="13" customWidth="1"/>
    <col min="10" max="10" width="18.28515625" style="13" customWidth="1"/>
    <col min="11" max="16" width="14.85546875" style="13" customWidth="1"/>
    <col min="17" max="17" width="16.5703125" style="13" customWidth="1"/>
    <col min="18" max="26" width="9.140625" style="13" customWidth="1"/>
    <col min="27" max="16384" width="9.140625" style="13"/>
  </cols>
  <sheetData>
    <row r="2" spans="2:17">
      <c r="J2" s="3"/>
      <c r="K2" s="3"/>
      <c r="L2" s="3"/>
      <c r="M2" s="3"/>
      <c r="N2" s="3"/>
      <c r="O2" s="3"/>
      <c r="P2" s="3"/>
      <c r="Q2" s="3"/>
    </row>
    <row r="3" spans="2:17">
      <c r="J3" s="3"/>
      <c r="K3" s="3"/>
      <c r="L3" s="3"/>
      <c r="M3" s="3"/>
      <c r="N3" s="3"/>
      <c r="O3" s="3"/>
      <c r="P3" s="3"/>
      <c r="Q3" s="3"/>
    </row>
    <row r="4" spans="2:17">
      <c r="J4" s="3"/>
      <c r="K4" s="3"/>
      <c r="L4" s="3"/>
      <c r="M4" s="3"/>
      <c r="N4" s="3"/>
      <c r="O4" s="3"/>
      <c r="P4" s="3"/>
      <c r="Q4" s="3"/>
    </row>
    <row r="5" spans="2:17">
      <c r="J5" s="3"/>
      <c r="K5" s="3"/>
      <c r="L5" s="3"/>
      <c r="M5" s="3"/>
      <c r="N5" s="3"/>
      <c r="O5" s="3"/>
      <c r="P5" s="3"/>
      <c r="Q5" s="3"/>
    </row>
    <row r="6" spans="2:17">
      <c r="J6" s="3"/>
      <c r="K6" s="3"/>
      <c r="L6" s="3"/>
      <c r="M6" s="3"/>
      <c r="N6" s="3"/>
      <c r="O6" s="3"/>
      <c r="P6" s="3"/>
      <c r="Q6" s="3"/>
    </row>
    <row r="7" spans="2:17">
      <c r="J7" s="3"/>
      <c r="K7" s="3"/>
      <c r="L7" s="3"/>
      <c r="M7" s="3"/>
      <c r="N7" s="3"/>
      <c r="O7" s="3"/>
      <c r="P7" s="3"/>
      <c r="Q7" s="3"/>
    </row>
    <row r="8" spans="2:17">
      <c r="J8" s="3"/>
      <c r="K8" s="3"/>
      <c r="L8" s="3"/>
      <c r="M8" s="3"/>
      <c r="N8" s="3"/>
      <c r="O8" s="3"/>
      <c r="P8" s="3"/>
      <c r="Q8" s="3" t="s">
        <v>0</v>
      </c>
    </row>
    <row r="9" spans="2:17">
      <c r="B9" s="14" t="s">
        <v>1</v>
      </c>
      <c r="D9" s="15"/>
      <c r="E9" s="16" t="s">
        <v>2</v>
      </c>
      <c r="G9" s="17"/>
      <c r="H9" s="17"/>
      <c r="J9" s="3"/>
      <c r="K9" s="3"/>
      <c r="L9" s="3"/>
      <c r="M9" s="3"/>
      <c r="N9" s="3"/>
      <c r="O9" s="3"/>
      <c r="Q9" s="18">
        <f>E11</f>
        <v>42855</v>
      </c>
    </row>
    <row r="10" spans="2:17">
      <c r="B10" s="14" t="s">
        <v>3</v>
      </c>
      <c r="D10" s="15"/>
      <c r="E10" s="16" t="s">
        <v>4</v>
      </c>
      <c r="G10" s="17"/>
      <c r="H10" s="17"/>
      <c r="J10" s="3"/>
      <c r="K10" s="3"/>
      <c r="L10" s="3"/>
      <c r="M10" s="3"/>
      <c r="N10" s="3"/>
      <c r="O10" s="3"/>
    </row>
    <row r="11" spans="2:17">
      <c r="B11" s="14" t="s">
        <v>5</v>
      </c>
      <c r="D11" s="15"/>
      <c r="E11" s="5">
        <v>42855</v>
      </c>
      <c r="F11" s="19">
        <f>E13-E14</f>
        <v>8516002.2800000012</v>
      </c>
      <c r="G11" s="4"/>
      <c r="H11" s="4"/>
      <c r="P11" s="13" t="s">
        <v>6</v>
      </c>
      <c r="Q11" s="18">
        <v>42419</v>
      </c>
    </row>
    <row r="12" spans="2:17">
      <c r="B12" s="14" t="s">
        <v>7</v>
      </c>
      <c r="D12" s="15"/>
      <c r="E12" s="20">
        <v>10</v>
      </c>
      <c r="G12" s="4"/>
      <c r="H12" s="4"/>
      <c r="P12" s="13" t="s">
        <v>8</v>
      </c>
      <c r="Q12" s="18">
        <v>42779</v>
      </c>
    </row>
    <row r="13" spans="2:17">
      <c r="B13" s="14" t="s">
        <v>9</v>
      </c>
      <c r="D13" s="15"/>
      <c r="E13" s="20">
        <v>10000000</v>
      </c>
      <c r="F13" s="21" t="s">
        <v>10</v>
      </c>
      <c r="G13" s="22"/>
      <c r="H13" s="22"/>
      <c r="Q13" s="11">
        <f>(YEAR(Q11)-YEAR(Q9))*12+MONTH(Q11)-MONTH(Q9)</f>
        <v>-14</v>
      </c>
    </row>
    <row r="14" spans="2:17">
      <c r="B14" s="14" t="s">
        <v>11</v>
      </c>
      <c r="D14" s="15"/>
      <c r="E14" s="20">
        <f>E13-C49</f>
        <v>1483997.7199999988</v>
      </c>
      <c r="G14" s="22"/>
      <c r="H14" s="22"/>
      <c r="Q14" s="11">
        <f>(YEAR(Q12)-YEAR(Q9))*12+MONTH(Q12)-MONTH(Q9)</f>
        <v>-2</v>
      </c>
    </row>
    <row r="15" spans="2:17">
      <c r="B15" s="14"/>
      <c r="C15">
        <v>8516002.9911433607</v>
      </c>
      <c r="D15" s="23">
        <v>8905358.2155440766</v>
      </c>
      <c r="E15">
        <v>92144.67</v>
      </c>
      <c r="F15" s="24">
        <v>6.2365712987244581E-3</v>
      </c>
      <c r="G15" s="24"/>
      <c r="H15" s="24"/>
    </row>
    <row r="16" spans="2:17">
      <c r="B16" s="14"/>
      <c r="D16" s="23"/>
      <c r="F16" s="24"/>
      <c r="G16" s="24" t="s">
        <v>12</v>
      </c>
      <c r="H16" s="24" t="s">
        <v>12</v>
      </c>
    </row>
    <row r="17" spans="2:17">
      <c r="C17" s="25" t="s">
        <v>13</v>
      </c>
      <c r="D17" s="26" t="s">
        <v>13</v>
      </c>
      <c r="E17" s="26" t="s">
        <v>13</v>
      </c>
      <c r="F17" s="26" t="s">
        <v>14</v>
      </c>
      <c r="G17" s="26"/>
      <c r="H17" s="26"/>
      <c r="I17" s="27" t="s">
        <v>15</v>
      </c>
      <c r="J17" s="25" t="s">
        <v>16</v>
      </c>
      <c r="K17" s="26" t="s">
        <v>17</v>
      </c>
      <c r="L17" s="26"/>
      <c r="M17" s="26"/>
      <c r="N17" s="26"/>
      <c r="O17" s="26"/>
      <c r="P17" s="26"/>
      <c r="Q17" s="27" t="s">
        <v>17</v>
      </c>
    </row>
    <row r="18" spans="2:17">
      <c r="B18" s="28" t="s">
        <v>18</v>
      </c>
      <c r="C18" s="29" t="s">
        <v>19</v>
      </c>
      <c r="D18" s="30" t="s">
        <v>20</v>
      </c>
      <c r="E18" s="30" t="s">
        <v>21</v>
      </c>
      <c r="F18" s="30" t="s">
        <v>22</v>
      </c>
      <c r="G18" s="30"/>
      <c r="H18" s="30"/>
      <c r="I18" s="31" t="s">
        <v>23</v>
      </c>
      <c r="J18" s="29" t="s">
        <v>23</v>
      </c>
      <c r="K18" s="30" t="s">
        <v>24</v>
      </c>
      <c r="L18" s="30" t="s">
        <v>25</v>
      </c>
      <c r="M18" s="30"/>
      <c r="N18" s="30"/>
      <c r="O18" s="30"/>
      <c r="P18" s="30"/>
      <c r="Q18" s="31" t="s">
        <v>26</v>
      </c>
    </row>
    <row r="19" spans="2:17" hidden="1">
      <c r="B19" s="32"/>
      <c r="C19" s="33"/>
      <c r="D19" s="34"/>
      <c r="E19" s="34"/>
      <c r="F19" s="34"/>
      <c r="G19" s="34"/>
      <c r="H19" s="34"/>
      <c r="I19" s="35"/>
      <c r="J19" s="33"/>
      <c r="K19" s="34"/>
      <c r="L19" s="34" t="s">
        <v>25</v>
      </c>
      <c r="M19" s="34"/>
      <c r="N19" s="34"/>
      <c r="O19" s="34"/>
      <c r="P19" s="34"/>
      <c r="Q19" s="35"/>
    </row>
    <row r="20" spans="2:17">
      <c r="B20" s="36">
        <v>42035</v>
      </c>
      <c r="C20" s="37">
        <v>2128112</v>
      </c>
      <c r="D20" s="38">
        <v>2247335</v>
      </c>
      <c r="E20" s="38">
        <v>0</v>
      </c>
      <c r="F20" s="6"/>
      <c r="G20" s="39"/>
      <c r="H20" s="40"/>
      <c r="I20" s="41"/>
      <c r="J20" s="9"/>
      <c r="K20" s="6"/>
      <c r="L20" s="42">
        <v>1.01E-4</v>
      </c>
      <c r="M20" s="43">
        <v>100</v>
      </c>
      <c r="N20" s="6">
        <f t="shared" ref="N20:N47" si="0">+M20/100</f>
        <v>1</v>
      </c>
      <c r="O20" s="39">
        <f>COUNT($B$20:B20)/12</f>
        <v>8.3333333333333329E-2</v>
      </c>
      <c r="P20" s="6">
        <f t="shared" ref="P20:P47" si="1">-1+(N20^(1/O20))</f>
        <v>0</v>
      </c>
      <c r="Q20" s="8"/>
    </row>
    <row r="21" spans="2:17">
      <c r="B21" s="36">
        <v>42063</v>
      </c>
      <c r="C21" s="37">
        <f>+C20</f>
        <v>2128112</v>
      </c>
      <c r="D21" s="38">
        <v>2227634.79</v>
      </c>
      <c r="E21" s="38">
        <v>0</v>
      </c>
      <c r="F21" s="6">
        <v>-8.7660299999999993E-3</v>
      </c>
      <c r="G21" s="44">
        <f t="shared" ref="G21:G47" si="2">+F21+1</f>
        <v>0.99123397000000002</v>
      </c>
      <c r="H21" s="45">
        <f>+G21</f>
        <v>0.99123397000000002</v>
      </c>
      <c r="I21" s="8">
        <f t="shared" ref="I21:I47" si="3">+H21-1</f>
        <v>-8.7660299999999802E-3</v>
      </c>
      <c r="J21" s="9">
        <f t="shared" ref="J21:J47" si="4">+(1+I21)^(365/(B21-$B$20))-1</f>
        <v>-0.1084335101040258</v>
      </c>
      <c r="K21" s="6"/>
      <c r="L21" s="42">
        <v>2.03E-4</v>
      </c>
      <c r="M21" s="39">
        <f t="shared" ref="M21:M47" si="5">+M20*(1+(L21*(B21-B20)/365))</f>
        <v>100.00155726027398</v>
      </c>
      <c r="N21" s="6">
        <f t="shared" si="0"/>
        <v>1.0000155726027398</v>
      </c>
      <c r="O21" s="39">
        <f>COUNT($B$20:B21)/12</f>
        <v>0.16666666666666666</v>
      </c>
      <c r="P21" s="6">
        <f t="shared" si="1"/>
        <v>9.34392541036555E-5</v>
      </c>
      <c r="Q21" s="46"/>
    </row>
    <row r="22" spans="2:17">
      <c r="B22" s="36">
        <v>42094</v>
      </c>
      <c r="C22" s="37">
        <f>+C21+230362</f>
        <v>2358474</v>
      </c>
      <c r="D22" s="38">
        <v>2477426.85</v>
      </c>
      <c r="E22" s="38">
        <v>0</v>
      </c>
      <c r="F22" s="6">
        <v>7.1120085999999997E-3</v>
      </c>
      <c r="G22" s="44">
        <f t="shared" si="2"/>
        <v>1.0071120086000001</v>
      </c>
      <c r="H22" s="45">
        <f>+G22*G21</f>
        <v>0.99828363451925217</v>
      </c>
      <c r="I22" s="8">
        <f t="shared" si="3"/>
        <v>-1.7163654807478279E-3</v>
      </c>
      <c r="J22" s="9">
        <f t="shared" si="4"/>
        <v>-1.0571045606717289E-2</v>
      </c>
      <c r="K22" s="6">
        <f>STDEV($F$21:F22)*(12^0.5)</f>
        <v>3.8893092686215373E-2</v>
      </c>
      <c r="L22" s="42">
        <v>1.01E-4</v>
      </c>
      <c r="M22" s="39">
        <f t="shared" si="5"/>
        <v>100.00241508185145</v>
      </c>
      <c r="N22" s="6">
        <f t="shared" si="0"/>
        <v>1.0000241508185146</v>
      </c>
      <c r="O22" s="39">
        <f>COUNT($B$20:B22)/12</f>
        <v>0.25</v>
      </c>
      <c r="P22" s="6">
        <f t="shared" si="1"/>
        <v>9.6606773686946923E-5</v>
      </c>
      <c r="Q22" s="46">
        <f t="shared" ref="Q22:Q47" si="6">+(J22-P22)/K22</f>
        <v>-0.27428141203553869</v>
      </c>
    </row>
    <row r="23" spans="2:17">
      <c r="B23" s="36">
        <v>42124</v>
      </c>
      <c r="C23" s="37">
        <f>+C22+1343776.4</f>
        <v>3702250.4</v>
      </c>
      <c r="D23" s="38">
        <v>3897331.38</v>
      </c>
      <c r="E23" s="38">
        <v>0</v>
      </c>
      <c r="F23" s="6">
        <v>1.9922599999999999E-2</v>
      </c>
      <c r="G23" s="44">
        <f t="shared" si="2"/>
        <v>1.0199225999999999</v>
      </c>
      <c r="H23" s="45">
        <f>+G23*G22*G21</f>
        <v>1.0181720400563254</v>
      </c>
      <c r="I23" s="8">
        <f t="shared" si="3"/>
        <v>1.8172040056325445E-2</v>
      </c>
      <c r="J23" s="9">
        <f t="shared" si="4"/>
        <v>7.6652545318453003E-2</v>
      </c>
      <c r="K23" s="6">
        <f>STDEV($F$21:F23)*(12^0.5)</f>
        <v>4.9784753752082453E-2</v>
      </c>
      <c r="L23" s="42">
        <v>-1.5200000000000001E-4</v>
      </c>
      <c r="M23" s="39">
        <f t="shared" si="5"/>
        <v>100.00116573661097</v>
      </c>
      <c r="N23" s="6">
        <f t="shared" si="0"/>
        <v>1.0000116573661098</v>
      </c>
      <c r="O23" s="39">
        <f>COUNT($B$20:B23)/12</f>
        <v>0.33333333333333331</v>
      </c>
      <c r="P23" s="6">
        <f t="shared" si="1"/>
        <v>3.4972506013364324E-5</v>
      </c>
      <c r="Q23" s="46">
        <f t="shared" si="6"/>
        <v>1.5389766351758805</v>
      </c>
    </row>
    <row r="24" spans="2:17">
      <c r="B24" s="36">
        <v>42155</v>
      </c>
      <c r="C24" s="37">
        <f>+C23+1207671</f>
        <v>4909921.4000000004</v>
      </c>
      <c r="D24" s="38">
        <v>5117920.47</v>
      </c>
      <c r="E24" s="38">
        <v>0</v>
      </c>
      <c r="F24" s="6">
        <v>2.5304680000000001E-3</v>
      </c>
      <c r="G24" s="44">
        <f t="shared" si="2"/>
        <v>1.002530468</v>
      </c>
      <c r="H24" s="45">
        <f>+G24*G23*G22*G21</f>
        <v>1.0207484918221825</v>
      </c>
      <c r="I24" s="8">
        <f t="shared" si="3"/>
        <v>2.0748491822182524E-2</v>
      </c>
      <c r="J24" s="9">
        <f t="shared" si="4"/>
        <v>6.4456345371344037E-2</v>
      </c>
      <c r="K24" s="6">
        <f>STDEV($F$21:F24)*(12^0.5)</f>
        <v>4.1113847909392036E-2</v>
      </c>
      <c r="L24" s="42">
        <v>0</v>
      </c>
      <c r="M24" s="39">
        <f t="shared" si="5"/>
        <v>100.00116573661097</v>
      </c>
      <c r="N24" s="6">
        <f t="shared" si="0"/>
        <v>1.0000116573661098</v>
      </c>
      <c r="O24" s="39">
        <f>COUNT($B$20:B24)/12</f>
        <v>0.41666666666666669</v>
      </c>
      <c r="P24" s="6">
        <f t="shared" si="1"/>
        <v>2.7977906966070165E-5</v>
      </c>
      <c r="Q24" s="46">
        <f t="shared" si="6"/>
        <v>1.5670721846898688</v>
      </c>
    </row>
    <row r="25" spans="2:17">
      <c r="B25" s="36">
        <v>42185</v>
      </c>
      <c r="C25" s="37">
        <f>+C24</f>
        <v>4909921.4000000004</v>
      </c>
      <c r="D25" s="38">
        <v>5131274.72</v>
      </c>
      <c r="E25" s="38">
        <v>35322.120000000003</v>
      </c>
      <c r="F25" s="6">
        <v>9.5770639999999997E-3</v>
      </c>
      <c r="G25" s="44">
        <f t="shared" si="2"/>
        <v>1.0095770639999999</v>
      </c>
      <c r="H25" s="45">
        <f>+G25*G24*G23*G22*G21</f>
        <v>1.0305242654562672</v>
      </c>
      <c r="I25" s="8">
        <f t="shared" si="3"/>
        <v>3.0524265456267186E-2</v>
      </c>
      <c r="J25" s="9">
        <f t="shared" si="4"/>
        <v>7.5907680876957206E-2</v>
      </c>
      <c r="K25" s="6">
        <f>STDEV($F$21:F25)*(12^0.5)</f>
        <v>3.6245651180650935E-2</v>
      </c>
      <c r="L25" s="42">
        <v>-1E-4</v>
      </c>
      <c r="M25" s="39">
        <f t="shared" si="5"/>
        <v>100.00034380922135</v>
      </c>
      <c r="N25" s="6">
        <f t="shared" si="0"/>
        <v>1.0000034380922136</v>
      </c>
      <c r="O25" s="39">
        <f>COUNT($B$20:B25)/12</f>
        <v>0.5</v>
      </c>
      <c r="P25" s="6">
        <f t="shared" si="1"/>
        <v>6.8761962477292826E-6</v>
      </c>
      <c r="Q25" s="46">
        <f t="shared" si="6"/>
        <v>2.0940665213162926</v>
      </c>
    </row>
    <row r="26" spans="2:17">
      <c r="B26" s="36">
        <v>42216</v>
      </c>
      <c r="C26" s="37">
        <f>+C25</f>
        <v>4909921.4000000004</v>
      </c>
      <c r="D26" s="38">
        <v>5164289.33</v>
      </c>
      <c r="E26" s="38">
        <v>0</v>
      </c>
      <c r="F26" s="6">
        <v>6.43E-3</v>
      </c>
      <c r="G26" s="44">
        <f t="shared" si="2"/>
        <v>1.0064299999999999</v>
      </c>
      <c r="H26" s="45">
        <f>+G26*G25*G24*G23*G22*G21</f>
        <v>1.0371505364831506</v>
      </c>
      <c r="I26" s="8">
        <f t="shared" si="3"/>
        <v>3.7150536483150587E-2</v>
      </c>
      <c r="J26" s="9">
        <f t="shared" si="4"/>
        <v>7.6331780830047435E-2</v>
      </c>
      <c r="K26" s="6">
        <f>STDEV($F$21:F26)*(12^0.5)</f>
        <v>3.2422978245309486E-2</v>
      </c>
      <c r="L26" s="42">
        <v>2.0000000000000001E-4</v>
      </c>
      <c r="M26" s="39">
        <f t="shared" si="5"/>
        <v>100.00204244519838</v>
      </c>
      <c r="N26" s="6">
        <f t="shared" si="0"/>
        <v>1.0000204244519839</v>
      </c>
      <c r="O26" s="39">
        <f>COUNT($B$20:B26)/12</f>
        <v>0.58333333333333337</v>
      </c>
      <c r="P26" s="6">
        <f t="shared" si="1"/>
        <v>3.5013601660693894E-5</v>
      </c>
      <c r="Q26" s="46">
        <f t="shared" si="6"/>
        <v>2.3531696148062622</v>
      </c>
    </row>
    <row r="27" spans="2:17">
      <c r="B27" s="36">
        <v>42247</v>
      </c>
      <c r="C27" s="37">
        <f>+C26+222682.95</f>
        <v>5132604.3500000006</v>
      </c>
      <c r="D27" s="38">
        <v>5401239</v>
      </c>
      <c r="E27" s="38">
        <v>28027.34</v>
      </c>
      <c r="F27" s="6">
        <v>7.89224E-3</v>
      </c>
      <c r="G27" s="44">
        <f t="shared" si="2"/>
        <v>1.0078922400000001</v>
      </c>
      <c r="H27" s="45">
        <f>+G27*G26*G25*G24*G23*G22*G21</f>
        <v>1.0453359774332047</v>
      </c>
      <c r="I27" s="8">
        <f t="shared" si="3"/>
        <v>4.5335977433204722E-2</v>
      </c>
      <c r="J27" s="9">
        <f t="shared" si="4"/>
        <v>7.9326506925002205E-2</v>
      </c>
      <c r="K27" s="6">
        <f>STDEV($F$21:F27)*(12^0.5)</f>
        <v>2.9687349179686129E-2</v>
      </c>
      <c r="L27" s="42">
        <v>0</v>
      </c>
      <c r="M27" s="39">
        <f t="shared" si="5"/>
        <v>100.00204244519838</v>
      </c>
      <c r="N27" s="6">
        <f t="shared" si="0"/>
        <v>1.0000204244519839</v>
      </c>
      <c r="O27" s="39">
        <f>COUNT($B$20:B27)/12</f>
        <v>0.66666666666666663</v>
      </c>
      <c r="P27" s="6">
        <f t="shared" si="1"/>
        <v>3.063683440962528E-5</v>
      </c>
      <c r="Q27" s="46">
        <f t="shared" si="6"/>
        <v>2.6710323515462804</v>
      </c>
    </row>
    <row r="28" spans="2:17">
      <c r="B28" s="36">
        <v>42277</v>
      </c>
      <c r="C28" s="37">
        <f>+C27</f>
        <v>5132604.3500000006</v>
      </c>
      <c r="D28" s="38">
        <v>5510249.5800000001</v>
      </c>
      <c r="E28" s="38">
        <v>0</v>
      </c>
      <c r="F28" s="6">
        <v>2.0182513999999999E-2</v>
      </c>
      <c r="G28" s="44">
        <f t="shared" si="2"/>
        <v>1.020182514</v>
      </c>
      <c r="H28" s="45">
        <f>+G28*G27*G26*G25*G24*G23*G22*G21</f>
        <v>1.0664334854324538</v>
      </c>
      <c r="I28" s="8">
        <f t="shared" si="3"/>
        <v>6.6433485432453754E-2</v>
      </c>
      <c r="J28" s="9">
        <f t="shared" si="4"/>
        <v>0.10187293940320963</v>
      </c>
      <c r="K28" s="6">
        <f>STDEV($F$21:F28)*(12^0.5)</f>
        <v>3.2264073656858155E-2</v>
      </c>
      <c r="L28" s="42">
        <v>-2.0000000000000001E-4</v>
      </c>
      <c r="M28" s="39">
        <f t="shared" si="5"/>
        <v>100.0003985760075</v>
      </c>
      <c r="N28" s="6">
        <f t="shared" si="0"/>
        <v>1.0000039857600749</v>
      </c>
      <c r="O28" s="39">
        <f>COUNT($B$20:B28)/12</f>
        <v>0.75</v>
      </c>
      <c r="P28" s="6">
        <f t="shared" si="1"/>
        <v>5.314350296714565E-6</v>
      </c>
      <c r="Q28" s="46">
        <f t="shared" si="6"/>
        <v>3.1573082226478117</v>
      </c>
    </row>
    <row r="29" spans="2:17">
      <c r="B29" s="36">
        <v>42308</v>
      </c>
      <c r="C29" s="37">
        <f>+C28</f>
        <v>5132604.3500000006</v>
      </c>
      <c r="D29" s="38">
        <v>5503517.75</v>
      </c>
      <c r="E29" s="38">
        <v>49758.12</v>
      </c>
      <c r="F29" s="6">
        <v>7.8795600000000007E-3</v>
      </c>
      <c r="G29" s="44">
        <f t="shared" si="2"/>
        <v>1.0078795599999999</v>
      </c>
      <c r="H29" s="45">
        <f>+G29*G28*G27*G26*G25*G24*G23*G22*G21</f>
        <v>1.0748365120669281</v>
      </c>
      <c r="I29" s="8">
        <f t="shared" si="3"/>
        <v>7.4836512066928096E-2</v>
      </c>
      <c r="J29" s="9">
        <f t="shared" si="4"/>
        <v>0.10129758943540113</v>
      </c>
      <c r="K29" s="6">
        <f>STDEV($F$21:F29)*(12^0.5)</f>
        <v>3.0181451467826838E-2</v>
      </c>
      <c r="L29" s="42">
        <v>0</v>
      </c>
      <c r="M29" s="39">
        <f t="shared" si="5"/>
        <v>100.0003985760075</v>
      </c>
      <c r="N29" s="6">
        <f t="shared" si="0"/>
        <v>1.0000039857600749</v>
      </c>
      <c r="O29" s="39">
        <f>COUNT($B$20:B29)/12</f>
        <v>0.83333333333333337</v>
      </c>
      <c r="P29" s="6">
        <f t="shared" si="1"/>
        <v>4.7829139961930167E-6</v>
      </c>
      <c r="Q29" s="46">
        <f t="shared" si="6"/>
        <v>3.3561277405555585</v>
      </c>
    </row>
    <row r="30" spans="2:17">
      <c r="B30" s="36">
        <v>42338</v>
      </c>
      <c r="C30" s="37">
        <f>+C29+299470.17</f>
        <v>5432074.5200000005</v>
      </c>
      <c r="D30" s="38">
        <v>5809986.9199999999</v>
      </c>
      <c r="E30" s="38">
        <v>0</v>
      </c>
      <c r="F30" s="6">
        <v>1.2061026999999999E-3</v>
      </c>
      <c r="G30" s="44">
        <f t="shared" si="2"/>
        <v>1.0012061027000001</v>
      </c>
      <c r="H30" s="45">
        <f>+G30*G29*G28*G27*G26*G25*G24*G23*G22*G21</f>
        <v>1.0761328752861909</v>
      </c>
      <c r="I30" s="8">
        <f t="shared" si="3"/>
        <v>7.6132875286190949E-2</v>
      </c>
      <c r="J30" s="9">
        <f t="shared" si="4"/>
        <v>9.2411627454586309E-2</v>
      </c>
      <c r="K30" s="6">
        <f>STDEV($F$21:F30)*(12^0.5)</f>
        <v>2.9436055424567842E-2</v>
      </c>
      <c r="L30" s="42">
        <v>9.1500000000000001E-4</v>
      </c>
      <c r="M30" s="39">
        <f t="shared" si="5"/>
        <v>100.00791915392779</v>
      </c>
      <c r="N30" s="6">
        <f t="shared" si="0"/>
        <v>1.0000791915392779</v>
      </c>
      <c r="O30" s="39">
        <f>COUNT($B$20:B30)/12</f>
        <v>0.91666666666666663</v>
      </c>
      <c r="P30" s="6">
        <f t="shared" si="1"/>
        <v>8.6391081087544563E-5</v>
      </c>
      <c r="Q30" s="46">
        <f t="shared" si="6"/>
        <v>3.1364676768627948</v>
      </c>
    </row>
    <row r="31" spans="2:17">
      <c r="B31" s="36">
        <v>42369</v>
      </c>
      <c r="C31" s="37">
        <f>+C30+1429394.15</f>
        <v>6861468.6699999999</v>
      </c>
      <c r="D31" s="38">
        <v>7238547.4199999999</v>
      </c>
      <c r="E31" s="38">
        <v>0</v>
      </c>
      <c r="F31" s="6">
        <v>-1.1514999999999999E-4</v>
      </c>
      <c r="G31" s="44">
        <f t="shared" si="2"/>
        <v>0.99988485000000005</v>
      </c>
      <c r="H31" s="45">
        <f>+G31*G30*G29*G28*G27*G26*G25*G24*G23*G22*G21</f>
        <v>1.0760089585856014</v>
      </c>
      <c r="I31" s="8">
        <f t="shared" si="3"/>
        <v>7.6008958585601416E-2</v>
      </c>
      <c r="J31" s="9">
        <f t="shared" si="4"/>
        <v>8.3350177302049744E-2</v>
      </c>
      <c r="K31" s="6">
        <f>STDEV($F$21:F31)*(12^0.5)</f>
        <v>2.9006725892046767E-2</v>
      </c>
      <c r="L31" s="42">
        <v>1.2199999999999999E-3</v>
      </c>
      <c r="M31" s="39">
        <f t="shared" si="5"/>
        <v>100.01828161831793</v>
      </c>
      <c r="N31" s="6">
        <f t="shared" si="0"/>
        <v>1.0001828161831794</v>
      </c>
      <c r="O31" s="39">
        <f>COUNT($B$20:B31)/12</f>
        <v>1</v>
      </c>
      <c r="P31" s="6">
        <f t="shared" si="1"/>
        <v>1.8281618317939063E-4</v>
      </c>
      <c r="Q31" s="46">
        <f t="shared" si="6"/>
        <v>2.8671750623766079</v>
      </c>
    </row>
    <row r="32" spans="2:17">
      <c r="B32" s="36">
        <v>42400</v>
      </c>
      <c r="C32" s="37">
        <f>+C31</f>
        <v>6861468.6699999999</v>
      </c>
      <c r="D32" s="38">
        <v>7217462.54</v>
      </c>
      <c r="E32" s="38">
        <v>59126.16</v>
      </c>
      <c r="F32" s="6">
        <v>5.2986550000000002E-3</v>
      </c>
      <c r="G32" s="44">
        <f t="shared" si="2"/>
        <v>1.005298655</v>
      </c>
      <c r="H32" s="45">
        <f>+G32*G31*G30*G29*G28*G27*G26*G25*G24*G23*G22*G21</f>
        <v>1.0817103588340562</v>
      </c>
      <c r="I32" s="8">
        <f t="shared" si="3"/>
        <v>8.1710358834056196E-2</v>
      </c>
      <c r="J32" s="9">
        <f t="shared" si="4"/>
        <v>8.1710358834056196E-2</v>
      </c>
      <c r="K32" s="6">
        <f>STDEV($F$21:F32)*(12^0.5)</f>
        <v>2.7693007424745824E-2</v>
      </c>
      <c r="L32" s="42">
        <v>2.186E-3</v>
      </c>
      <c r="M32" s="39">
        <f t="shared" si="5"/>
        <v>100.03685103988546</v>
      </c>
      <c r="N32" s="6">
        <f t="shared" si="0"/>
        <v>1.0003685103988547</v>
      </c>
      <c r="O32" s="39">
        <f>COUNT($B$20:B32)/12</f>
        <v>1.0833333333333333</v>
      </c>
      <c r="P32" s="6">
        <f t="shared" si="1"/>
        <v>3.4015862443559364E-4</v>
      </c>
      <c r="Q32" s="46">
        <f t="shared" si="6"/>
        <v>2.9382940957474375</v>
      </c>
    </row>
    <row r="33" spans="2:17">
      <c r="B33" s="36">
        <v>42429</v>
      </c>
      <c r="C33" s="37">
        <f>+C32+203639.71</f>
        <v>7065108.3799999999</v>
      </c>
      <c r="D33" s="38">
        <v>7428317.4400000004</v>
      </c>
      <c r="E33" s="38">
        <v>0</v>
      </c>
      <c r="F33" s="6">
        <v>9.7230000000000005E-4</v>
      </c>
      <c r="G33" s="44">
        <f t="shared" si="2"/>
        <v>1.0009722999999999</v>
      </c>
      <c r="H33" s="45">
        <f>+G33*G32*G31*G30*G29*G28*G27*G26*G25*G24*G23*G22*G21</f>
        <v>1.0827621058159507</v>
      </c>
      <c r="I33" s="8">
        <f t="shared" si="3"/>
        <v>8.2762105815950671E-2</v>
      </c>
      <c r="J33" s="9">
        <f t="shared" si="4"/>
        <v>7.6443588800199525E-2</v>
      </c>
      <c r="K33" s="6">
        <f>STDEV($F$21:F33)*(12^0.5)</f>
        <v>2.7058928935536068E-2</v>
      </c>
      <c r="L33" s="42">
        <v>2.186E-3</v>
      </c>
      <c r="M33" s="39">
        <f t="shared" si="5"/>
        <v>100.05422565943292</v>
      </c>
      <c r="N33" s="6">
        <f t="shared" si="0"/>
        <v>1.0005422565943292</v>
      </c>
      <c r="O33" s="39">
        <f>COUNT($B$20:B33)/12</f>
        <v>1.1666666666666667</v>
      </c>
      <c r="P33" s="6">
        <f t="shared" si="1"/>
        <v>4.6477336770101019E-4</v>
      </c>
      <c r="Q33" s="46">
        <f t="shared" si="6"/>
        <v>2.8079018062210408</v>
      </c>
    </row>
    <row r="34" spans="2:17">
      <c r="B34" s="36">
        <v>42460</v>
      </c>
      <c r="C34" s="37">
        <f t="shared" ref="C34:C42" si="7">+C33</f>
        <v>7065108.3799999999</v>
      </c>
      <c r="D34" s="38">
        <v>7544322.1900000004</v>
      </c>
      <c r="E34" s="38">
        <v>0</v>
      </c>
      <c r="F34" s="6">
        <v>1.56166E-2</v>
      </c>
      <c r="G34" s="44">
        <f t="shared" si="2"/>
        <v>1.0156166</v>
      </c>
      <c r="H34" s="45">
        <f>+G34*G33*G32*G31*G30*G29*G28*G27*G26*G25*G24*G23*G22*G21</f>
        <v>1.0996711685176359</v>
      </c>
      <c r="I34" s="8">
        <f t="shared" si="3"/>
        <v>9.9671168517635911E-2</v>
      </c>
      <c r="J34" s="9">
        <f t="shared" si="4"/>
        <v>8.5019383583412989E-2</v>
      </c>
      <c r="K34" s="6">
        <f>STDEV($F$21:F34)*(12^0.5)</f>
        <v>2.7431056126754772E-2</v>
      </c>
      <c r="L34" s="42">
        <v>1.678E-3</v>
      </c>
      <c r="M34" s="39">
        <f t="shared" si="5"/>
        <v>100.06848489425579</v>
      </c>
      <c r="N34" s="6">
        <f t="shared" si="0"/>
        <v>1.0006848489425579</v>
      </c>
      <c r="O34" s="39">
        <f>COUNT($B$20:B34)/12</f>
        <v>1.25</v>
      </c>
      <c r="P34" s="6">
        <f t="shared" si="1"/>
        <v>5.4784164287524639E-4</v>
      </c>
      <c r="Q34" s="46">
        <f t="shared" si="6"/>
        <v>3.079412675553121</v>
      </c>
    </row>
    <row r="35" spans="2:17">
      <c r="B35" s="36">
        <v>42490</v>
      </c>
      <c r="C35" s="37">
        <f t="shared" si="7"/>
        <v>7065108.3799999999</v>
      </c>
      <c r="D35" s="38">
        <v>7352516.8200000003</v>
      </c>
      <c r="E35" s="38">
        <v>276817.94</v>
      </c>
      <c r="F35" s="6">
        <v>1.1697600000000001E-2</v>
      </c>
      <c r="G35" s="44">
        <f t="shared" si="2"/>
        <v>1.0116976</v>
      </c>
      <c r="H35" s="45">
        <f>+G35*G34*G33*G32*G31*G30*G29*G28*G27*G26*G25*G24*G23*G22*G21</f>
        <v>1.1125346819784869</v>
      </c>
      <c r="I35" s="8">
        <f t="shared" si="3"/>
        <v>0.11253468197848693</v>
      </c>
      <c r="J35" s="9">
        <f t="shared" si="4"/>
        <v>8.9312870184204973E-2</v>
      </c>
      <c r="K35" s="6">
        <f>STDEV($F$21:F35)*(12^0.5)</f>
        <v>2.6788135701128681E-2</v>
      </c>
      <c r="L35" s="42">
        <v>1.5250000000000001E-3</v>
      </c>
      <c r="M35" s="39">
        <f t="shared" si="5"/>
        <v>100.08102772489664</v>
      </c>
      <c r="N35" s="6">
        <f t="shared" si="0"/>
        <v>1.0008102772489664</v>
      </c>
      <c r="O35" s="39">
        <f>COUNT($B$20:B35)/12</f>
        <v>1.3333333333333333</v>
      </c>
      <c r="P35" s="6">
        <f t="shared" si="1"/>
        <v>6.0764640600674547E-4</v>
      </c>
      <c r="Q35" s="46">
        <f t="shared" si="6"/>
        <v>3.3113623421901943</v>
      </c>
    </row>
    <row r="36" spans="2:17">
      <c r="B36" s="36">
        <v>42521</v>
      </c>
      <c r="C36" s="37">
        <f t="shared" si="7"/>
        <v>7065108.3799999999</v>
      </c>
      <c r="D36" s="38">
        <v>7627502.25</v>
      </c>
      <c r="E36" s="38">
        <v>0</v>
      </c>
      <c r="F36" s="6">
        <v>3.7400179999999998E-2</v>
      </c>
      <c r="G36" s="44">
        <f t="shared" si="2"/>
        <v>1.0374001799999999</v>
      </c>
      <c r="H36" s="45">
        <f>+G36*G35*G34*G33*G32*G31*G30*G29*G28*G27*G26*G25*G24*G23*G22*G21</f>
        <v>1.1541436793407249</v>
      </c>
      <c r="I36" s="8">
        <f t="shared" si="3"/>
        <v>0.15414367934072493</v>
      </c>
      <c r="J36" s="9">
        <f t="shared" si="4"/>
        <v>0.11367625872515585</v>
      </c>
      <c r="K36" s="6">
        <f>STDEV($F$21:F36)*(12^0.5)</f>
        <v>3.6817181156712162E-2</v>
      </c>
      <c r="L36" s="42">
        <v>1.7799999999999999E-3</v>
      </c>
      <c r="M36" s="39">
        <f t="shared" si="5"/>
        <v>100.09615778273186</v>
      </c>
      <c r="N36" s="6">
        <f t="shared" si="0"/>
        <v>1.0009615778273186</v>
      </c>
      <c r="O36" s="39">
        <f>COUNT($B$20:B36)/12</f>
        <v>1.4166666666666667</v>
      </c>
      <c r="P36" s="6">
        <f t="shared" si="1"/>
        <v>6.7866487652312735E-4</v>
      </c>
      <c r="Q36" s="46">
        <f t="shared" si="6"/>
        <v>3.0691538650843202</v>
      </c>
    </row>
    <row r="37" spans="2:17">
      <c r="B37" s="36">
        <v>42551</v>
      </c>
      <c r="C37" s="37">
        <f t="shared" si="7"/>
        <v>7065108.3799999999</v>
      </c>
      <c r="D37" s="38">
        <v>7659344.96</v>
      </c>
      <c r="E37" s="38">
        <v>0</v>
      </c>
      <c r="F37" s="6">
        <v>4.1746999999999999E-3</v>
      </c>
      <c r="G37" s="44">
        <f t="shared" si="2"/>
        <v>1.0041747000000001</v>
      </c>
      <c r="H37" s="45">
        <f>+G37*G36*G35*G34*G33*G32*G31*G30*G29*G28*G27*G26*G25*G24*G23*G22*G21</f>
        <v>1.1589618829588699</v>
      </c>
      <c r="I37" s="8">
        <f t="shared" si="3"/>
        <v>0.15896188295886993</v>
      </c>
      <c r="J37" s="9">
        <f t="shared" si="4"/>
        <v>0.10999298467876062</v>
      </c>
      <c r="K37" s="6">
        <f>STDEV($F$21:F37)*(12^0.5)</f>
        <v>3.5882856254697865E-2</v>
      </c>
      <c r="L37" s="42">
        <v>1.6800000000000001E-3</v>
      </c>
      <c r="M37" s="39">
        <f t="shared" si="5"/>
        <v>100.10997927958735</v>
      </c>
      <c r="N37" s="6">
        <f t="shared" si="0"/>
        <v>1.0010997927958736</v>
      </c>
      <c r="O37" s="39">
        <f>COUNT($B$20:B37)/12</f>
        <v>1.5</v>
      </c>
      <c r="P37" s="6">
        <f t="shared" si="1"/>
        <v>7.3306086909896706E-4</v>
      </c>
      <c r="Q37" s="46">
        <f t="shared" si="6"/>
        <v>3.0449059861380765</v>
      </c>
    </row>
    <row r="38" spans="2:17">
      <c r="B38" s="36">
        <v>42582</v>
      </c>
      <c r="C38" s="37">
        <f t="shared" si="7"/>
        <v>7065108.3799999999</v>
      </c>
      <c r="D38" s="38">
        <v>7473304</v>
      </c>
      <c r="E38" s="38">
        <v>248176.3</v>
      </c>
      <c r="F38" s="6">
        <v>8.3840100000000008E-3</v>
      </c>
      <c r="G38" s="44">
        <f t="shared" si="2"/>
        <v>1.0083840100000001</v>
      </c>
      <c r="H38" s="45">
        <f>+G38*G37*G36*G35*G34*G33*G32*G31*G30*G29*G28*G27*G26*G25*G24*G23*G22*G21</f>
        <v>1.1686786309752157</v>
      </c>
      <c r="I38" s="8">
        <f t="shared" si="3"/>
        <v>0.16867863097521574</v>
      </c>
      <c r="J38" s="9">
        <f t="shared" si="4"/>
        <v>0.10961245043634471</v>
      </c>
      <c r="K38" s="6">
        <f>STDEV($F$21:F38)*(12^0.5)</f>
        <v>3.4812876504282698E-2</v>
      </c>
      <c r="L38" s="42">
        <v>1.7799999999999999E-3</v>
      </c>
      <c r="M38" s="39">
        <f t="shared" si="5"/>
        <v>100.12511371426308</v>
      </c>
      <c r="N38" s="6">
        <f t="shared" si="0"/>
        <v>1.0012511371426307</v>
      </c>
      <c r="O38" s="39">
        <f>COUNT($B$20:B38)/12</f>
        <v>1.5833333333333333</v>
      </c>
      <c r="P38" s="6">
        <f t="shared" si="1"/>
        <v>7.9000986581090338E-4</v>
      </c>
      <c r="Q38" s="46">
        <f t="shared" si="6"/>
        <v>3.1259249880470641</v>
      </c>
    </row>
    <row r="39" spans="2:17">
      <c r="B39" s="36">
        <v>42613</v>
      </c>
      <c r="C39" s="37">
        <f t="shared" si="7"/>
        <v>7065108.3799999999</v>
      </c>
      <c r="D39" s="38">
        <v>7478682.29</v>
      </c>
      <c r="E39" s="38">
        <v>32250.639999999999</v>
      </c>
      <c r="F39" s="6">
        <v>5.0568999999999996E-3</v>
      </c>
      <c r="G39" s="44">
        <f t="shared" si="2"/>
        <v>1.0050569</v>
      </c>
      <c r="H39" s="45">
        <f>+G39*G38*G37*G36*G35*G34*G33*G32*G31*G30*G29*G28*G27*G26*G25*G24*G23*G22*G21</f>
        <v>1.1745885219441938</v>
      </c>
      <c r="I39" s="8">
        <f t="shared" si="3"/>
        <v>0.17458852194419383</v>
      </c>
      <c r="J39" s="9">
        <f t="shared" si="4"/>
        <v>0.10696020002344131</v>
      </c>
      <c r="K39" s="6">
        <f>STDEV($F$21:F39)*(12^0.5)</f>
        <v>3.3958704157069114E-2</v>
      </c>
      <c r="L39" s="42">
        <v>2.6900000000000001E-3</v>
      </c>
      <c r="M39" s="39">
        <f t="shared" si="5"/>
        <v>100.14798887380454</v>
      </c>
      <c r="N39" s="6">
        <f t="shared" si="0"/>
        <v>1.0014798887380454</v>
      </c>
      <c r="O39" s="39">
        <f>COUNT($B$20:B39)/12</f>
        <v>1.6666666666666667</v>
      </c>
      <c r="P39" s="6">
        <f t="shared" si="1"/>
        <v>8.8767061568439942E-4</v>
      </c>
      <c r="Q39" s="46">
        <f t="shared" si="6"/>
        <v>3.1235741186453962</v>
      </c>
    </row>
    <row r="40" spans="2:17">
      <c r="B40" s="36">
        <v>42643</v>
      </c>
      <c r="C40" s="37">
        <f t="shared" si="7"/>
        <v>7065108.3799999999</v>
      </c>
      <c r="D40" s="38">
        <v>7515997.8300000001</v>
      </c>
      <c r="E40" s="38">
        <v>0</v>
      </c>
      <c r="F40" s="6">
        <v>4.9896000000000003E-3</v>
      </c>
      <c r="G40" s="44">
        <f t="shared" si="2"/>
        <v>1.0049896</v>
      </c>
      <c r="H40" s="45">
        <f>+G40*G39*G38*G37*G36*G35*G34*G33*G32*G31*G30*G29*G28*G27*G26*G25*G24*G23*G22*G21</f>
        <v>1.1804492488332869</v>
      </c>
      <c r="I40" s="8">
        <f t="shared" si="3"/>
        <v>0.18044924883328695</v>
      </c>
      <c r="J40" s="9">
        <f t="shared" si="4"/>
        <v>0.10471968270277054</v>
      </c>
      <c r="K40" s="6">
        <f>STDEV($F$21:F40)*(12^0.5)</f>
        <v>3.3167839540312792E-2</v>
      </c>
      <c r="L40" s="42">
        <v>1.825E-3</v>
      </c>
      <c r="M40" s="39">
        <f t="shared" si="5"/>
        <v>100.16301107213562</v>
      </c>
      <c r="N40" s="6">
        <f t="shared" si="0"/>
        <v>1.0016301107213561</v>
      </c>
      <c r="O40" s="39">
        <f>COUNT($B$20:B40)/12</f>
        <v>1.75</v>
      </c>
      <c r="P40" s="6">
        <f t="shared" si="1"/>
        <v>9.3116671420490071E-4</v>
      </c>
      <c r="Q40" s="46">
        <f t="shared" si="6"/>
        <v>3.129191331935238</v>
      </c>
    </row>
    <row r="41" spans="2:17">
      <c r="B41" s="36">
        <v>42674</v>
      </c>
      <c r="C41" s="37">
        <f t="shared" si="7"/>
        <v>7065108.3799999999</v>
      </c>
      <c r="D41" s="38">
        <v>7461568.8799999999</v>
      </c>
      <c r="E41" s="38">
        <v>115180.83</v>
      </c>
      <c r="F41" s="6">
        <v>8.2088000000000005E-3</v>
      </c>
      <c r="G41" s="44">
        <f t="shared" si="2"/>
        <v>1.0082088</v>
      </c>
      <c r="H41" s="45">
        <f>+G41*G40*G39*G38*G37*G36*G35*G34*G33*G32*G31*G30*G29*G28*G27*G26*G25*G24*G23*G22*G21</f>
        <v>1.1901393206271091</v>
      </c>
      <c r="I41" s="8">
        <f t="shared" si="3"/>
        <v>0.19013932062710914</v>
      </c>
      <c r="J41" s="9">
        <f t="shared" si="4"/>
        <v>0.10454100736866612</v>
      </c>
      <c r="K41" s="6">
        <f>STDEV($F$21:F41)*(12^0.5)</f>
        <v>3.2328246755448299E-2</v>
      </c>
      <c r="L41" s="42">
        <v>1.622E-3</v>
      </c>
      <c r="M41" s="39">
        <f t="shared" si="5"/>
        <v>100.17680941877323</v>
      </c>
      <c r="N41" s="6">
        <f t="shared" si="0"/>
        <v>1.0017680941877323</v>
      </c>
      <c r="O41" s="39">
        <f>COUNT($B$20:B41)/12</f>
        <v>1.8333333333333333</v>
      </c>
      <c r="P41" s="6">
        <f t="shared" si="1"/>
        <v>9.6402780322102366E-4</v>
      </c>
      <c r="Q41" s="46">
        <f t="shared" si="6"/>
        <v>3.2039157690476734</v>
      </c>
    </row>
    <row r="42" spans="2:17">
      <c r="B42" s="36">
        <v>42704</v>
      </c>
      <c r="C42" s="37">
        <f t="shared" si="7"/>
        <v>7065108.3799999999</v>
      </c>
      <c r="D42" s="38">
        <v>7428669.2300000004</v>
      </c>
      <c r="E42" s="38">
        <v>50679.57</v>
      </c>
      <c r="F42" s="6">
        <v>2.3990000000000001E-3</v>
      </c>
      <c r="G42" s="44">
        <f t="shared" si="2"/>
        <v>1.002399</v>
      </c>
      <c r="H42" s="45">
        <f>+G42*G41*G40*G39*G38*G37*G36*G35*G34*G33*G32*G31*G30*G29*G28*G27*G26*G25*G24*G23*G22*G21</f>
        <v>1.1929944648572941</v>
      </c>
      <c r="I42" s="8">
        <f t="shared" si="3"/>
        <v>0.1929944648572941</v>
      </c>
      <c r="J42" s="9">
        <f t="shared" si="4"/>
        <v>0.10106559772433044</v>
      </c>
      <c r="K42" s="6">
        <f>STDEV($F$21:F42)*(12^0.5)</f>
        <v>3.1855268884460768E-2</v>
      </c>
      <c r="L42" s="42">
        <v>3.5999999999999999E-3</v>
      </c>
      <c r="M42" s="39">
        <f t="shared" si="5"/>
        <v>100.2064507760807</v>
      </c>
      <c r="N42" s="6">
        <f t="shared" si="0"/>
        <v>1.002064507760807</v>
      </c>
      <c r="O42" s="39">
        <f>COUNT($B$20:B42)/12</f>
        <v>1.9166666666666667</v>
      </c>
      <c r="P42" s="6">
        <f t="shared" si="1"/>
        <v>1.0766032572688822E-3</v>
      </c>
      <c r="Q42" s="46">
        <f t="shared" si="6"/>
        <v>3.1388526284214451</v>
      </c>
    </row>
    <row r="43" spans="2:17">
      <c r="B43" s="36">
        <v>42735</v>
      </c>
      <c r="C43" s="37">
        <f>+C42+529447.9</f>
        <v>7594556.2800000003</v>
      </c>
      <c r="D43" s="38">
        <v>7991122.3300000001</v>
      </c>
      <c r="E43" s="38">
        <v>15357.44</v>
      </c>
      <c r="F43" s="6">
        <v>6.0889000000000004E-3</v>
      </c>
      <c r="G43" s="44">
        <f t="shared" si="2"/>
        <v>1.0060889</v>
      </c>
      <c r="H43" s="45">
        <f>+G43*G42*G41*G40*G39*G38*G37*G36*G35*G34*G33*G32*G31*G30*G29*G28*G27*G26*G25*G24*G23*G22*G21</f>
        <v>1.2002584888543637</v>
      </c>
      <c r="I43" s="8">
        <f t="shared" si="3"/>
        <v>0.2002584888543637</v>
      </c>
      <c r="J43" s="9">
        <f t="shared" si="4"/>
        <v>9.9856785541473592E-2</v>
      </c>
      <c r="K43" s="6">
        <f>STDEV($F$21:F43)*(12^0.5)</f>
        <v>3.115651875039745E-2</v>
      </c>
      <c r="L43" s="42">
        <v>4.1580000000000002E-3</v>
      </c>
      <c r="M43" s="39">
        <f t="shared" si="5"/>
        <v>100.24183820373038</v>
      </c>
      <c r="N43" s="6">
        <f t="shared" si="0"/>
        <v>1.0024183820373038</v>
      </c>
      <c r="O43" s="39">
        <f>COUNT($B$20:B43)/12</f>
        <v>2</v>
      </c>
      <c r="P43" s="6">
        <f t="shared" si="1"/>
        <v>1.208460829863256E-3</v>
      </c>
      <c r="Q43" s="46">
        <f t="shared" si="6"/>
        <v>3.1662178147021613</v>
      </c>
    </row>
    <row r="44" spans="2:17">
      <c r="B44" s="36">
        <v>42766</v>
      </c>
      <c r="C44" s="37">
        <f>+C43</f>
        <v>7594556.2800000003</v>
      </c>
      <c r="D44" s="38">
        <v>8070371.9900000002</v>
      </c>
      <c r="E44" s="38">
        <v>0</v>
      </c>
      <c r="F44" s="6">
        <v>9.9171999999999993E-3</v>
      </c>
      <c r="G44" s="44">
        <f t="shared" si="2"/>
        <v>1.0099172000000001</v>
      </c>
      <c r="H44" s="45">
        <f>+G44*G43*G42*G41*G40*G39*G38*G37*G36*G35*G34*G33*G32*G31*G30*G29*G28*G27*G26*G25*G24*G23*G22*G21</f>
        <v>1.2121616923400302</v>
      </c>
      <c r="I44" s="8">
        <f t="shared" si="3"/>
        <v>0.21216169234003024</v>
      </c>
      <c r="J44" s="9">
        <f t="shared" si="4"/>
        <v>0.10083726466342613</v>
      </c>
      <c r="K44" s="6">
        <f>STDEV($F$21:F44)*(12^0.5)</f>
        <v>3.0501628771473364E-2</v>
      </c>
      <c r="L44" s="42">
        <v>4.614E-3</v>
      </c>
      <c r="M44" s="39">
        <f t="shared" si="5"/>
        <v>100.28112037108828</v>
      </c>
      <c r="N44" s="6">
        <f t="shared" si="0"/>
        <v>1.0028112037108827</v>
      </c>
      <c r="O44" s="39">
        <f>COUNT($B$20:B44)/12</f>
        <v>2.0833333333333335</v>
      </c>
      <c r="P44" s="6">
        <f t="shared" si="1"/>
        <v>1.3483929058237809E-3</v>
      </c>
      <c r="Q44" s="46">
        <f t="shared" si="6"/>
        <v>3.2617560361448397</v>
      </c>
    </row>
    <row r="45" spans="2:17">
      <c r="B45" s="36">
        <v>42794</v>
      </c>
      <c r="C45" s="37">
        <f>+C44+767872</f>
        <v>8362428.2800000003</v>
      </c>
      <c r="D45" s="38">
        <v>8796350.8900000006</v>
      </c>
      <c r="E45" s="38">
        <v>84465.94</v>
      </c>
      <c r="F45" s="6">
        <v>4.8634000000000004E-3</v>
      </c>
      <c r="G45" s="44">
        <f t="shared" si="2"/>
        <v>1.0048634000000001</v>
      </c>
      <c r="H45" s="45">
        <f>+G45*G44*G43*G42*G41*G40*G39*G38*G37*G36*G35*G34*G33*G32*G31*G30*G29*G28*G27*G26*G25*G24*G23*G22*G21</f>
        <v>1.218056919514557</v>
      </c>
      <c r="I45" s="8">
        <f t="shared" si="3"/>
        <v>0.21805691951455697</v>
      </c>
      <c r="J45" s="9">
        <f t="shared" si="4"/>
        <v>9.9504955025154107E-2</v>
      </c>
      <c r="K45" s="6">
        <f>STDEV($F$21:F45)*(12^0.5)</f>
        <v>2.9942755708579908E-2</v>
      </c>
      <c r="L45" s="42">
        <v>4.2589999999999998E-3</v>
      </c>
      <c r="M45" s="39">
        <f t="shared" si="5"/>
        <v>100.31388399894168</v>
      </c>
      <c r="N45" s="6">
        <f t="shared" si="0"/>
        <v>1.0031388399894168</v>
      </c>
      <c r="O45" s="39">
        <f>COUNT($B$20:B45)/12</f>
        <v>2.1666666666666665</v>
      </c>
      <c r="P45" s="6">
        <f t="shared" si="1"/>
        <v>1.447473094102536E-3</v>
      </c>
      <c r="Q45" s="46">
        <f t="shared" si="6"/>
        <v>3.274831578142082</v>
      </c>
    </row>
    <row r="46" spans="2:17">
      <c r="B46" s="36">
        <v>42825</v>
      </c>
      <c r="C46" s="37">
        <f>+C45</f>
        <v>8362428.2800000003</v>
      </c>
      <c r="D46" s="38">
        <v>8788734.1600000001</v>
      </c>
      <c r="E46" s="38">
        <v>46072.33</v>
      </c>
      <c r="F46" s="6">
        <v>4.3948099999999999E-3</v>
      </c>
      <c r="G46" s="44">
        <f t="shared" si="2"/>
        <v>1.00439481</v>
      </c>
      <c r="H46" s="45">
        <f>+G46*G45*G44*G43*G42*G41*G40*G39*G38*G37*G36*G35*G34*G33*G32*G31*G30*G29*G28*G27*G26*G25*G24*G23*G22*G21</f>
        <v>1.2234100482450085</v>
      </c>
      <c r="I46" s="8">
        <f t="shared" si="3"/>
        <v>0.22341004824500854</v>
      </c>
      <c r="J46" s="9">
        <f t="shared" si="4"/>
        <v>9.7641455349630979E-2</v>
      </c>
      <c r="K46" s="6">
        <f>STDEV($F$21:F46)*(12^0.5)</f>
        <v>2.9437419511302663E-2</v>
      </c>
      <c r="L46" s="42">
        <v>7.2529999999999999E-3</v>
      </c>
      <c r="M46" s="39">
        <f t="shared" si="5"/>
        <v>100.37567817598271</v>
      </c>
      <c r="N46" s="6">
        <f t="shared" si="0"/>
        <v>1.0037567817598272</v>
      </c>
      <c r="O46" s="39">
        <f>COUNT($B$20:B46)/12</f>
        <v>2.25</v>
      </c>
      <c r="P46" s="6">
        <f t="shared" si="1"/>
        <v>1.6679417719438483E-3</v>
      </c>
      <c r="Q46" s="46">
        <f t="shared" si="6"/>
        <v>3.2602556600057135</v>
      </c>
    </row>
    <row r="47" spans="2:17">
      <c r="B47" s="36">
        <v>42855</v>
      </c>
      <c r="C47" s="37">
        <f>+C46+153574</f>
        <v>8516002.2800000012</v>
      </c>
      <c r="D47" s="38">
        <v>8905358.0999999996</v>
      </c>
      <c r="E47" s="38">
        <v>92144.67</v>
      </c>
      <c r="F47" s="6">
        <v>6.2365700000000003E-3</v>
      </c>
      <c r="G47" s="44">
        <f t="shared" si="2"/>
        <v>1.00623657</v>
      </c>
      <c r="H47" s="45">
        <f>+G47*G46*G45*G44*G43*G42*G41*G40*G39*G38*G37*G36*G35*G34*G33*G32*G31*G30*G29*G28*G27*G26*G25*G24*G23*G22*G21</f>
        <v>1.2310399306495916</v>
      </c>
      <c r="I47" s="8">
        <f t="shared" si="3"/>
        <v>0.23103993064959161</v>
      </c>
      <c r="J47" s="9">
        <f t="shared" si="4"/>
        <v>9.6938074880231762E-2</v>
      </c>
      <c r="K47" s="6">
        <f>STDEV($F$21:F47)*(12^0.5)</f>
        <v>2.8885054667273459E-2</v>
      </c>
      <c r="L47" s="47">
        <v>6.5929999999999999E-3</v>
      </c>
      <c r="M47" s="39">
        <f t="shared" si="5"/>
        <v>100.43007079347977</v>
      </c>
      <c r="N47" s="6">
        <f t="shared" si="0"/>
        <v>1.0043007079347976</v>
      </c>
      <c r="O47" s="39">
        <f>COUNT($B$20:B47)/12</f>
        <v>2.3333333333333335</v>
      </c>
      <c r="P47" s="6">
        <f t="shared" si="1"/>
        <v>1.8409008043227537E-3</v>
      </c>
      <c r="Q47" s="46">
        <f t="shared" si="6"/>
        <v>3.2922622155759105</v>
      </c>
    </row>
    <row r="48" spans="2:17" ht="18.75" customHeight="1">
      <c r="B48" s="36"/>
      <c r="C48" s="37"/>
      <c r="D48" s="38"/>
      <c r="E48" s="38"/>
      <c r="F48" s="6"/>
      <c r="G48" s="6"/>
      <c r="H48" s="6"/>
      <c r="I48" s="8"/>
      <c r="J48" s="9"/>
      <c r="K48" s="6"/>
      <c r="L48" s="6"/>
      <c r="M48" s="6"/>
      <c r="N48" s="6"/>
      <c r="O48" s="6"/>
      <c r="P48" s="6"/>
      <c r="Q48" s="8"/>
    </row>
    <row r="49" spans="2:17">
      <c r="B49" s="48" t="s">
        <v>27</v>
      </c>
      <c r="C49" s="49">
        <f>C47</f>
        <v>8516002.2800000012</v>
      </c>
      <c r="D49" s="50">
        <f>D47</f>
        <v>8905358.0999999996</v>
      </c>
      <c r="E49" s="50">
        <f>SUM(E20:E47)</f>
        <v>1133379.3999999999</v>
      </c>
      <c r="F49" s="7">
        <f>F47</f>
        <v>6.2365700000000003E-3</v>
      </c>
      <c r="G49" s="7"/>
      <c r="H49" s="7"/>
      <c r="I49" s="12">
        <f>I47</f>
        <v>0.23103993064959161</v>
      </c>
      <c r="J49" s="10">
        <f>J47</f>
        <v>9.6938074880231762E-2</v>
      </c>
      <c r="K49" s="7">
        <f>K47</f>
        <v>2.8885054667273459E-2</v>
      </c>
      <c r="L49" s="7"/>
      <c r="M49" s="7"/>
      <c r="N49" s="7"/>
      <c r="O49" s="7"/>
      <c r="P49" s="7"/>
      <c r="Q49" s="51">
        <f>Q47</f>
        <v>3.2922622155759105</v>
      </c>
    </row>
    <row r="50" spans="2:17">
      <c r="B50" s="52"/>
      <c r="C50" s="53"/>
      <c r="D50" s="53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</row>
  </sheetData>
  <pageMargins left="0.70866141732283472" right="0.70866141732283472" top="0.74803149606299213" bottom="0.74803149606299213" header="0.31496062992125978" footer="0.31496062992125978"/>
  <pageSetup scale="6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Mohammad Yazdani</cp:lastModifiedBy>
  <cp:lastPrinted>2012-11-16T21:36:21Z</cp:lastPrinted>
  <dcterms:created xsi:type="dcterms:W3CDTF">2010-04-15T16:43:35Z</dcterms:created>
  <dcterms:modified xsi:type="dcterms:W3CDTF">2017-06-27T20:51:04Z</dcterms:modified>
</cp:coreProperties>
</file>