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<sst xmlns="http://schemas.openxmlformats.org/spreadsheetml/2006/main" uniqueCount="28">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</sst>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>
  <numFmts count="14">
    <numFmt formatCode="_(&quot;$&quot;* #,##0.00_);_(&quot;$&quot;* \(#,##0.00\);_(&quot;$&quot;* &quot;-&quot;??_);_(@_)" numFmtId="164"/>
    <numFmt formatCode="_(* #,##0.00_);_(* \(#,##0.00\);_(* &quot;-&quot;??_);_(@_)" numFmtId="165"/>
    <numFmt formatCode="_-&quot;$&quot;* #,##0.00_-;\-&quot;$&quot;* #,##0.00_-;_-&quot;$&quot;* &quot;-&quot;??_-;_-@_-" numFmtId="166"/>
    <numFmt formatCode="_-* #,##0.00_-;\-* #,##0.00_-;_-* &quot;-&quot;??_-;_-@_-" numFmtId="167"/>
    <numFmt formatCode="0.0000%" numFmtId="168"/>
    <numFmt formatCode="d\-mmm\-yy;@" numFmtId="169"/>
    <numFmt formatCode="[$€-2]\ #,##0;[Red]\-[$€-2]\ #,##0" numFmtId="170"/>
    <numFmt formatCode="_([$$-409]* #,##0.00_);_([$$-409]* \(#,##0.00\);_([$$-409]* &quot;-&quot;??_);_(@_)" numFmtId="171"/>
    <numFmt formatCode="_-* #,##0_-;\-* #,##0_-;_-* &quot;-&quot;??_-;_-@_-" numFmtId="172"/>
    <numFmt formatCode="[$-409]d\-mmm\-yyyy;@" numFmtId="173"/>
    <numFmt formatCode="_-* #,##0.0000_-;\-* #,##0.0000_-;_-* &quot;-&quot;??_-;_-@_-" numFmtId="174"/>
    <numFmt formatCode="_-* #,##0.00000_-;\-* #,##0.00000_-;_-* &quot;-&quot;??_-;_-@_-" numFmtId="175"/>
    <numFmt formatCode="[$-F800]dddd\,\ mmmm\ dd\,\ yyyy" numFmtId="176"/>
    <numFmt formatCode="_-&quot;$&quot;* #,##0_-;\-&quot;$&quot;* #,##0_-;_-&quot;$&quot;* &quot;-&quot;??_-;_-@_-" numFmtId="177"/>
  </numFmts>
  <fonts count="4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charset val="1"/>
      <family val="2"/>
      <color indexed="8"/>
      <sz val="10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70"/>
    <xf borderId="0" fillId="0" fontId="5" numFmtId="170"/>
    <xf borderId="0" fillId="0" fontId="3" numFmtId="170"/>
    <xf borderId="0" fillId="0" fontId="4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5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2" fontId="8" numFmtId="170"/>
    <xf borderId="0" fillId="3" fontId="8" numFmtId="170"/>
    <xf borderId="0" fillId="4" fontId="8" numFmtId="170"/>
    <xf borderId="0" fillId="5" fontId="8" numFmtId="170"/>
    <xf borderId="0" fillId="6" fontId="8" numFmtId="170"/>
    <xf borderId="0" fillId="7" fontId="8" numFmtId="170"/>
    <xf borderId="0" fillId="2" fontId="8" numFmtId="170"/>
    <xf borderId="0" fillId="3" fontId="8" numFmtId="170"/>
    <xf borderId="0" fillId="4" fontId="8" numFmtId="170"/>
    <xf borderId="0" fillId="5" fontId="8" numFmtId="170"/>
    <xf borderId="0" fillId="6" fontId="8" numFmtId="170"/>
    <xf borderId="0" fillId="7" fontId="8" numFmtId="170"/>
    <xf borderId="0" fillId="8" fontId="8" numFmtId="170"/>
    <xf borderId="0" fillId="9" fontId="8" numFmtId="170"/>
    <xf borderId="0" fillId="10" fontId="8" numFmtId="170"/>
    <xf borderId="0" fillId="5" fontId="8" numFmtId="170"/>
    <xf borderId="0" fillId="8" fontId="8" numFmtId="170"/>
    <xf borderId="0" fillId="11" fontId="8" numFmtId="170"/>
    <xf borderId="0" fillId="8" fontId="8" numFmtId="170"/>
    <xf borderId="0" fillId="9" fontId="8" numFmtId="170"/>
    <xf borderId="0" fillId="10" fontId="8" numFmtId="170"/>
    <xf borderId="0" fillId="5" fontId="8" numFmtId="170"/>
    <xf borderId="0" fillId="8" fontId="8" numFmtId="170"/>
    <xf borderId="0" fillId="11" fontId="8" numFmtId="170"/>
    <xf borderId="0" fillId="12" fontId="9" numFmtId="170"/>
    <xf borderId="0" fillId="9" fontId="9" numFmtId="170"/>
    <xf borderId="0" fillId="10" fontId="9" numFmtId="170"/>
    <xf borderId="0" fillId="13" fontId="9" numFmtId="170"/>
    <xf borderId="0" fillId="14" fontId="9" numFmtId="170"/>
    <xf borderId="0" fillId="15" fontId="9" numFmtId="170"/>
    <xf borderId="0" fillId="12" fontId="9" numFmtId="170"/>
    <xf borderId="0" fillId="9" fontId="9" numFmtId="170"/>
    <xf borderId="0" fillId="10" fontId="9" numFmtId="170"/>
    <xf borderId="0" fillId="13" fontId="9" numFmtId="170"/>
    <xf borderId="0" fillId="14" fontId="9" numFmtId="170"/>
    <xf borderId="0" fillId="15" fontId="9" numFmtId="170"/>
    <xf borderId="0" fillId="16" fontId="9" numFmtId="170"/>
    <xf borderId="0" fillId="17" fontId="9" numFmtId="170"/>
    <xf borderId="0" fillId="18" fontId="9" numFmtId="170"/>
    <xf borderId="0" fillId="13" fontId="9" numFmtId="170"/>
    <xf borderId="0" fillId="14" fontId="9" numFmtId="170"/>
    <xf borderId="0" fillId="19" fontId="9" numFmtId="170"/>
    <xf borderId="0" fillId="0" fontId="10" numFmtId="170"/>
    <xf borderId="0" fillId="3" fontId="11" numFmtId="170"/>
    <xf borderId="1" fillId="20" fontId="12" numFmtId="170"/>
    <xf borderId="1" fillId="20" fontId="12" numFmtId="170"/>
    <xf borderId="2" fillId="0" fontId="13" numFmtId="170"/>
    <xf borderId="3" fillId="21" fontId="14" numFmtId="170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8" numFmtId="170"/>
    <xf borderId="0" fillId="0" fontId="5" numFmtId="169"/>
    <xf borderId="0" fillId="0" fontId="5" numFmtId="169"/>
    <xf borderId="0" fillId="0" fontId="15" numFmtId="170"/>
    <xf borderId="0" fillId="0" fontId="5" numFmtId="170"/>
    <xf borderId="0" fillId="0" fontId="15" numFmtId="170"/>
    <xf borderId="0" fillId="0" fontId="5" numFmtId="170"/>
    <xf borderId="4" fillId="22" fontId="5" numFmtId="170"/>
    <xf borderId="0" fillId="0" fontId="5" numFmtId="164"/>
    <xf borderId="0" fillId="0" fontId="16" numFmtId="170"/>
    <xf borderId="0" fillId="0" fontId="17" numFmtId="170"/>
    <xf borderId="0" fillId="0" fontId="17" numFmtId="170"/>
    <xf borderId="1" fillId="7" fontId="18" numFmtId="170"/>
    <xf borderId="0" fillId="0" fontId="5" numFmtId="170"/>
    <xf borderId="0" fillId="0" fontId="5" numFmtId="170"/>
    <xf borderId="0" fillId="0" fontId="19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4" fontId="20" numFmtId="170"/>
    <xf borderId="5" fillId="0" fontId="21" numFmtId="170"/>
    <xf borderId="6" fillId="0" fontId="22" numFmtId="170"/>
    <xf borderId="7" fillId="0" fontId="23" numFmtId="170"/>
    <xf borderId="0" fillId="0" fontId="23" numFmtId="170"/>
    <xf borderId="1" fillId="7" fontId="18" numFmtId="170"/>
    <xf borderId="0" fillId="3" fontId="11" numFmtId="170"/>
    <xf borderId="2" fillId="0" fontId="13" numFmtId="170"/>
    <xf borderId="0" fillId="0" fontId="16" numFmtId="170"/>
    <xf borderId="0" fillId="23" fontId="24" numFmtId="170"/>
    <xf borderId="0" fillId="23" fontId="24" numFmtId="170"/>
    <xf borderId="0" fillId="0" fontId="25" numFmtId="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8" fillId="24" fontId="8" numFmtId="170"/>
    <xf borderId="8" fillId="24" fontId="8" numFmtId="170"/>
    <xf borderId="0" fillId="0" fontId="33" numFmtId="0"/>
    <xf borderId="9" fillId="20" fontId="26" numFmtId="170"/>
    <xf borderId="0" fillId="0" fontId="5" numFmtId="0"/>
    <xf borderId="0" fillId="0" fontId="5" numFmtId="0"/>
    <xf borderId="0" fillId="0" fontId="5" numFmtId="0"/>
    <xf borderId="0" fillId="0" fontId="5" numFmtId="0"/>
    <xf borderId="0" fillId="0" fontId="16" numFmtId="170"/>
    <xf borderId="0" fillId="0" fontId="7" numFmtId="0"/>
    <xf borderId="0" fillId="4" fontId="20" numFmtId="170"/>
    <xf borderId="9" fillId="20" fontId="26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27" numFmtId="170"/>
    <xf borderId="0" fillId="0" fontId="32" numFmtId="170"/>
    <xf borderId="0" fillId="20" fontId="27" numFmtId="170"/>
    <xf borderId="0" fillId="25" fontId="27" numFmtId="170"/>
    <xf borderId="0" fillId="0" fontId="19" numFmtId="170"/>
    <xf borderId="0" fillId="0" fontId="28" numFmtId="170"/>
    <xf borderId="0" fillId="0" fontId="28" numFmtId="170"/>
    <xf borderId="5" fillId="0" fontId="21" numFmtId="170"/>
    <xf borderId="6" fillId="0" fontId="22" numFmtId="170"/>
    <xf borderId="7" fillId="0" fontId="23" numFmtId="170"/>
    <xf borderId="0" fillId="0" fontId="23" numFmtId="170"/>
    <xf borderId="10" fillId="0" fontId="30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3" fillId="21" fontId="14" numFmtId="170"/>
    <xf borderId="0" fillId="0" fontId="10" numFmtId="170"/>
    <xf borderId="0" fillId="0" fontId="31" numFmtId="170"/>
    <xf borderId="0" fillId="0" fontId="5" numFmtId="170"/>
    <xf borderId="0" fillId="26" fontId="8" numFmtId="170"/>
    <xf borderId="0" fillId="27" fontId="8" numFmtId="170"/>
    <xf borderId="0" fillId="28" fontId="8" numFmtId="170"/>
    <xf borderId="0" fillId="29" fontId="8" numFmtId="170"/>
    <xf borderId="0" fillId="30" fontId="8" numFmtId="170"/>
    <xf borderId="0" fillId="31" fontId="8" numFmtId="170"/>
    <xf borderId="0" fillId="26" fontId="8" numFmtId="170"/>
    <xf borderId="0" fillId="27" fontId="8" numFmtId="170"/>
    <xf borderId="0" fillId="28" fontId="8" numFmtId="170"/>
    <xf borderId="0" fillId="29" fontId="8" numFmtId="170"/>
    <xf borderId="0" fillId="30" fontId="8" numFmtId="170"/>
    <xf borderId="0" fillId="31" fontId="8" numFmtId="170"/>
    <xf borderId="0" fillId="32" fontId="8" numFmtId="170"/>
    <xf borderId="0" fillId="33" fontId="8" numFmtId="170"/>
    <xf borderId="0" fillId="34" fontId="8" numFmtId="170"/>
    <xf borderId="0" fillId="29" fontId="8" numFmtId="170"/>
    <xf borderId="0" fillId="32" fontId="8" numFmtId="170"/>
    <xf borderId="0" fillId="35" fontId="8" numFmtId="170"/>
    <xf borderId="0" fillId="32" fontId="8" numFmtId="170"/>
    <xf borderId="0" fillId="33" fontId="8" numFmtId="170"/>
    <xf borderId="0" fillId="34" fontId="8" numFmtId="170"/>
    <xf borderId="0" fillId="29" fontId="8" numFmtId="170"/>
    <xf borderId="0" fillId="32" fontId="8" numFmtId="170"/>
    <xf borderId="0" fillId="35" fontId="8" numFmtId="170"/>
    <xf borderId="0" fillId="36" fontId="9" numFmtId="170"/>
    <xf borderId="0" fillId="33" fontId="9" numFmtId="170"/>
    <xf borderId="0" fillId="34" fontId="9" numFmtId="170"/>
    <xf borderId="0" fillId="37" fontId="9" numFmtId="170"/>
    <xf borderId="0" fillId="38" fontId="9" numFmtId="170"/>
    <xf borderId="0" fillId="39" fontId="9" numFmtId="170"/>
    <xf borderId="0" fillId="36" fontId="9" numFmtId="170"/>
    <xf borderId="0" fillId="33" fontId="9" numFmtId="170"/>
    <xf borderId="0" fillId="34" fontId="9" numFmtId="170"/>
    <xf borderId="0" fillId="37" fontId="9" numFmtId="170"/>
    <xf borderId="0" fillId="38" fontId="9" numFmtId="170"/>
    <xf borderId="0" fillId="39" fontId="9" numFmtId="170"/>
    <xf borderId="0" fillId="40" fontId="9" numFmtId="170"/>
    <xf borderId="0" fillId="41" fontId="9" numFmtId="170"/>
    <xf borderId="0" fillId="42" fontId="9" numFmtId="170"/>
    <xf borderId="0" fillId="37" fontId="9" numFmtId="170"/>
    <xf borderId="0" fillId="38" fontId="9" numFmtId="170"/>
    <xf borderId="0" fillId="43" fontId="9" numFmtId="170"/>
    <xf borderId="0" fillId="27" fontId="11" numFmtId="170"/>
    <xf borderId="1" fillId="25" fontId="12" numFmtId="170"/>
    <xf borderId="1" fillId="25" fontId="12" numFmtId="170"/>
    <xf borderId="12" fillId="44" fontId="14" numFmtId="170"/>
    <xf borderId="0" fillId="0" fontId="5" numFmtId="43"/>
    <xf borderId="0" fillId="0" fontId="8" numFmtId="170"/>
    <xf borderId="0" fillId="0" fontId="8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5" numFmtId="170"/>
    <xf borderId="0" fillId="0" fontId="35" numFmtId="170"/>
    <xf borderId="8" fillId="24" fontId="5" numFmtId="170"/>
    <xf borderId="0" fillId="0" fontId="36" numFmtId="170"/>
    <xf borderId="0" fillId="0" fontId="37" numFmtId="170"/>
    <xf borderId="0" fillId="0" fontId="37" numFmtId="170"/>
    <xf borderId="1" fillId="31" fontId="38" numFmtId="170"/>
    <xf borderId="0" fillId="0" fontId="5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28" fontId="20" numFmtId="170"/>
    <xf borderId="13" fillId="0" fontId="39" numFmtId="170"/>
    <xf borderId="14" fillId="0" fontId="40" numFmtId="170"/>
    <xf borderId="7" fillId="0" fontId="41" numFmtId="170"/>
    <xf borderId="0" fillId="0" fontId="41" numFmtId="170"/>
    <xf borderId="1" fillId="31" fontId="38" numFmtId="170"/>
    <xf borderId="0" fillId="27" fontId="11" numFmtId="170"/>
    <xf borderId="0" fillId="0" fontId="36" numFmtId="170"/>
    <xf borderId="0" fillId="45" fontId="42" numFmtId="170"/>
    <xf borderId="0" fillId="45" fontId="42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3" numFmtId="0"/>
    <xf borderId="15" fillId="25" fontId="43" numFmtId="170"/>
    <xf borderId="0" fillId="0" fontId="5" numFmtId="0"/>
    <xf borderId="0" fillId="0" fontId="8" numFmtId="0"/>
    <xf borderId="0" fillId="0" fontId="8" numFmtId="0"/>
    <xf borderId="0" fillId="0" fontId="36" numFmtId="170"/>
    <xf borderId="0" fillId="0" fontId="44" numFmtId="0"/>
    <xf borderId="0" fillId="28" fontId="20" numFmtId="170"/>
    <xf borderId="15" fillId="25" fontId="43" numFmtId="170"/>
    <xf borderId="0" fillId="0" fontId="31" numFmtId="170"/>
    <xf borderId="0" fillId="0" fontId="27" numFmtId="170"/>
    <xf borderId="0" fillId="0" fontId="32" numFmtId="170"/>
    <xf borderId="0" fillId="25" fontId="27" numFmtId="170"/>
    <xf borderId="0" fillId="0" fontId="29" numFmtId="170"/>
    <xf borderId="0" fillId="0" fontId="29" numFmtId="170"/>
    <xf borderId="13" fillId="0" fontId="39" numFmtId="170"/>
    <xf borderId="14" fillId="0" fontId="40" numFmtId="170"/>
    <xf borderId="7" fillId="0" fontId="41" numFmtId="170"/>
    <xf borderId="0" fillId="0" fontId="41" numFmtId="170"/>
    <xf borderId="16" fillId="0" fontId="30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2" fillId="44" fontId="14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8" fillId="24" fontId="5" numFmtId="170"/>
    <xf borderId="0" fillId="0" fontId="5" numFmtId="170"/>
    <xf borderId="0" fillId="0" fontId="4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5" numFmtId="43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67"/>
    <xf borderId="0" fillId="0" fontId="6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5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2" fontId="8" numFmtId="170"/>
    <xf borderId="0" fillId="3" fontId="8" numFmtId="170"/>
    <xf borderId="0" fillId="4" fontId="8" numFmtId="170"/>
    <xf borderId="0" fillId="5" fontId="8" numFmtId="170"/>
    <xf borderId="0" fillId="6" fontId="8" numFmtId="170"/>
    <xf borderId="0" fillId="7" fontId="8" numFmtId="170"/>
    <xf borderId="0" fillId="2" fontId="8" numFmtId="170"/>
    <xf borderId="0" fillId="3" fontId="8" numFmtId="170"/>
    <xf borderId="0" fillId="4" fontId="8" numFmtId="170"/>
    <xf borderId="0" fillId="5" fontId="8" numFmtId="170"/>
    <xf borderId="0" fillId="6" fontId="8" numFmtId="170"/>
    <xf borderId="0" fillId="7" fontId="8" numFmtId="170"/>
    <xf borderId="0" fillId="8" fontId="8" numFmtId="170"/>
    <xf borderId="0" fillId="9" fontId="8" numFmtId="170"/>
    <xf borderId="0" fillId="10" fontId="8" numFmtId="170"/>
    <xf borderId="0" fillId="5" fontId="8" numFmtId="170"/>
    <xf borderId="0" fillId="8" fontId="8" numFmtId="170"/>
    <xf borderId="0" fillId="11" fontId="8" numFmtId="170"/>
    <xf borderId="0" fillId="8" fontId="8" numFmtId="170"/>
    <xf borderId="0" fillId="9" fontId="8" numFmtId="170"/>
    <xf borderId="0" fillId="10" fontId="8" numFmtId="170"/>
    <xf borderId="0" fillId="5" fontId="8" numFmtId="170"/>
    <xf borderId="0" fillId="8" fontId="8" numFmtId="170"/>
    <xf borderId="0" fillId="11" fontId="8" numFmtId="170"/>
    <xf borderId="0" fillId="12" fontId="9" numFmtId="170"/>
    <xf borderId="0" fillId="9" fontId="9" numFmtId="170"/>
    <xf borderId="0" fillId="10" fontId="9" numFmtId="170"/>
    <xf borderId="0" fillId="13" fontId="9" numFmtId="170"/>
    <xf borderId="0" fillId="14" fontId="9" numFmtId="170"/>
    <xf borderId="0" fillId="15" fontId="9" numFmtId="170"/>
    <xf borderId="0" fillId="12" fontId="9" numFmtId="170"/>
    <xf borderId="0" fillId="9" fontId="9" numFmtId="170"/>
    <xf borderId="0" fillId="10" fontId="9" numFmtId="170"/>
    <xf borderId="0" fillId="13" fontId="9" numFmtId="170"/>
    <xf borderId="0" fillId="14" fontId="9" numFmtId="170"/>
    <xf borderId="0" fillId="15" fontId="9" numFmtId="170"/>
    <xf borderId="0" fillId="16" fontId="9" numFmtId="170"/>
    <xf borderId="0" fillId="17" fontId="9" numFmtId="170"/>
    <xf borderId="0" fillId="18" fontId="9" numFmtId="170"/>
    <xf borderId="0" fillId="13" fontId="9" numFmtId="170"/>
    <xf borderId="0" fillId="14" fontId="9" numFmtId="170"/>
    <xf borderId="0" fillId="19" fontId="9" numFmtId="170"/>
    <xf borderId="0" fillId="0" fontId="10" numFmtId="170"/>
    <xf borderId="0" fillId="3" fontId="11" numFmtId="170"/>
    <xf borderId="1" fillId="20" fontId="12" numFmtId="170"/>
    <xf borderId="1" fillId="20" fontId="12" numFmtId="170"/>
    <xf borderId="2" fillId="0" fontId="13" numFmtId="170"/>
    <xf borderId="3" fillId="21" fontId="14" numFmtId="170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8" numFmtId="170"/>
    <xf borderId="0" fillId="0" fontId="5" numFmtId="169"/>
    <xf borderId="0" fillId="0" fontId="5" numFmtId="169"/>
    <xf borderId="0" fillId="0" fontId="15" numFmtId="170"/>
    <xf borderId="0" fillId="0" fontId="5" numFmtId="170"/>
    <xf borderId="0" fillId="0" fontId="15" numFmtId="170"/>
    <xf borderId="0" fillId="0" fontId="5" numFmtId="170"/>
    <xf borderId="4" fillId="22" fontId="5" numFmtId="170"/>
    <xf borderId="0" fillId="0" fontId="5" numFmtId="164"/>
    <xf borderId="0" fillId="0" fontId="16" numFmtId="170"/>
    <xf borderId="0" fillId="0" fontId="17" numFmtId="170"/>
    <xf borderId="0" fillId="0" fontId="17" numFmtId="170"/>
    <xf borderId="1" fillId="7" fontId="18" numFmtId="170"/>
    <xf borderId="0" fillId="0" fontId="5" numFmtId="170"/>
    <xf borderId="0" fillId="0" fontId="5" numFmtId="170"/>
    <xf borderId="0" fillId="0" fontId="19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0" fontId="16" numFmtId="170"/>
    <xf borderId="0" fillId="4" fontId="20" numFmtId="170"/>
    <xf borderId="5" fillId="0" fontId="21" numFmtId="170"/>
    <xf borderId="6" fillId="0" fontId="22" numFmtId="170"/>
    <xf borderId="7" fillId="0" fontId="23" numFmtId="170"/>
    <xf borderId="0" fillId="0" fontId="23" numFmtId="170"/>
    <xf borderId="1" fillId="7" fontId="18" numFmtId="170"/>
    <xf borderId="0" fillId="3" fontId="11" numFmtId="170"/>
    <xf borderId="2" fillId="0" fontId="13" numFmtId="170"/>
    <xf borderId="0" fillId="0" fontId="16" numFmtId="170"/>
    <xf borderId="0" fillId="23" fontId="24" numFmtId="170"/>
    <xf borderId="0" fillId="23" fontId="24" numFmtId="170"/>
    <xf borderId="0" fillId="0" fontId="25" numFmtId="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8" fillId="24" fontId="8" numFmtId="170"/>
    <xf borderId="8" fillId="24" fontId="8" numFmtId="170"/>
    <xf borderId="0" fillId="0" fontId="33" numFmtId="0"/>
    <xf borderId="9" fillId="20" fontId="26" numFmtId="170"/>
    <xf borderId="0" fillId="0" fontId="5" numFmtId="0"/>
    <xf borderId="0" fillId="0" fontId="5" numFmtId="0"/>
    <xf borderId="0" fillId="0" fontId="5" numFmtId="0"/>
    <xf borderId="0" fillId="0" fontId="5" numFmtId="0"/>
    <xf borderId="0" fillId="0" fontId="16" numFmtId="170"/>
    <xf borderId="0" fillId="0" fontId="7" numFmtId="0"/>
    <xf borderId="0" fillId="4" fontId="20" numFmtId="170"/>
    <xf borderId="9" fillId="20" fontId="26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27" numFmtId="170"/>
    <xf borderId="0" fillId="0" fontId="32" numFmtId="170"/>
    <xf borderId="0" fillId="20" fontId="27" numFmtId="170"/>
    <xf borderId="0" fillId="25" fontId="27" numFmtId="170"/>
    <xf borderId="0" fillId="0" fontId="19" numFmtId="170"/>
    <xf borderId="0" fillId="0" fontId="28" numFmtId="170"/>
    <xf borderId="0" fillId="0" fontId="28" numFmtId="170"/>
    <xf borderId="5" fillId="0" fontId="21" numFmtId="170"/>
    <xf borderId="6" fillId="0" fontId="22" numFmtId="170"/>
    <xf borderId="7" fillId="0" fontId="23" numFmtId="170"/>
    <xf borderId="0" fillId="0" fontId="23" numFmtId="170"/>
    <xf borderId="10" fillId="0" fontId="30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11" fillId="0" fontId="16" numFmtId="170"/>
    <xf borderId="3" fillId="21" fontId="14" numFmtId="170"/>
    <xf borderId="0" fillId="0" fontId="10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8" fillId="24" fontId="5" numFmtId="170"/>
    <xf borderId="0" fillId="0" fontId="5" numFmtId="170"/>
    <xf borderId="0" fillId="0" fontId="5" numFmtId="17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6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6" numFmtId="170"/>
    <xf borderId="0" fillId="0" fontId="5" numFmtId="170"/>
    <xf borderId="0" fillId="0" fontId="6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5" numFmtId="43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8" fillId="24" fontId="5" numFmtId="170"/>
    <xf borderId="0" fillId="0" fontId="5" numFmtId="170"/>
    <xf borderId="0" fillId="0" fontId="33" numFmtId="0"/>
    <xf borderId="0" fillId="0" fontId="5" numFmtId="0"/>
    <xf borderId="0" fillId="0" fontId="31" numFmtId="170"/>
    <xf borderId="0" fillId="0" fontId="27" numFmtId="170"/>
    <xf borderId="0" fillId="0" fontId="32" numFmtId="170"/>
    <xf borderId="0" fillId="25" fontId="27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0" fillId="0" fontId="5" numFmtId="170"/>
    <xf borderId="8" fillId="24" fontId="5" numFmtId="170"/>
    <xf borderId="0" fillId="0" fontId="5" numFmtId="170"/>
    <xf borderId="0" fillId="0" fontId="4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7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6" numFmtId="170"/>
    <xf borderId="0" fillId="0" fontId="6" numFmtId="170"/>
    <xf borderId="0" fillId="0" fontId="5" numFmtId="43"/>
    <xf borderId="0" fillId="0" fontId="6" numFmtId="170"/>
    <xf borderId="10" fillId="0" fontId="30" numFmtId="170"/>
    <xf borderId="0" fillId="0" fontId="6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5" numFmtId="43"/>
    <xf borderId="0" fillId="0" fontId="6" numFmtId="170"/>
    <xf borderId="0" fillId="0" fontId="6" numFmtId="170"/>
    <xf borderId="0" fillId="0" fontId="6" numFmtId="170"/>
    <xf borderId="0" fillId="0" fontId="5" numFmtId="43"/>
    <xf borderId="0" fillId="0" fontId="5" numFmtId="43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5" numFmtId="43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0" fillId="0" fontId="5" numFmtId="43"/>
    <xf borderId="0" fillId="0" fontId="6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6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6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70"/>
    <xf borderId="0" fillId="0" fontId="5" numFmtId="170"/>
    <xf borderId="4" fillId="22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8" fillId="24" fontId="5" numFmtId="170"/>
    <xf borderId="0" fillId="0" fontId="5" numFmtId="17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26" fontId="8" numFmtId="170"/>
    <xf borderId="0" fillId="27" fontId="8" numFmtId="170"/>
    <xf borderId="0" fillId="28" fontId="8" numFmtId="170"/>
    <xf borderId="0" fillId="29" fontId="8" numFmtId="170"/>
    <xf borderId="0" fillId="30" fontId="8" numFmtId="170"/>
    <xf borderId="0" fillId="31" fontId="8" numFmtId="170"/>
    <xf borderId="0" fillId="32" fontId="8" numFmtId="170"/>
    <xf borderId="0" fillId="33" fontId="8" numFmtId="170"/>
    <xf borderId="0" fillId="34" fontId="8" numFmtId="170"/>
    <xf borderId="0" fillId="29" fontId="8" numFmtId="170"/>
    <xf borderId="0" fillId="32" fontId="8" numFmtId="170"/>
    <xf borderId="0" fillId="35" fontId="8" numFmtId="170"/>
    <xf borderId="0" fillId="36" fontId="9" numFmtId="170"/>
    <xf borderId="0" fillId="33" fontId="9" numFmtId="170"/>
    <xf borderId="0" fillId="34" fontId="9" numFmtId="170"/>
    <xf borderId="0" fillId="37" fontId="9" numFmtId="170"/>
    <xf borderId="0" fillId="38" fontId="9" numFmtId="170"/>
    <xf borderId="0" fillId="39" fontId="9" numFmtId="170"/>
    <xf borderId="1" fillId="25" fontId="12" numFmtId="170"/>
    <xf borderId="0" fillId="0" fontId="8" numFmtId="170"/>
    <xf borderId="0" fillId="0" fontId="8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8" numFmtId="170"/>
    <xf borderId="0" fillId="0" fontId="34" numFmtId="170"/>
    <xf borderId="0" fillId="0" fontId="34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5" numFmtId="170"/>
    <xf borderId="0" fillId="0" fontId="35" numFmtId="170"/>
    <xf borderId="8" fillId="24" fontId="5" numFmtId="170"/>
    <xf borderId="0" fillId="0" fontId="36" numFmtId="170"/>
    <xf borderId="0" fillId="0" fontId="37" numFmtId="170"/>
    <xf borderId="0" fillId="0" fontId="37" numFmtId="170"/>
    <xf borderId="1" fillId="31" fontId="38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0" fontId="36" numFmtId="170"/>
    <xf borderId="0" fillId="27" fontId="11" numFmtId="170"/>
    <xf borderId="0" fillId="0" fontId="36" numFmtId="170"/>
    <xf borderId="0" fillId="45" fontId="42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4" numFmtId="170"/>
    <xf borderId="0" fillId="0" fontId="33" numFmtId="0"/>
    <xf borderId="0" fillId="0" fontId="8" numFmtId="0"/>
    <xf borderId="0" fillId="0" fontId="8" numFmtId="0"/>
    <xf borderId="0" fillId="0" fontId="36" numFmtId="170"/>
    <xf borderId="0" fillId="0" fontId="44" numFmtId="0"/>
    <xf borderId="0" fillId="28" fontId="20" numFmtId="170"/>
    <xf borderId="15" fillId="25" fontId="43" numFmtId="170"/>
    <xf borderId="0" fillId="0" fontId="31" numFmtId="170"/>
    <xf borderId="0" fillId="0" fontId="31" numFmtId="170"/>
    <xf borderId="0" fillId="0" fontId="27" numFmtId="170"/>
    <xf borderId="0" fillId="0" fontId="32" numFmtId="170"/>
    <xf borderId="13" fillId="0" fontId="39" numFmtId="170"/>
    <xf borderId="14" fillId="0" fontId="40" numFmtId="170"/>
    <xf borderId="7" fillId="0" fontId="41" numFmtId="170"/>
    <xf borderId="0" fillId="0" fontId="41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7" fillId="0" fontId="36" numFmtId="170"/>
    <xf borderId="12" fillId="44" fontId="14" numFmtId="170"/>
    <xf borderId="0" fillId="0" fontId="5" numFmtId="43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4" fillId="22" fontId="5" numFmtId="170"/>
    <xf borderId="0" fillId="0" fontId="5" numFmtId="164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7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25" fontId="27" numFmtId="170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6" numFmtId="170"/>
    <xf borderId="0" fillId="0" fontId="5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5" numFmtId="43"/>
    <xf borderId="0" fillId="0" fontId="6" numFmtId="170"/>
    <xf borderId="10" fillId="0" fontId="30" numFmtId="170"/>
    <xf borderId="0" fillId="0" fontId="5" numFmtId="43"/>
    <xf borderId="0" fillId="0" fontId="5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10" fillId="0" fontId="30" numFmtId="170"/>
    <xf borderId="0" fillId="0" fontId="6" numFmtId="170"/>
    <xf borderId="10" fillId="0" fontId="30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1" numFmtId="170"/>
    <xf borderId="0" fillId="0" fontId="1" numFmtId="167"/>
    <xf borderId="0" fillId="0" fontId="19" numFmtId="170"/>
    <xf borderId="2" fillId="0" fontId="13" numFmtId="170"/>
    <xf borderId="0" fillId="0" fontId="5" numFmtId="170"/>
    <xf borderId="0" fillId="0" fontId="1" numFmtId="167"/>
    <xf borderId="0" fillId="0" fontId="1" numFmtId="167"/>
    <xf borderId="0" fillId="0" fontId="1" numFmtId="170"/>
    <xf borderId="0" fillId="0" fontId="10" numFmtId="170"/>
    <xf borderId="0" fillId="0" fontId="1" numFmtId="167"/>
    <xf borderId="0" fillId="0" fontId="1" numFmtId="167"/>
    <xf borderId="0" fillId="0" fontId="1" numFmtId="167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16" fillId="0" fontId="30" numFmtId="170"/>
    <xf borderId="0" fillId="0" fontId="5" numFmtId="43"/>
    <xf borderId="0" fillId="0" fontId="5" numFmtId="43"/>
    <xf borderId="0" fillId="0" fontId="5" numFmtId="43"/>
    <xf borderId="16" fillId="0" fontId="30" numFmtId="170"/>
    <xf borderId="16" fillId="0" fontId="30" numFmtId="170"/>
    <xf borderId="16" fillId="0" fontId="30" numFmtId="170"/>
    <xf borderId="16" fillId="0" fontId="30" numFmtId="170"/>
    <xf borderId="0" fillId="0" fontId="5" numFmtId="43"/>
    <xf borderId="0" fillId="0" fontId="5" numFmtId="43"/>
    <xf borderId="0" fillId="0" fontId="5" numFmtId="43"/>
    <xf borderId="0" fillId="0" fontId="5" numFmtId="43"/>
    <xf borderId="16" fillId="0" fontId="30" numFmtId="170"/>
    <xf borderId="16" fillId="0" fontId="30" numFmtId="170"/>
    <xf borderId="16" fillId="0" fontId="30" numFmtId="170"/>
    <xf borderId="0" fillId="0" fontId="5" numFmtId="43"/>
    <xf borderId="0" fillId="0" fontId="5" numFmtId="43"/>
    <xf borderId="0" fillId="0" fontId="5" numFmtId="43"/>
    <xf borderId="16" fillId="0" fontId="30" numFmtId="170"/>
    <xf borderId="16" fillId="0" fontId="30" numFmtId="170"/>
    <xf borderId="0" fillId="0" fontId="5" numFmtId="43"/>
    <xf borderId="16" fillId="0" fontId="30" numFmtId="170"/>
    <xf borderId="0" fillId="0" fontId="1" numFmtId="170"/>
    <xf borderId="0" fillId="0" fontId="1" numFmtId="167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1" numFmtId="170"/>
    <xf borderId="0" fillId="0" fontId="1" numFmtId="167"/>
    <xf borderId="0" fillId="0" fontId="1" numFmtId="167"/>
    <xf borderId="0" fillId="0" fontId="1" numFmtId="167"/>
    <xf borderId="0" fillId="0" fontId="1" numFmtId="170"/>
    <xf borderId="0" fillId="0" fontId="1" numFmtId="167"/>
    <xf borderId="0" fillId="0" fontId="1" numFmtId="167"/>
    <xf borderId="0" fillId="0" fontId="1" numFmtId="167"/>
    <xf borderId="16" fillId="0" fontId="30" numFmtId="170"/>
    <xf borderId="0" fillId="0" fontId="5" numFmtId="43"/>
    <xf borderId="0" fillId="0" fontId="5" numFmtId="43"/>
    <xf borderId="16" fillId="0" fontId="30" numFmtId="170"/>
    <xf borderId="0" fillId="0" fontId="1" numFmtId="170"/>
    <xf borderId="0" fillId="0" fontId="1" numFmtId="167"/>
    <xf borderId="0" fillId="0" fontId="1" numFmtId="167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16" fillId="0" fontId="30" numFmtId="170"/>
    <xf borderId="16" fillId="0" fontId="30" numFmtId="170"/>
    <xf borderId="0" fillId="0" fontId="5" numFmtId="43"/>
    <xf borderId="0" fillId="0" fontId="5" numFmtId="43"/>
    <xf borderId="0" fillId="0" fontId="5" numFmtId="43"/>
    <xf borderId="0" fillId="0" fontId="5" numFmtId="170"/>
    <xf borderId="16" fillId="0" fontId="30" numFmtId="170"/>
    <xf borderId="0" fillId="0" fontId="5" numFmtId="43"/>
    <xf borderId="0" fillId="0" fontId="5" numFmtId="43"/>
    <xf borderId="16" fillId="0" fontId="30" numFmtId="170"/>
    <xf borderId="16" fillId="0" fontId="30" numFmtId="170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167"/>
    <xf borderId="0" fillId="0" fontId="1" numFmtId="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70"/>
    <xf borderId="0" fillId="0" fontId="5" numFmtId="170"/>
    <xf borderId="4" fillId="22" fontId="5" numFmtId="170"/>
    <xf borderId="0" fillId="0" fontId="5" numFmtId="164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3" numFmtId="0"/>
    <xf borderId="0" fillId="0" fontId="31" numFmtId="170"/>
    <xf borderId="0" fillId="0" fontId="27" numFmtId="170"/>
    <xf borderId="0" fillId="0" fontId="32" numFmtId="170"/>
    <xf borderId="0" fillId="25" fontId="27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4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70"/>
    <xf borderId="0" fillId="0" fontId="5" numFmtId="170"/>
    <xf borderId="4" fillId="22" fontId="5" numFmtId="170"/>
    <xf borderId="0" fillId="0" fontId="5" numFmtId="164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43"/>
    <xf borderId="0" fillId="0" fontId="5" numFmtId="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43"/>
    <xf borderId="8" fillId="24" fontId="5" numFmtId="170"/>
    <xf borderId="0" fillId="0" fontId="5" numFmtId="170"/>
    <xf borderId="0" fillId="0" fontId="5" numFmtId="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4"/>
    <xf borderId="0" fillId="0" fontId="5" numFmtId="170"/>
    <xf borderId="8" fillId="24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7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31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43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70"/>
    <xf borderId="0" fillId="0" fontId="5" numFmtId="170"/>
    <xf borderId="4" fillId="22" fontId="5" numFmtId="170"/>
    <xf borderId="0" fillId="0" fontId="5" numFmtId="164"/>
    <xf borderId="0" fillId="0" fontId="5" numFmtId="170"/>
    <xf borderId="0" fillId="0" fontId="5" numFmtId="170"/>
    <xf borderId="0" fillId="0" fontId="5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5" numFmtId="170"/>
    <xf borderId="0" fillId="0" fontId="5" numFmtId="170"/>
    <xf borderId="0" fillId="0" fontId="5" numFmtId="169"/>
    <xf borderId="0" fillId="0" fontId="5" numFmtId="169"/>
    <xf borderId="0" fillId="0" fontId="5" numFmtId="169"/>
    <xf borderId="0" fillId="0" fontId="5" numFmtId="43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0" fillId="0" fontId="5" numFmtId="169"/>
    <xf borderId="4" fillId="22" fontId="5" numFmtId="170"/>
    <xf borderId="0" fillId="0" fontId="5" numFmtId="164"/>
    <xf borderId="0" fillId="0" fontId="5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0" fillId="0" fontId="31" numFmtId="170"/>
    <xf borderId="4" fillId="22" fontId="5" numFmtId="170"/>
    <xf borderId="0" fillId="0" fontId="5" numFmtId="0"/>
    <xf borderId="0" fillId="0" fontId="5" numFmtId="0"/>
    <xf borderId="0" fillId="0" fontId="5" numFmtId="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170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5" numFmtId="43"/>
    <xf borderId="0" fillId="0" fontId="5" numFmtId="170"/>
    <xf borderId="0" fillId="0" fontId="5" numFmtId="170"/>
    <xf borderId="0" fillId="0" fontId="5" numFmtId="43"/>
    <xf borderId="0" fillId="0" fontId="5" numFmtId="17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6"/>
  </cellStyleXfs>
  <cellXfs count="96">
    <xf borderId="0" fillId="0" fontId="0" numFmtId="170" pivotButton="0" quotePrefix="0" xfId="0"/>
    <xf borderId="0" fillId="46" fontId="0" numFmtId="4" pivotButton="0" quotePrefix="0" xfId="0"/>
    <xf borderId="0" fillId="46" fontId="46" numFmtId="10" pivotButton="0" quotePrefix="0" xfId="31499"/>
    <xf borderId="0" fillId="46" fontId="0" numFmtId="10" pivotButton="0" quotePrefix="0" xfId="31499"/>
    <xf applyAlignment="1" borderId="0" fillId="46" fontId="2" numFmtId="15" pivotButton="0" quotePrefix="0" xfId="0">
      <alignment horizontal="right"/>
    </xf>
    <xf applyAlignment="1" borderId="0" fillId="48" fontId="2" numFmtId="15" pivotButton="0" quotePrefix="0" xfId="0">
      <alignment horizontal="right"/>
    </xf>
    <xf borderId="0" fillId="46" fontId="47" numFmtId="10" pivotButton="0" quotePrefix="0" xfId="31499"/>
    <xf borderId="27" fillId="46" fontId="47" numFmtId="10" pivotButton="0" quotePrefix="0" xfId="31499"/>
    <xf borderId="24" fillId="46" fontId="47" numFmtId="10" pivotButton="0" quotePrefix="0" xfId="31499"/>
    <xf borderId="23" fillId="46" fontId="47" numFmtId="10" pivotButton="0" quotePrefix="0" xfId="31499"/>
    <xf borderId="26" fillId="46" fontId="47" numFmtId="10" pivotButton="0" quotePrefix="0" xfId="31499"/>
    <xf borderId="0" fillId="46" fontId="0" numFmtId="0" pivotButton="0" quotePrefix="0" xfId="0"/>
    <xf borderId="28" fillId="46" fontId="47" numFmtId="10" pivotButton="0" quotePrefix="0" xfId="31499"/>
    <xf borderId="0" fillId="46" fontId="0" numFmtId="170" pivotButton="0" quotePrefix="0" xfId="0"/>
    <xf borderId="0" fillId="46" fontId="2" numFmtId="170" pivotButton="0" quotePrefix="0" xfId="0"/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6" fontId="2" numFmtId="170" pivotButton="0" quotePrefix="0" xfId="0">
      <alignment horizontal="right"/>
    </xf>
    <xf borderId="0" fillId="46" fontId="0" numFmtId="176" pivotButton="0" quotePrefix="0" xfId="0"/>
    <xf borderId="0" fillId="46" fontId="0" numFmtId="177" pivotButton="0" quotePrefix="0" xfId="43807"/>
    <xf applyAlignment="1" borderId="0" fillId="48" fontId="2" numFmtId="172" pivotButton="0" quotePrefix="0" xfId="31498">
      <alignment horizontal="right"/>
    </xf>
    <xf applyAlignment="1" borderId="0" fillId="46" fontId="48" numFmtId="170" pivotButton="0" quotePrefix="0" xfId="0">
      <alignment horizontal="right"/>
    </xf>
    <xf applyAlignment="1" borderId="0" fillId="46" fontId="2" numFmtId="172" pivotButton="0" quotePrefix="0" xfId="31498">
      <alignment horizontal="right"/>
    </xf>
    <xf borderId="0" fillId="46" fontId="0" numFmtId="167" pivotButton="0" quotePrefix="0" xfId="31498"/>
    <xf applyAlignment="1" borderId="0" fillId="46" fontId="0" numFmtId="172" pivotButton="0" quotePrefix="0" xfId="31498">
      <alignment horizontal="right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6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23" fillId="46" fontId="0" numFmtId="173" pivotButton="0" quotePrefix="0" xfId="0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borderId="23" fillId="46" fontId="47" numFmtId="173" pivotButton="0" quotePrefix="0" xfId="0"/>
    <xf borderId="23" fillId="46" fontId="47" numFmtId="171" pivotButton="0" quotePrefix="0" xfId="0"/>
    <xf borderId="0" fillId="46" fontId="47" numFmtId="171" pivotButton="0" quotePrefix="0" xfId="0"/>
    <xf borderId="0" fillId="46" fontId="47" numFmtId="174" pivotButton="0" quotePrefix="0" xfId="31498"/>
    <xf borderId="0" fillId="46" fontId="47" numFmtId="174" pivotButton="0" quotePrefix="0" xfId="31499"/>
    <xf borderId="24" fillId="46" fontId="47" numFmtId="174" pivotButton="0" quotePrefix="0" xfId="31499"/>
    <xf borderId="0" fillId="46" fontId="47" numFmtId="168" pivotButton="0" quotePrefix="0" xfId="0"/>
    <xf borderId="0" fillId="46" fontId="47" numFmtId="167" pivotButton="0" quotePrefix="0" xfId="31498"/>
    <xf borderId="0" fillId="46" fontId="47" numFmtId="175" pivotButton="0" quotePrefix="0" xfId="31498"/>
    <xf borderId="0" fillId="49" fontId="47" numFmtId="174" pivotButton="0" quotePrefix="0" xfId="31499"/>
    <xf borderId="24" fillId="46" fontId="47" numFmtId="167" pivotButton="0" quotePrefix="0" xfId="31498"/>
    <xf borderId="0" fillId="49" fontId="47" numFmtId="168" pivotButton="0" quotePrefix="0" xfId="0"/>
    <xf applyAlignment="1" borderId="25" fillId="46" fontId="47" numFmtId="173" pivotButton="0" quotePrefix="0" xfId="0">
      <alignment horizontal="center"/>
    </xf>
    <xf borderId="26" fillId="46" fontId="47" numFmtId="171" pivotButton="0" quotePrefix="0" xfId="0"/>
    <xf borderId="27" fillId="46" fontId="47" numFmtId="171" pivotButton="0" quotePrefix="0" xfId="0"/>
    <xf borderId="28" fillId="46" fontId="47" numFmtId="167" pivotButton="0" quotePrefix="0" xfId="31499"/>
    <xf borderId="0" fillId="46" fontId="0" numFmtId="173" pivotButton="0" quotePrefix="0" xfId="0"/>
    <xf borderId="0" fillId="46" fontId="46" numFmtId="171" pivotButton="0" quotePrefix="0" xfId="0"/>
    <xf borderId="0" fillId="46" fontId="0" numFmtId="170" pivotButton="0" quotePrefix="0" xfId="0"/>
    <xf borderId="0" fillId="46" fontId="2" numFmtId="170" pivotButton="0" quotePrefix="0" xfId="0"/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6" fontId="2" numFmtId="170" pivotButton="0" quotePrefix="0" xfId="0">
      <alignment horizontal="right"/>
    </xf>
    <xf borderId="0" fillId="46" fontId="0" numFmtId="176" pivotButton="0" quotePrefix="0" xfId="0"/>
    <xf borderId="0" fillId="46" fontId="0" numFmtId="177" pivotButton="0" quotePrefix="0" xfId="43807"/>
    <xf applyAlignment="1" borderId="0" fillId="48" fontId="2" numFmtId="172" pivotButton="0" quotePrefix="0" xfId="31498">
      <alignment horizontal="right"/>
    </xf>
    <xf applyAlignment="1" borderId="0" fillId="46" fontId="48" numFmtId="170" pivotButton="0" quotePrefix="0" xfId="0">
      <alignment horizontal="right"/>
    </xf>
    <xf applyAlignment="1" borderId="0" fillId="46" fontId="2" numFmtId="172" pivotButton="0" quotePrefix="0" xfId="31498">
      <alignment horizontal="right"/>
    </xf>
    <xf borderId="0" fillId="46" fontId="0" numFmtId="167" pivotButton="0" quotePrefix="0" xfId="31498"/>
    <xf applyAlignment="1" borderId="0" fillId="46" fontId="0" numFmtId="172" pivotButton="0" quotePrefix="0" xfId="31498">
      <alignment horizontal="right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6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0" fontId="0" numFmtId="0" pivotButton="0" quotePrefix="0" xfId="0"/>
    <xf borderId="23" fillId="46" fontId="0" numFmtId="173" pivotButton="0" quotePrefix="0" xfId="0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borderId="23" fillId="46" fontId="47" numFmtId="173" pivotButton="0" quotePrefix="0" xfId="0"/>
    <xf borderId="23" fillId="46" fontId="47" numFmtId="171" pivotButton="0" quotePrefix="0" xfId="0"/>
    <xf borderId="0" fillId="46" fontId="47" numFmtId="171" pivotButton="0" quotePrefix="0" xfId="0"/>
    <xf borderId="0" fillId="46" fontId="47" numFmtId="174" pivotButton="0" quotePrefix="0" xfId="31498"/>
    <xf borderId="0" fillId="46" fontId="47" numFmtId="174" pivotButton="0" quotePrefix="0" xfId="31499"/>
    <xf borderId="24" fillId="46" fontId="47" numFmtId="174" pivotButton="0" quotePrefix="0" xfId="31499"/>
    <xf borderId="0" fillId="46" fontId="47" numFmtId="168" pivotButton="0" quotePrefix="0" xfId="0"/>
    <xf borderId="0" fillId="46" fontId="47" numFmtId="167" pivotButton="0" quotePrefix="0" xfId="31498"/>
    <xf borderId="0" fillId="46" fontId="47" numFmtId="175" pivotButton="0" quotePrefix="0" xfId="31498"/>
    <xf borderId="0" fillId="49" fontId="47" numFmtId="174" pivotButton="0" quotePrefix="0" xfId="31499"/>
    <xf borderId="24" fillId="46" fontId="47" numFmtId="167" pivotButton="0" quotePrefix="0" xfId="31498"/>
    <xf borderId="0" fillId="49" fontId="47" numFmtId="168" pivotButton="0" quotePrefix="0" xfId="0"/>
    <xf applyAlignment="1" borderId="25" fillId="46" fontId="47" numFmtId="173" pivotButton="0" quotePrefix="0" xfId="0">
      <alignment horizontal="center"/>
    </xf>
    <xf borderId="26" fillId="46" fontId="47" numFmtId="171" pivotButton="0" quotePrefix="0" xfId="0"/>
    <xf borderId="27" fillId="46" fontId="47" numFmtId="171" pivotButton="0" quotePrefix="0" xfId="0"/>
    <xf borderId="28" fillId="46" fontId="47" numFmtId="167" pivotButton="0" quotePrefix="0" xfId="31499"/>
    <xf borderId="0" fillId="46" fontId="0" numFmtId="173" pivotButton="0" quotePrefix="0" xfId="0"/>
    <xf borderId="0" fillId="46" fontId="46" numFmtId="171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builtinId="4" name="Currency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Q50"/>
  <sheetViews>
    <sheetView tabSelected="1" topLeftCell="A17" workbookViewId="0" zoomScaleNormal="100">
      <selection activeCell="J55" sqref="J55"/>
    </sheetView>
  </sheetViews>
  <sheetFormatPr baseColWidth="8" defaultColWidth="9.140625" defaultRowHeight="15" outlineLevelCol="0"/>
  <cols>
    <col bestFit="1" customWidth="1" max="1" min="1" style="54" width="2"/>
    <col customWidth="1" max="2" min="2" style="54" width="13"/>
    <col customWidth="1" max="4" min="3" style="54" width="16.140625"/>
    <col customWidth="1" max="5" min="5" style="54" width="16"/>
    <col customWidth="1" max="6" min="6" style="54" width="15.7109375"/>
    <col customWidth="1" hidden="1" max="8" min="7" style="54" width="19"/>
    <col customWidth="1" max="9" min="9" style="54" width="15.28515625"/>
    <col customWidth="1" max="10" min="10" style="54" width="18.28515625"/>
    <col customWidth="1" max="16" min="11" style="54" width="14.85546875"/>
    <col customWidth="1" max="17" min="17" style="54" width="16.5703125"/>
    <col customWidth="1" max="18" min="18" style="54" width="9.140625"/>
    <col customWidth="1" max="16384" min="19" style="54" width="9.140625"/>
  </cols>
  <sheetData>
    <row r="2" spans="1:17">
      <c r="J2" s="3" t="n"/>
      <c r="K2" s="3" t="n"/>
      <c r="L2" s="3" t="n"/>
      <c r="M2" s="3" t="n"/>
      <c r="N2" s="3" t="n"/>
      <c r="O2" s="3" t="n"/>
      <c r="P2" s="3" t="n"/>
      <c r="Q2" s="3" t="n"/>
    </row>
    <row r="3" spans="1:17">
      <c r="J3" s="3" t="n"/>
      <c r="K3" s="3" t="n"/>
      <c r="L3" s="3" t="n"/>
      <c r="M3" s="3" t="n"/>
      <c r="N3" s="3" t="n"/>
      <c r="O3" s="3" t="n"/>
      <c r="P3" s="3" t="n"/>
      <c r="Q3" s="3" t="n"/>
    </row>
    <row r="4" spans="1:17">
      <c r="J4" s="3" t="n"/>
      <c r="K4" s="3" t="n"/>
      <c r="L4" s="3" t="n"/>
      <c r="M4" s="3" t="n"/>
      <c r="N4" s="3" t="n"/>
      <c r="O4" s="3" t="n"/>
      <c r="P4" s="3" t="n"/>
      <c r="Q4" s="3" t="n"/>
    </row>
    <row r="5" spans="1:17">
      <c r="J5" s="3" t="n"/>
      <c r="K5" s="3" t="n"/>
      <c r="L5" s="3" t="n"/>
      <c r="M5" s="3" t="n"/>
      <c r="N5" s="3" t="n"/>
      <c r="O5" s="3" t="n"/>
      <c r="P5" s="3" t="n"/>
      <c r="Q5" s="3" t="n"/>
    </row>
    <row r="6" spans="1:17">
      <c r="J6" s="3" t="n"/>
      <c r="K6" s="3" t="n"/>
      <c r="L6" s="3" t="n"/>
      <c r="M6" s="3" t="n"/>
      <c r="N6" s="3" t="n"/>
      <c r="O6" s="3" t="n"/>
      <c r="P6" s="3" t="n"/>
      <c r="Q6" s="3" t="n"/>
    </row>
    <row r="7" spans="1:17">
      <c r="J7" s="3" t="n"/>
      <c r="K7" s="3" t="n"/>
      <c r="L7" s="3" t="n"/>
      <c r="M7" s="3" t="n"/>
      <c r="N7" s="3" t="n"/>
      <c r="O7" s="3" t="n"/>
      <c r="P7" s="3" t="n"/>
      <c r="Q7" s="3" t="n"/>
    </row>
    <row r="8" spans="1:17">
      <c r="J8" s="3" t="n"/>
      <c r="K8" s="3" t="n"/>
      <c r="L8" s="3" t="n"/>
      <c r="M8" s="3" t="n"/>
      <c r="N8" s="3" t="n"/>
      <c r="O8" s="3" t="n"/>
      <c r="P8" s="3" t="n"/>
      <c r="Q8" s="3" t="s">
        <v>0</v>
      </c>
    </row>
    <row r="9" spans="1:17">
      <c r="B9" s="55" t="s">
        <v>1</v>
      </c>
      <c r="D9" s="56" t="n"/>
      <c r="E9" s="57" t="s">
        <v>2</v>
      </c>
      <c r="G9" s="58" t="n"/>
      <c r="H9" s="58" t="n"/>
      <c r="J9" s="3" t="n"/>
      <c r="K9" s="3" t="n"/>
      <c r="L9" s="3" t="n"/>
      <c r="M9" s="3" t="n"/>
      <c r="N9" s="3" t="n"/>
      <c r="O9" s="3" t="n"/>
      <c r="Q9" s="59">
        <f>E11</f>
        <v/>
      </c>
    </row>
    <row r="10" spans="1:17">
      <c r="B10" s="55" t="s">
        <v>3</v>
      </c>
      <c r="D10" s="56" t="n"/>
      <c r="E10" s="57" t="s">
        <v>4</v>
      </c>
      <c r="G10" s="58" t="n"/>
      <c r="H10" s="58" t="n"/>
      <c r="J10" s="3" t="n"/>
      <c r="K10" s="3" t="n"/>
      <c r="L10" s="3" t="n"/>
      <c r="M10" s="3" t="n"/>
      <c r="N10" s="3" t="n"/>
      <c r="O10" s="3" t="n"/>
    </row>
    <row r="11" spans="1:17">
      <c r="B11" s="55" t="s">
        <v>5</v>
      </c>
      <c r="D11" s="56" t="n"/>
      <c r="E11" s="5" t="n">
        <v>42855</v>
      </c>
      <c r="F11" s="60">
        <f>E13-E14</f>
        <v/>
      </c>
      <c r="G11" s="4" t="n"/>
      <c r="H11" s="4" t="n"/>
      <c r="P11" s="54" t="s">
        <v>6</v>
      </c>
      <c r="Q11" s="59" t="n">
        <v>42419</v>
      </c>
    </row>
    <row r="12" spans="1:17">
      <c r="B12" s="55" t="s">
        <v>7</v>
      </c>
      <c r="D12" s="56" t="n"/>
      <c r="E12" s="61" t="n">
        <v>10</v>
      </c>
      <c r="G12" s="4" t="n"/>
      <c r="H12" s="4" t="n"/>
      <c r="P12" s="54" t="s">
        <v>8</v>
      </c>
      <c r="Q12" s="59" t="n">
        <v>42779</v>
      </c>
    </row>
    <row r="13" spans="1:17">
      <c r="B13" s="55" t="s">
        <v>9</v>
      </c>
      <c r="D13" s="56" t="n"/>
      <c r="E13" s="61" t="n">
        <v>10000000</v>
      </c>
      <c r="F13" s="62" t="s">
        <v>10</v>
      </c>
      <c r="G13" s="63" t="n"/>
      <c r="H13" s="63" t="n"/>
      <c r="Q13" s="11">
        <f>(YEAR(Q11)-YEAR(Q9))*12+MONTH(Q11)-MONTH(Q9)</f>
        <v/>
      </c>
    </row>
    <row r="14" spans="1:17">
      <c r="B14" s="55" t="s">
        <v>11</v>
      </c>
      <c r="D14" s="56" t="n"/>
      <c r="E14" s="61">
        <f>E13-C49</f>
        <v/>
      </c>
      <c r="G14" s="63" t="n"/>
      <c r="H14" s="63" t="n"/>
      <c r="Q14" s="11">
        <f>(YEAR(Q12)-YEAR(Q9))*12+MONTH(Q12)-MONTH(Q9)</f>
        <v/>
      </c>
    </row>
    <row r="15" spans="1:17">
      <c r="B15" s="55" t="n"/>
      <c r="D15" s="64" t="n"/>
      <c r="F15" s="65" t="n"/>
      <c r="G15" s="65" t="n"/>
      <c r="H15" s="65" t="n"/>
    </row>
    <row r="16" spans="1:17">
      <c r="B16" s="55" t="n"/>
      <c r="D16" s="64" t="n"/>
      <c r="F16" s="65" t="n"/>
      <c r="G16" s="65" t="s">
        <v>12</v>
      </c>
      <c r="H16" s="65" t="s">
        <v>12</v>
      </c>
    </row>
    <row r="17" spans="1:17">
      <c r="C17" s="66" t="s">
        <v>13</v>
      </c>
      <c r="D17" s="67" t="s">
        <v>13</v>
      </c>
      <c r="E17" s="67" t="s">
        <v>13</v>
      </c>
      <c r="F17" s="67" t="s">
        <v>14</v>
      </c>
      <c r="G17" s="67" t="n"/>
      <c r="H17" s="67" t="n"/>
      <c r="I17" s="68" t="s">
        <v>15</v>
      </c>
      <c r="J17" s="66" t="s">
        <v>16</v>
      </c>
      <c r="K17" s="67" t="s">
        <v>17</v>
      </c>
      <c r="L17" s="67" t="n"/>
      <c r="M17" s="67" t="n"/>
      <c r="N17" s="67" t="n"/>
      <c r="O17" s="67" t="n"/>
      <c r="P17" s="67" t="n"/>
      <c r="Q17" s="68" t="s">
        <v>17</v>
      </c>
    </row>
    <row r="18" spans="1:17">
      <c r="B18" s="69" t="s">
        <v>18</v>
      </c>
      <c r="C18" s="70" t="s">
        <v>19</v>
      </c>
      <c r="D18" s="71" t="s">
        <v>20</v>
      </c>
      <c r="E18" s="71" t="s">
        <v>21</v>
      </c>
      <c r="F18" s="71" t="s">
        <v>22</v>
      </c>
      <c r="G18" s="71" t="n"/>
      <c r="H18" s="71" t="n"/>
      <c r="I18" s="72" t="s">
        <v>23</v>
      </c>
      <c r="J18" s="70" t="s">
        <v>23</v>
      </c>
      <c r="K18" s="71" t="s">
        <v>24</v>
      </c>
      <c r="L18" s="71" t="s">
        <v>25</v>
      </c>
      <c r="M18" s="71" t="n"/>
      <c r="N18" s="71" t="n"/>
      <c r="O18" s="71" t="n"/>
      <c r="P18" s="71" t="n"/>
      <c r="Q18" s="72" t="s">
        <v>26</v>
      </c>
    </row>
    <row hidden="1" r="19" s="73" spans="1:17">
      <c r="B19" s="74" t="n"/>
      <c r="C19" s="75" t="n"/>
      <c r="D19" s="76" t="n"/>
      <c r="E19" s="76" t="n"/>
      <c r="F19" s="76" t="n"/>
      <c r="G19" s="76" t="n"/>
      <c r="H19" s="76" t="n"/>
      <c r="I19" s="77" t="n"/>
      <c r="J19" s="75" t="n"/>
      <c r="K19" s="76" t="n"/>
      <c r="L19" s="76" t="s">
        <v>25</v>
      </c>
      <c r="M19" s="76" t="n"/>
      <c r="N19" s="76" t="n"/>
      <c r="O19" s="76" t="n"/>
      <c r="P19" s="76" t="n"/>
      <c r="Q19" s="77" t="n"/>
    </row>
    <row r="20" spans="1:17">
      <c r="B20" s="78" t="n">
        <v>42035</v>
      </c>
      <c r="C20" s="79" t="n">
        <v>2128112</v>
      </c>
      <c r="D20" s="80" t="n">
        <v>2247335</v>
      </c>
      <c r="E20" s="80" t="n">
        <v>0</v>
      </c>
      <c r="F20" s="6" t="n"/>
      <c r="G20" s="81" t="n"/>
      <c r="H20" s="82" t="n"/>
      <c r="I20" s="83" t="n"/>
      <c r="J20" s="9" t="n"/>
      <c r="K20" s="6" t="n"/>
      <c r="L20" s="84" t="n">
        <v>0.000101</v>
      </c>
      <c r="M20" s="85" t="n">
        <v>100</v>
      </c>
      <c r="N20" s="6">
        <f>+M20/100</f>
        <v/>
      </c>
      <c r="O20" s="81">
        <f>COUNT($B$20:B20)/12</f>
        <v/>
      </c>
      <c r="P20" s="6">
        <f>-1+(N20^(1/O20))</f>
        <v/>
      </c>
      <c r="Q20" s="8" t="n"/>
    </row>
    <row r="21" spans="1:17">
      <c r="B21" s="78" t="n">
        <v>42063</v>
      </c>
      <c r="C21" s="79">
        <f>+C20</f>
        <v/>
      </c>
      <c r="D21" s="80" t="n">
        <v>2227634.79</v>
      </c>
      <c r="E21" s="80" t="n">
        <v>0</v>
      </c>
      <c r="F21" s="6" t="n">
        <v>-0.008766029999999999</v>
      </c>
      <c r="G21" s="86">
        <f>+F21+1</f>
        <v/>
      </c>
      <c r="H21" s="87">
        <f>+G21</f>
        <v/>
      </c>
      <c r="I21" s="8">
        <f>+H21-1</f>
        <v/>
      </c>
      <c r="J21" s="9">
        <f>+(1+I21)^(365/(B21-$B$20))-1</f>
        <v/>
      </c>
      <c r="K21" s="6" t="n"/>
      <c r="L21" s="84" t="n">
        <v>0.000203</v>
      </c>
      <c r="M21" s="81">
        <f>+M20*(1+(L21*(B21-B20)/365))</f>
        <v/>
      </c>
      <c r="N21" s="6">
        <f>+M21/100</f>
        <v/>
      </c>
      <c r="O21" s="81">
        <f>COUNT($B$20:B21)/12</f>
        <v/>
      </c>
      <c r="P21" s="6">
        <f>-1+(N21^(1/O21))</f>
        <v/>
      </c>
      <c r="Q21" s="88" t="n"/>
    </row>
    <row r="22" spans="1:17">
      <c r="B22" s="78" t="n">
        <v>42094</v>
      </c>
      <c r="C22" s="79">
        <f>+C21+230362</f>
        <v/>
      </c>
      <c r="D22" s="80" t="n">
        <v>2477426.85</v>
      </c>
      <c r="E22" s="80" t="n">
        <v>0</v>
      </c>
      <c r="F22" s="6" t="n">
        <v>0.0071120086</v>
      </c>
      <c r="G22" s="86">
        <f>+F22+1</f>
        <v/>
      </c>
      <c r="H22" s="87">
        <f>+G22*G21</f>
        <v/>
      </c>
      <c r="I22" s="8">
        <f>+H22-1</f>
        <v/>
      </c>
      <c r="J22" s="9">
        <f>+(1+I22)^(365/(B22-$B$20))-1</f>
        <v/>
      </c>
      <c r="K22" s="6">
        <f>STDEV($F$21:F22)*(12^0.5)</f>
        <v/>
      </c>
      <c r="L22" s="84" t="n">
        <v>0.000101</v>
      </c>
      <c r="M22" s="81">
        <f>+M21*(1+(L22*(B22-B21)/365))</f>
        <v/>
      </c>
      <c r="N22" s="6">
        <f>+M22/100</f>
        <v/>
      </c>
      <c r="O22" s="81">
        <f>COUNT($B$20:B22)/12</f>
        <v/>
      </c>
      <c r="P22" s="6">
        <f>-1+(N22^(1/O22))</f>
        <v/>
      </c>
      <c r="Q22" s="88">
        <f>+(J22-P22)/K22</f>
        <v/>
      </c>
    </row>
    <row r="23" spans="1:17">
      <c r="B23" s="78" t="n">
        <v>42124</v>
      </c>
      <c r="C23" s="79">
        <f>+C22+1343776.4</f>
        <v/>
      </c>
      <c r="D23" s="80" t="n">
        <v>3897331.38</v>
      </c>
      <c r="E23" s="80" t="n">
        <v>0</v>
      </c>
      <c r="F23" s="6" t="n">
        <v>0.0199226</v>
      </c>
      <c r="G23" s="86">
        <f>+F23+1</f>
        <v/>
      </c>
      <c r="H23" s="87">
        <f>+G23*G22*G21</f>
        <v/>
      </c>
      <c r="I23" s="8">
        <f>+H23-1</f>
        <v/>
      </c>
      <c r="J23" s="9">
        <f>+(1+I23)^(365/(B23-$B$20))-1</f>
        <v/>
      </c>
      <c r="K23" s="6">
        <f>STDEV($F$21:F23)*(12^0.5)</f>
        <v/>
      </c>
      <c r="L23" s="84" t="n">
        <v>-0.000152</v>
      </c>
      <c r="M23" s="81">
        <f>+M22*(1+(L23*(B23-B22)/365))</f>
        <v/>
      </c>
      <c r="N23" s="6">
        <f>+M23/100</f>
        <v/>
      </c>
      <c r="O23" s="81">
        <f>COUNT($B$20:B23)/12</f>
        <v/>
      </c>
      <c r="P23" s="6">
        <f>-1+(N23^(1/O23))</f>
        <v/>
      </c>
      <c r="Q23" s="88">
        <f>+(J23-P23)/K23</f>
        <v/>
      </c>
    </row>
    <row r="24" spans="1:17">
      <c r="B24" s="78" t="n">
        <v>42155</v>
      </c>
      <c r="C24" s="79">
        <f>+C23+1207671</f>
        <v/>
      </c>
      <c r="D24" s="80" t="n">
        <v>5117920.47</v>
      </c>
      <c r="E24" s="80" t="n">
        <v>0</v>
      </c>
      <c r="F24" s="6" t="n">
        <v>0.002530468</v>
      </c>
      <c r="G24" s="86">
        <f>+F24+1</f>
        <v/>
      </c>
      <c r="H24" s="87">
        <f>+G24*G23*G22*G21</f>
        <v/>
      </c>
      <c r="I24" s="8">
        <f>+H24-1</f>
        <v/>
      </c>
      <c r="J24" s="9">
        <f>+(1+I24)^(365/(B24-$B$20))-1</f>
        <v/>
      </c>
      <c r="K24" s="6">
        <f>STDEV($F$21:F24)*(12^0.5)</f>
        <v/>
      </c>
      <c r="L24" s="84" t="n">
        <v>0</v>
      </c>
      <c r="M24" s="81">
        <f>+M23*(1+(L24*(B24-B23)/365))</f>
        <v/>
      </c>
      <c r="N24" s="6">
        <f>+M24/100</f>
        <v/>
      </c>
      <c r="O24" s="81">
        <f>COUNT($B$20:B24)/12</f>
        <v/>
      </c>
      <c r="P24" s="6">
        <f>-1+(N24^(1/O24))</f>
        <v/>
      </c>
      <c r="Q24" s="88">
        <f>+(J24-P24)/K24</f>
        <v/>
      </c>
    </row>
    <row r="25" spans="1:17">
      <c r="B25" s="78" t="n">
        <v>42185</v>
      </c>
      <c r="C25" s="79">
        <f>+C24</f>
        <v/>
      </c>
      <c r="D25" s="80" t="n">
        <v>5131274.72</v>
      </c>
      <c r="E25" s="80" t="n">
        <v>35322.12</v>
      </c>
      <c r="F25" s="6" t="n">
        <v>0.009577064</v>
      </c>
      <c r="G25" s="86">
        <f>+F25+1</f>
        <v/>
      </c>
      <c r="H25" s="87">
        <f>+G25*G24*G23*G22*G21</f>
        <v/>
      </c>
      <c r="I25" s="8">
        <f>+H25-1</f>
        <v/>
      </c>
      <c r="J25" s="9">
        <f>+(1+I25)^(365/(B25-$B$20))-1</f>
        <v/>
      </c>
      <c r="K25" s="6">
        <f>STDEV($F$21:F25)*(12^0.5)</f>
        <v/>
      </c>
      <c r="L25" s="84" t="n">
        <v>-0.0001</v>
      </c>
      <c r="M25" s="81">
        <f>+M24*(1+(L25*(B25-B24)/365))</f>
        <v/>
      </c>
      <c r="N25" s="6">
        <f>+M25/100</f>
        <v/>
      </c>
      <c r="O25" s="81">
        <f>COUNT($B$20:B25)/12</f>
        <v/>
      </c>
      <c r="P25" s="6">
        <f>-1+(N25^(1/O25))</f>
        <v/>
      </c>
      <c r="Q25" s="88">
        <f>+(J25-P25)/K25</f>
        <v/>
      </c>
    </row>
    <row r="26" spans="1:17">
      <c r="B26" s="78" t="n">
        <v>42216</v>
      </c>
      <c r="C26" s="79">
        <f>+C25</f>
        <v/>
      </c>
      <c r="D26" s="80" t="n">
        <v>5164289.33</v>
      </c>
      <c r="E26" s="80" t="n">
        <v>0</v>
      </c>
      <c r="F26" s="6" t="n">
        <v>0.00643</v>
      </c>
      <c r="G26" s="86">
        <f>+F26+1</f>
        <v/>
      </c>
      <c r="H26" s="87">
        <f>+G26*G25*G24*G23*G22*G21</f>
        <v/>
      </c>
      <c r="I26" s="8">
        <f>+H26-1</f>
        <v/>
      </c>
      <c r="J26" s="9">
        <f>+(1+I26)^(365/(B26-$B$20))-1</f>
        <v/>
      </c>
      <c r="K26" s="6">
        <f>STDEV($F$21:F26)*(12^0.5)</f>
        <v/>
      </c>
      <c r="L26" s="84" t="n">
        <v>0.0002</v>
      </c>
      <c r="M26" s="81">
        <f>+M25*(1+(L26*(B26-B25)/365))</f>
        <v/>
      </c>
      <c r="N26" s="6">
        <f>+M26/100</f>
        <v/>
      </c>
      <c r="O26" s="81">
        <f>COUNT($B$20:B26)/12</f>
        <v/>
      </c>
      <c r="P26" s="6">
        <f>-1+(N26^(1/O26))</f>
        <v/>
      </c>
      <c r="Q26" s="88">
        <f>+(J26-P26)/K26</f>
        <v/>
      </c>
    </row>
    <row r="27" spans="1:17">
      <c r="B27" s="78" t="n">
        <v>42247</v>
      </c>
      <c r="C27" s="79">
        <f>+C26+222682.95</f>
        <v/>
      </c>
      <c r="D27" s="80" t="n">
        <v>5401239</v>
      </c>
      <c r="E27" s="80" t="n">
        <v>28027.34</v>
      </c>
      <c r="F27" s="6" t="n">
        <v>0.00789224</v>
      </c>
      <c r="G27" s="86">
        <f>+F27+1</f>
        <v/>
      </c>
      <c r="H27" s="87">
        <f>+G27*G26*G25*G24*G23*G22*G21</f>
        <v/>
      </c>
      <c r="I27" s="8">
        <f>+H27-1</f>
        <v/>
      </c>
      <c r="J27" s="9">
        <f>+(1+I27)^(365/(B27-$B$20))-1</f>
        <v/>
      </c>
      <c r="K27" s="6">
        <f>STDEV($F$21:F27)*(12^0.5)</f>
        <v/>
      </c>
      <c r="L27" s="84" t="n">
        <v>0</v>
      </c>
      <c r="M27" s="81">
        <f>+M26*(1+(L27*(B27-B26)/365))</f>
        <v/>
      </c>
      <c r="N27" s="6">
        <f>+M27/100</f>
        <v/>
      </c>
      <c r="O27" s="81">
        <f>COUNT($B$20:B27)/12</f>
        <v/>
      </c>
      <c r="P27" s="6">
        <f>-1+(N27^(1/O27))</f>
        <v/>
      </c>
      <c r="Q27" s="88">
        <f>+(J27-P27)/K27</f>
        <v/>
      </c>
    </row>
    <row r="28" spans="1:17">
      <c r="B28" s="78" t="n">
        <v>42277</v>
      </c>
      <c r="C28" s="79">
        <f>+C27</f>
        <v/>
      </c>
      <c r="D28" s="80" t="n">
        <v>5510249.58</v>
      </c>
      <c r="E28" s="80" t="n">
        <v>0</v>
      </c>
      <c r="F28" s="6" t="n">
        <v>0.020182514</v>
      </c>
      <c r="G28" s="86">
        <f>+F28+1</f>
        <v/>
      </c>
      <c r="H28" s="87">
        <f>+G28*G27*G26*G25*G24*G23*G22*G21</f>
        <v/>
      </c>
      <c r="I28" s="8">
        <f>+H28-1</f>
        <v/>
      </c>
      <c r="J28" s="9">
        <f>+(1+I28)^(365/(B28-$B$20))-1</f>
        <v/>
      </c>
      <c r="K28" s="6">
        <f>STDEV($F$21:F28)*(12^0.5)</f>
        <v/>
      </c>
      <c r="L28" s="84" t="n">
        <v>-0.0002</v>
      </c>
      <c r="M28" s="81">
        <f>+M27*(1+(L28*(B28-B27)/365))</f>
        <v/>
      </c>
      <c r="N28" s="6">
        <f>+M28/100</f>
        <v/>
      </c>
      <c r="O28" s="81">
        <f>COUNT($B$20:B28)/12</f>
        <v/>
      </c>
      <c r="P28" s="6">
        <f>-1+(N28^(1/O28))</f>
        <v/>
      </c>
      <c r="Q28" s="88">
        <f>+(J28-P28)/K28</f>
        <v/>
      </c>
    </row>
    <row r="29" spans="1:17">
      <c r="B29" s="78" t="n">
        <v>42308</v>
      </c>
      <c r="C29" s="79">
        <f>+C28</f>
        <v/>
      </c>
      <c r="D29" s="80" t="n">
        <v>5503517.75</v>
      </c>
      <c r="E29" s="80" t="n">
        <v>49758.12</v>
      </c>
      <c r="F29" s="6" t="n">
        <v>0.007879560000000001</v>
      </c>
      <c r="G29" s="86">
        <f>+F29+1</f>
        <v/>
      </c>
      <c r="H29" s="87">
        <f>+G29*G28*G27*G26*G25*G24*G23*G22*G21</f>
        <v/>
      </c>
      <c r="I29" s="8">
        <f>+H29-1</f>
        <v/>
      </c>
      <c r="J29" s="9">
        <f>+(1+I29)^(365/(B29-$B$20))-1</f>
        <v/>
      </c>
      <c r="K29" s="6">
        <f>STDEV($F$21:F29)*(12^0.5)</f>
        <v/>
      </c>
      <c r="L29" s="84" t="n">
        <v>0</v>
      </c>
      <c r="M29" s="81">
        <f>+M28*(1+(L29*(B29-B28)/365))</f>
        <v/>
      </c>
      <c r="N29" s="6">
        <f>+M29/100</f>
        <v/>
      </c>
      <c r="O29" s="81">
        <f>COUNT($B$20:B29)/12</f>
        <v/>
      </c>
      <c r="P29" s="6">
        <f>-1+(N29^(1/O29))</f>
        <v/>
      </c>
      <c r="Q29" s="88">
        <f>+(J29-P29)/K29</f>
        <v/>
      </c>
    </row>
    <row r="30" spans="1:17">
      <c r="B30" s="78" t="n">
        <v>42338</v>
      </c>
      <c r="C30" s="79">
        <f>+C29+299470.17</f>
        <v/>
      </c>
      <c r="D30" s="80" t="n">
        <v>5809986.92</v>
      </c>
      <c r="E30" s="80" t="n">
        <v>0</v>
      </c>
      <c r="F30" s="6" t="n">
        <v>0.0012061027</v>
      </c>
      <c r="G30" s="86">
        <f>+F30+1</f>
        <v/>
      </c>
      <c r="H30" s="87">
        <f>+G30*G29*G28*G27*G26*G25*G24*G23*G22*G21</f>
        <v/>
      </c>
      <c r="I30" s="8">
        <f>+H30-1</f>
        <v/>
      </c>
      <c r="J30" s="9">
        <f>+(1+I30)^(365/(B30-$B$20))-1</f>
        <v/>
      </c>
      <c r="K30" s="6">
        <f>STDEV($F$21:F30)*(12^0.5)</f>
        <v/>
      </c>
      <c r="L30" s="84" t="n">
        <v>0.000915</v>
      </c>
      <c r="M30" s="81">
        <f>+M29*(1+(L30*(B30-B29)/365))</f>
        <v/>
      </c>
      <c r="N30" s="6">
        <f>+M30/100</f>
        <v/>
      </c>
      <c r="O30" s="81">
        <f>COUNT($B$20:B30)/12</f>
        <v/>
      </c>
      <c r="P30" s="6">
        <f>-1+(N30^(1/O30))</f>
        <v/>
      </c>
      <c r="Q30" s="88">
        <f>+(J30-P30)/K30</f>
        <v/>
      </c>
    </row>
    <row r="31" spans="1:17">
      <c r="B31" s="78" t="n">
        <v>42369</v>
      </c>
      <c r="C31" s="79">
        <f>+C30+1429394.15</f>
        <v/>
      </c>
      <c r="D31" s="80" t="n">
        <v>7238547.42</v>
      </c>
      <c r="E31" s="80" t="n">
        <v>0</v>
      </c>
      <c r="F31" s="6" t="n">
        <v>-0.00011515</v>
      </c>
      <c r="G31" s="86">
        <f>+F31+1</f>
        <v/>
      </c>
      <c r="H31" s="87">
        <f>+G31*G30*G29*G28*G27*G26*G25*G24*G23*G22*G21</f>
        <v/>
      </c>
      <c r="I31" s="8">
        <f>+H31-1</f>
        <v/>
      </c>
      <c r="J31" s="9">
        <f>+(1+I31)^(365/(B31-$B$20))-1</f>
        <v/>
      </c>
      <c r="K31" s="6">
        <f>STDEV($F$21:F31)*(12^0.5)</f>
        <v/>
      </c>
      <c r="L31" s="84" t="n">
        <v>0.00122</v>
      </c>
      <c r="M31" s="81">
        <f>+M30*(1+(L31*(B31-B30)/365))</f>
        <v/>
      </c>
      <c r="N31" s="6">
        <f>+M31/100</f>
        <v/>
      </c>
      <c r="O31" s="81">
        <f>COUNT($B$20:B31)/12</f>
        <v/>
      </c>
      <c r="P31" s="6">
        <f>-1+(N31^(1/O31))</f>
        <v/>
      </c>
      <c r="Q31" s="88">
        <f>+(J31-P31)/K31</f>
        <v/>
      </c>
    </row>
    <row r="32" spans="1:17">
      <c r="B32" s="78" t="n">
        <v>42400</v>
      </c>
      <c r="C32" s="79">
        <f>+C31</f>
        <v/>
      </c>
      <c r="D32" s="80" t="n">
        <v>7217462.54</v>
      </c>
      <c r="E32" s="80" t="n">
        <v>59126.16</v>
      </c>
      <c r="F32" s="6" t="n">
        <v>0.005298655</v>
      </c>
      <c r="G32" s="86">
        <f>+F32+1</f>
        <v/>
      </c>
      <c r="H32" s="87">
        <f>+G32*G31*G30*G29*G28*G27*G26*G25*G24*G23*G22*G21</f>
        <v/>
      </c>
      <c r="I32" s="8">
        <f>+H32-1</f>
        <v/>
      </c>
      <c r="J32" s="9">
        <f>+(1+I32)^(365/(B32-$B$20))-1</f>
        <v/>
      </c>
      <c r="K32" s="6">
        <f>STDEV($F$21:F32)*(12^0.5)</f>
        <v/>
      </c>
      <c r="L32" s="84" t="n">
        <v>0.002186</v>
      </c>
      <c r="M32" s="81">
        <f>+M31*(1+(L32*(B32-B31)/365))</f>
        <v/>
      </c>
      <c r="N32" s="6">
        <f>+M32/100</f>
        <v/>
      </c>
      <c r="O32" s="81">
        <f>COUNT($B$20:B32)/12</f>
        <v/>
      </c>
      <c r="P32" s="6">
        <f>-1+(N32^(1/O32))</f>
        <v/>
      </c>
      <c r="Q32" s="88">
        <f>+(J32-P32)/K32</f>
        <v/>
      </c>
    </row>
    <row r="33" spans="1:17">
      <c r="B33" s="78" t="n">
        <v>42429</v>
      </c>
      <c r="C33" s="79">
        <f>+C32+203639.71</f>
        <v/>
      </c>
      <c r="D33" s="80" t="n">
        <v>7428317.44</v>
      </c>
      <c r="E33" s="80" t="n">
        <v>0</v>
      </c>
      <c r="F33" s="6" t="n">
        <v>0.0009723000000000001</v>
      </c>
      <c r="G33" s="86">
        <f>+F33+1</f>
        <v/>
      </c>
      <c r="H33" s="87">
        <f>+G33*G32*G31*G30*G29*G28*G27*G26*G25*G24*G23*G22*G21</f>
        <v/>
      </c>
      <c r="I33" s="8">
        <f>+H33-1</f>
        <v/>
      </c>
      <c r="J33" s="9">
        <f>+(1+I33)^(365/(B33-$B$20))-1</f>
        <v/>
      </c>
      <c r="K33" s="6">
        <f>STDEV($F$21:F33)*(12^0.5)</f>
        <v/>
      </c>
      <c r="L33" s="84" t="n">
        <v>0.002186</v>
      </c>
      <c r="M33" s="81">
        <f>+M32*(1+(L33*(B33-B32)/365))</f>
        <v/>
      </c>
      <c r="N33" s="6">
        <f>+M33/100</f>
        <v/>
      </c>
      <c r="O33" s="81">
        <f>COUNT($B$20:B33)/12</f>
        <v/>
      </c>
      <c r="P33" s="6">
        <f>-1+(N33^(1/O33))</f>
        <v/>
      </c>
      <c r="Q33" s="88">
        <f>+(J33-P33)/K33</f>
        <v/>
      </c>
    </row>
    <row r="34" spans="1:17">
      <c r="B34" s="78" t="n">
        <v>42460</v>
      </c>
      <c r="C34" s="79">
        <f>+C33</f>
        <v/>
      </c>
      <c r="D34" s="80" t="n">
        <v>7544322.19</v>
      </c>
      <c r="E34" s="80" t="n">
        <v>0</v>
      </c>
      <c r="F34" s="6" t="n">
        <v>0.0156166</v>
      </c>
      <c r="G34" s="86">
        <f>+F34+1</f>
        <v/>
      </c>
      <c r="H34" s="87">
        <f>+G34*G33*G32*G31*G30*G29*G28*G27*G26*G25*G24*G23*G22*G21</f>
        <v/>
      </c>
      <c r="I34" s="8">
        <f>+H34-1</f>
        <v/>
      </c>
      <c r="J34" s="9">
        <f>+(1+I34)^(365/(B34-$B$20))-1</f>
        <v/>
      </c>
      <c r="K34" s="6">
        <f>STDEV($F$21:F34)*(12^0.5)</f>
        <v/>
      </c>
      <c r="L34" s="84" t="n">
        <v>0.001678</v>
      </c>
      <c r="M34" s="81">
        <f>+M33*(1+(L34*(B34-B33)/365))</f>
        <v/>
      </c>
      <c r="N34" s="6">
        <f>+M34/100</f>
        <v/>
      </c>
      <c r="O34" s="81">
        <f>COUNT($B$20:B34)/12</f>
        <v/>
      </c>
      <c r="P34" s="6">
        <f>-1+(N34^(1/O34))</f>
        <v/>
      </c>
      <c r="Q34" s="88">
        <f>+(J34-P34)/K34</f>
        <v/>
      </c>
    </row>
    <row r="35" spans="1:17">
      <c r="B35" s="78" t="n">
        <v>42490</v>
      </c>
      <c r="C35" s="79">
        <f>+C34</f>
        <v/>
      </c>
      <c r="D35" s="80" t="n">
        <v>7352516.82</v>
      </c>
      <c r="E35" s="80" t="n">
        <v>276817.94</v>
      </c>
      <c r="F35" s="6" t="n">
        <v>0.0116976</v>
      </c>
      <c r="G35" s="86">
        <f>+F35+1</f>
        <v/>
      </c>
      <c r="H35" s="87">
        <f>+G35*G34*G33*G32*G31*G30*G29*G28*G27*G26*G25*G24*G23*G22*G21</f>
        <v/>
      </c>
      <c r="I35" s="8">
        <f>+H35-1</f>
        <v/>
      </c>
      <c r="J35" s="9">
        <f>+(1+I35)^(365/(B35-$B$20))-1</f>
        <v/>
      </c>
      <c r="K35" s="6">
        <f>STDEV($F$21:F35)*(12^0.5)</f>
        <v/>
      </c>
      <c r="L35" s="84" t="n">
        <v>0.001525</v>
      </c>
      <c r="M35" s="81">
        <f>+M34*(1+(L35*(B35-B34)/365))</f>
        <v/>
      </c>
      <c r="N35" s="6">
        <f>+M35/100</f>
        <v/>
      </c>
      <c r="O35" s="81">
        <f>COUNT($B$20:B35)/12</f>
        <v/>
      </c>
      <c r="P35" s="6">
        <f>-1+(N35^(1/O35))</f>
        <v/>
      </c>
      <c r="Q35" s="88">
        <f>+(J35-P35)/K35</f>
        <v/>
      </c>
    </row>
    <row r="36" spans="1:17">
      <c r="B36" s="78" t="n">
        <v>42521</v>
      </c>
      <c r="C36" s="79">
        <f>+C35</f>
        <v/>
      </c>
      <c r="D36" s="80" t="n">
        <v>7627502.25</v>
      </c>
      <c r="E36" s="80" t="n">
        <v>0</v>
      </c>
      <c r="F36" s="6" t="n">
        <v>0.03740018</v>
      </c>
      <c r="G36" s="86">
        <f>+F36+1</f>
        <v/>
      </c>
      <c r="H36" s="87">
        <f>+G36*G35*G34*G33*G32*G31*G30*G29*G28*G27*G26*G25*G24*G23*G22*G21</f>
        <v/>
      </c>
      <c r="I36" s="8">
        <f>+H36-1</f>
        <v/>
      </c>
      <c r="J36" s="9">
        <f>+(1+I36)^(365/(B36-$B$20))-1</f>
        <v/>
      </c>
      <c r="K36" s="6">
        <f>STDEV($F$21:F36)*(12^0.5)</f>
        <v/>
      </c>
      <c r="L36" s="84" t="n">
        <v>0.00178</v>
      </c>
      <c r="M36" s="81">
        <f>+M35*(1+(L36*(B36-B35)/365))</f>
        <v/>
      </c>
      <c r="N36" s="6">
        <f>+M36/100</f>
        <v/>
      </c>
      <c r="O36" s="81">
        <f>COUNT($B$20:B36)/12</f>
        <v/>
      </c>
      <c r="P36" s="6">
        <f>-1+(N36^(1/O36))</f>
        <v/>
      </c>
      <c r="Q36" s="88">
        <f>+(J36-P36)/K36</f>
        <v/>
      </c>
    </row>
    <row r="37" spans="1:17">
      <c r="B37" s="78" t="n">
        <v>42551</v>
      </c>
      <c r="C37" s="79">
        <f>+C36</f>
        <v/>
      </c>
      <c r="D37" s="80" t="n">
        <v>7659344.96</v>
      </c>
      <c r="E37" s="80" t="n">
        <v>0</v>
      </c>
      <c r="F37" s="6" t="n">
        <v>0.0041747</v>
      </c>
      <c r="G37" s="86">
        <f>+F37+1</f>
        <v/>
      </c>
      <c r="H37" s="87">
        <f>+G37*G36*G35*G34*G33*G32*G31*G30*G29*G28*G27*G26*G25*G24*G23*G22*G21</f>
        <v/>
      </c>
      <c r="I37" s="8">
        <f>+H37-1</f>
        <v/>
      </c>
      <c r="J37" s="9">
        <f>+(1+I37)^(365/(B37-$B$20))-1</f>
        <v/>
      </c>
      <c r="K37" s="6">
        <f>STDEV($F$21:F37)*(12^0.5)</f>
        <v/>
      </c>
      <c r="L37" s="84" t="n">
        <v>0.00168</v>
      </c>
      <c r="M37" s="81">
        <f>+M36*(1+(L37*(B37-B36)/365))</f>
        <v/>
      </c>
      <c r="N37" s="6">
        <f>+M37/100</f>
        <v/>
      </c>
      <c r="O37" s="81">
        <f>COUNT($B$20:B37)/12</f>
        <v/>
      </c>
      <c r="P37" s="6">
        <f>-1+(N37^(1/O37))</f>
        <v/>
      </c>
      <c r="Q37" s="88">
        <f>+(J37-P37)/K37</f>
        <v/>
      </c>
    </row>
    <row r="38" spans="1:17">
      <c r="B38" s="78" t="n">
        <v>42582</v>
      </c>
      <c r="C38" s="79">
        <f>+C37</f>
        <v/>
      </c>
      <c r="D38" s="80" t="n">
        <v>7473304</v>
      </c>
      <c r="E38" s="80" t="n">
        <v>248176.3</v>
      </c>
      <c r="F38" s="6" t="n">
        <v>0.008384010000000001</v>
      </c>
      <c r="G38" s="86">
        <f>+F38+1</f>
        <v/>
      </c>
      <c r="H38" s="87">
        <f>+G38*G37*G36*G35*G34*G33*G32*G31*G30*G29*G28*G27*G26*G25*G24*G23*G22*G21</f>
        <v/>
      </c>
      <c r="I38" s="8">
        <f>+H38-1</f>
        <v/>
      </c>
      <c r="J38" s="9">
        <f>+(1+I38)^(365/(B38-$B$20))-1</f>
        <v/>
      </c>
      <c r="K38" s="6">
        <f>STDEV($F$21:F38)*(12^0.5)</f>
        <v/>
      </c>
      <c r="L38" s="84" t="n">
        <v>0.00178</v>
      </c>
      <c r="M38" s="81">
        <f>+M37*(1+(L38*(B38-B37)/365))</f>
        <v/>
      </c>
      <c r="N38" s="6">
        <f>+M38/100</f>
        <v/>
      </c>
      <c r="O38" s="81">
        <f>COUNT($B$20:B38)/12</f>
        <v/>
      </c>
      <c r="P38" s="6">
        <f>-1+(N38^(1/O38))</f>
        <v/>
      </c>
      <c r="Q38" s="88">
        <f>+(J38-P38)/K38</f>
        <v/>
      </c>
    </row>
    <row r="39" spans="1:17">
      <c r="B39" s="78" t="n">
        <v>42613</v>
      </c>
      <c r="C39" s="79">
        <f>+C38</f>
        <v/>
      </c>
      <c r="D39" s="80" t="n">
        <v>7478682.29</v>
      </c>
      <c r="E39" s="80" t="n">
        <v>32250.64</v>
      </c>
      <c r="F39" s="6" t="n">
        <v>0.0050569</v>
      </c>
      <c r="G39" s="86">
        <f>+F39+1</f>
        <v/>
      </c>
      <c r="H39" s="87">
        <f>+G39*G38*G37*G36*G35*G34*G33*G32*G31*G30*G29*G28*G27*G26*G25*G24*G23*G22*G21</f>
        <v/>
      </c>
      <c r="I39" s="8">
        <f>+H39-1</f>
        <v/>
      </c>
      <c r="J39" s="9">
        <f>+(1+I39)^(365/(B39-$B$20))-1</f>
        <v/>
      </c>
      <c r="K39" s="6">
        <f>STDEV($F$21:F39)*(12^0.5)</f>
        <v/>
      </c>
      <c r="L39" s="84" t="n">
        <v>0.00269</v>
      </c>
      <c r="M39" s="81">
        <f>+M38*(1+(L39*(B39-B38)/365))</f>
        <v/>
      </c>
      <c r="N39" s="6">
        <f>+M39/100</f>
        <v/>
      </c>
      <c r="O39" s="81">
        <f>COUNT($B$20:B39)/12</f>
        <v/>
      </c>
      <c r="P39" s="6">
        <f>-1+(N39^(1/O39))</f>
        <v/>
      </c>
      <c r="Q39" s="88">
        <f>+(J39-P39)/K39</f>
        <v/>
      </c>
    </row>
    <row r="40" spans="1:17">
      <c r="B40" s="78" t="n">
        <v>42643</v>
      </c>
      <c r="C40" s="79">
        <f>+C39</f>
        <v/>
      </c>
      <c r="D40" s="80" t="n">
        <v>7515997.83</v>
      </c>
      <c r="E40" s="80" t="n">
        <v>0</v>
      </c>
      <c r="F40" s="6" t="n">
        <v>0.0049896</v>
      </c>
      <c r="G40" s="86">
        <f>+F40+1</f>
        <v/>
      </c>
      <c r="H40" s="87">
        <f>+G40*G39*G38*G37*G36*G35*G34*G33*G32*G31*G30*G29*G28*G27*G26*G25*G24*G23*G22*G21</f>
        <v/>
      </c>
      <c r="I40" s="8">
        <f>+H40-1</f>
        <v/>
      </c>
      <c r="J40" s="9">
        <f>+(1+I40)^(365/(B40-$B$20))-1</f>
        <v/>
      </c>
      <c r="K40" s="6">
        <f>STDEV($F$21:F40)*(12^0.5)</f>
        <v/>
      </c>
      <c r="L40" s="84" t="n">
        <v>0.001825</v>
      </c>
      <c r="M40" s="81">
        <f>+M39*(1+(L40*(B40-B39)/365))</f>
        <v/>
      </c>
      <c r="N40" s="6">
        <f>+M40/100</f>
        <v/>
      </c>
      <c r="O40" s="81">
        <f>COUNT($B$20:B40)/12</f>
        <v/>
      </c>
      <c r="P40" s="6">
        <f>-1+(N40^(1/O40))</f>
        <v/>
      </c>
      <c r="Q40" s="88">
        <f>+(J40-P40)/K40</f>
        <v/>
      </c>
    </row>
    <row r="41" spans="1:17">
      <c r="B41" s="78" t="n">
        <v>42674</v>
      </c>
      <c r="C41" s="79">
        <f>+C40</f>
        <v/>
      </c>
      <c r="D41" s="80" t="n">
        <v>7461568.88</v>
      </c>
      <c r="E41" s="80" t="n">
        <v>115180.83</v>
      </c>
      <c r="F41" s="6" t="n">
        <v>0.0082088</v>
      </c>
      <c r="G41" s="86">
        <f>+F41+1</f>
        <v/>
      </c>
      <c r="H41" s="87">
        <f>+G41*G40*G39*G38*G37*G36*G35*G34*G33*G32*G31*G30*G29*G28*G27*G26*G25*G24*G23*G22*G21</f>
        <v/>
      </c>
      <c r="I41" s="8">
        <f>+H41-1</f>
        <v/>
      </c>
      <c r="J41" s="9">
        <f>+(1+I41)^(365/(B41-$B$20))-1</f>
        <v/>
      </c>
      <c r="K41" s="6">
        <f>STDEV($F$21:F41)*(12^0.5)</f>
        <v/>
      </c>
      <c r="L41" s="84" t="n">
        <v>0.001622</v>
      </c>
      <c r="M41" s="81">
        <f>+M40*(1+(L41*(B41-B40)/365))</f>
        <v/>
      </c>
      <c r="N41" s="6">
        <f>+M41/100</f>
        <v/>
      </c>
      <c r="O41" s="81">
        <f>COUNT($B$20:B41)/12</f>
        <v/>
      </c>
      <c r="P41" s="6">
        <f>-1+(N41^(1/O41))</f>
        <v/>
      </c>
      <c r="Q41" s="88">
        <f>+(J41-P41)/K41</f>
        <v/>
      </c>
    </row>
    <row r="42" spans="1:17">
      <c r="B42" s="78" t="n">
        <v>42704</v>
      </c>
      <c r="C42" s="79">
        <f>+C41</f>
        <v/>
      </c>
      <c r="D42" s="80" t="n">
        <v>7428669.23</v>
      </c>
      <c r="E42" s="80" t="n">
        <v>50679.57</v>
      </c>
      <c r="F42" s="6" t="n">
        <v>0.002399</v>
      </c>
      <c r="G42" s="86">
        <f>+F42+1</f>
        <v/>
      </c>
      <c r="H42" s="87">
        <f>+G42*G41*G40*G39*G38*G37*G36*G35*G34*G33*G32*G31*G30*G29*G28*G27*G26*G25*G24*G23*G22*G21</f>
        <v/>
      </c>
      <c r="I42" s="8">
        <f>+H42-1</f>
        <v/>
      </c>
      <c r="J42" s="9">
        <f>+(1+I42)^(365/(B42-$B$20))-1</f>
        <v/>
      </c>
      <c r="K42" s="6">
        <f>STDEV($F$21:F42)*(12^0.5)</f>
        <v/>
      </c>
      <c r="L42" s="84" t="n">
        <v>0.0036</v>
      </c>
      <c r="M42" s="81">
        <f>+M41*(1+(L42*(B42-B41)/365))</f>
        <v/>
      </c>
      <c r="N42" s="6">
        <f>+M42/100</f>
        <v/>
      </c>
      <c r="O42" s="81">
        <f>COUNT($B$20:B42)/12</f>
        <v/>
      </c>
      <c r="P42" s="6">
        <f>-1+(N42^(1/O42))</f>
        <v/>
      </c>
      <c r="Q42" s="88">
        <f>+(J42-P42)/K42</f>
        <v/>
      </c>
    </row>
    <row r="43" spans="1:17">
      <c r="B43" s="78" t="n">
        <v>42735</v>
      </c>
      <c r="C43" s="79">
        <f>+C42+529447.9</f>
        <v/>
      </c>
      <c r="D43" s="80" t="n">
        <v>7991122.33</v>
      </c>
      <c r="E43" s="80" t="n">
        <v>15357.44</v>
      </c>
      <c r="F43" s="6" t="n">
        <v>0.0060889</v>
      </c>
      <c r="G43" s="86">
        <f>+F43+1</f>
        <v/>
      </c>
      <c r="H43" s="87">
        <f>+G43*G42*G41*G40*G39*G38*G37*G36*G35*G34*G33*G32*G31*G30*G29*G28*G27*G26*G25*G24*G23*G22*G21</f>
        <v/>
      </c>
      <c r="I43" s="8">
        <f>+H43-1</f>
        <v/>
      </c>
      <c r="J43" s="9">
        <f>+(1+I43)^(365/(B43-$B$20))-1</f>
        <v/>
      </c>
      <c r="K43" s="6">
        <f>STDEV($F$21:F43)*(12^0.5)</f>
        <v/>
      </c>
      <c r="L43" s="84" t="n">
        <v>0.004158</v>
      </c>
      <c r="M43" s="81">
        <f>+M42*(1+(L43*(B43-B42)/365))</f>
        <v/>
      </c>
      <c r="N43" s="6">
        <f>+M43/100</f>
        <v/>
      </c>
      <c r="O43" s="81">
        <f>COUNT($B$20:B43)/12</f>
        <v/>
      </c>
      <c r="P43" s="6">
        <f>-1+(N43^(1/O43))</f>
        <v/>
      </c>
      <c r="Q43" s="88">
        <f>+(J43-P43)/K43</f>
        <v/>
      </c>
    </row>
    <row r="44" spans="1:17">
      <c r="B44" s="78" t="n">
        <v>42766</v>
      </c>
      <c r="C44" s="79">
        <f>+C43</f>
        <v/>
      </c>
      <c r="D44" s="80" t="n">
        <v>8070371.99</v>
      </c>
      <c r="E44" s="80" t="n">
        <v>0</v>
      </c>
      <c r="F44" s="6" t="n">
        <v>0.009917199999999999</v>
      </c>
      <c r="G44" s="86">
        <f>+F44+1</f>
        <v/>
      </c>
      <c r="H44" s="87">
        <f>+G44*G43*G42*G41*G40*G39*G38*G37*G36*G35*G34*G33*G32*G31*G30*G29*G28*G27*G26*G25*G24*G23*G22*G21</f>
        <v/>
      </c>
      <c r="I44" s="8">
        <f>+H44-1</f>
        <v/>
      </c>
      <c r="J44" s="9">
        <f>+(1+I44)^(365/(B44-$B$20))-1</f>
        <v/>
      </c>
      <c r="K44" s="6">
        <f>STDEV($F$21:F44)*(12^0.5)</f>
        <v/>
      </c>
      <c r="L44" s="84" t="n">
        <v>0.004614</v>
      </c>
      <c r="M44" s="81">
        <f>+M43*(1+(L44*(B44-B43)/365))</f>
        <v/>
      </c>
      <c r="N44" s="6">
        <f>+M44/100</f>
        <v/>
      </c>
      <c r="O44" s="81">
        <f>COUNT($B$20:B44)/12</f>
        <v/>
      </c>
      <c r="P44" s="6">
        <f>-1+(N44^(1/O44))</f>
        <v/>
      </c>
      <c r="Q44" s="88">
        <f>+(J44-P44)/K44</f>
        <v/>
      </c>
    </row>
    <row r="45" spans="1:17">
      <c r="B45" s="78" t="n">
        <v>42794</v>
      </c>
      <c r="C45" s="79">
        <f>+C44+767872</f>
        <v/>
      </c>
      <c r="D45" s="80" t="n">
        <v>8796350.890000001</v>
      </c>
      <c r="E45" s="80" t="n">
        <v>84465.94</v>
      </c>
      <c r="F45" s="6" t="n">
        <v>0.0048634</v>
      </c>
      <c r="G45" s="86">
        <f>+F45+1</f>
        <v/>
      </c>
      <c r="H45" s="87">
        <f>+G45*G44*G43*G42*G41*G40*G39*G38*G37*G36*G35*G34*G33*G32*G31*G30*G29*G28*G27*G26*G25*G24*G23*G22*G21</f>
        <v/>
      </c>
      <c r="I45" s="8">
        <f>+H45-1</f>
        <v/>
      </c>
      <c r="J45" s="9">
        <f>+(1+I45)^(365/(B45-$B$20))-1</f>
        <v/>
      </c>
      <c r="K45" s="6">
        <f>STDEV($F$21:F45)*(12^0.5)</f>
        <v/>
      </c>
      <c r="L45" s="84" t="n">
        <v>0.004259</v>
      </c>
      <c r="M45" s="81">
        <f>+M44*(1+(L45*(B45-B44)/365))</f>
        <v/>
      </c>
      <c r="N45" s="6">
        <f>+M45/100</f>
        <v/>
      </c>
      <c r="O45" s="81">
        <f>COUNT($B$20:B45)/12</f>
        <v/>
      </c>
      <c r="P45" s="6">
        <f>-1+(N45^(1/O45))</f>
        <v/>
      </c>
      <c r="Q45" s="88">
        <f>+(J45-P45)/K45</f>
        <v/>
      </c>
    </row>
    <row r="46" spans="1:17">
      <c r="B46" s="78" t="n">
        <v>42825</v>
      </c>
      <c r="C46" s="79">
        <f>+C45</f>
        <v/>
      </c>
      <c r="D46" s="80" t="n">
        <v>8788734.16</v>
      </c>
      <c r="E46" s="80" t="n">
        <v>46072.33</v>
      </c>
      <c r="F46" s="6" t="n">
        <v>0.00439481</v>
      </c>
      <c r="G46" s="86">
        <f>+F46+1</f>
        <v/>
      </c>
      <c r="H46" s="87">
        <f>+G46*G45*G44*G43*G42*G41*G40*G39*G38*G37*G36*G35*G34*G33*G32*G31*G30*G29*G28*G27*G26*G25*G24*G23*G22*G21</f>
        <v/>
      </c>
      <c r="I46" s="8">
        <f>+H46-1</f>
        <v/>
      </c>
      <c r="J46" s="9">
        <f>+(1+I46)^(365/(B46-$B$20))-1</f>
        <v/>
      </c>
      <c r="K46" s="6">
        <f>STDEV($F$21:F46)*(12^0.5)</f>
        <v/>
      </c>
      <c r="L46" s="84" t="n">
        <v>0.007253</v>
      </c>
      <c r="M46" s="81">
        <f>+M45*(1+(L46*(B46-B45)/365))</f>
        <v/>
      </c>
      <c r="N46" s="6">
        <f>+M46/100</f>
        <v/>
      </c>
      <c r="O46" s="81">
        <f>COUNT($B$20:B46)/12</f>
        <v/>
      </c>
      <c r="P46" s="6">
        <f>-1+(N46^(1/O46))</f>
        <v/>
      </c>
      <c r="Q46" s="88">
        <f>+(J46-P46)/K46</f>
        <v/>
      </c>
    </row>
    <row r="47" spans="1:17">
      <c r="B47" s="78" t="n">
        <v>42855</v>
      </c>
      <c r="C47" s="79">
        <f>+C46+153574</f>
        <v/>
      </c>
      <c r="D47" s="80" t="n">
        <v>8905358.1</v>
      </c>
      <c r="E47" s="80" t="n">
        <v>92144.67</v>
      </c>
      <c r="F47" s="6" t="n">
        <v>0.00623657</v>
      </c>
      <c r="G47" s="86">
        <f>+F47+1</f>
        <v/>
      </c>
      <c r="H47" s="87">
        <f>+G47*G46*G45*G44*G43*G42*G41*G40*G39*G38*G37*G36*G35*G34*G33*G32*G31*G30*G29*G28*G27*G26*G25*G24*G23*G22*G21</f>
        <v/>
      </c>
      <c r="I47" s="8">
        <f>+H47-1</f>
        <v/>
      </c>
      <c r="J47" s="9">
        <f>+(1+I47)^(365/(B47-$B$20))-1</f>
        <v/>
      </c>
      <c r="K47" s="6">
        <f>STDEV($F$21:F47)*(12^0.5)</f>
        <v/>
      </c>
      <c r="L47" s="89" t="n">
        <v>0.006593</v>
      </c>
      <c r="M47" s="81">
        <f>+M46*(1+(L47*(B47-B46)/365))</f>
        <v/>
      </c>
      <c r="N47" s="6">
        <f>+M47/100</f>
        <v/>
      </c>
      <c r="O47" s="81">
        <f>COUNT($B$20:B47)/12</f>
        <v/>
      </c>
      <c r="P47" s="6">
        <f>-1+(N47^(1/O47))</f>
        <v/>
      </c>
      <c r="Q47" s="88">
        <f>+(J47-P47)/K47</f>
        <v/>
      </c>
    </row>
    <row customHeight="1" ht="6.75" r="48" s="73" spans="1:17">
      <c r="B48" s="78" t="n"/>
      <c r="C48" s="79" t="n">
        <v>8516002.991143361</v>
      </c>
      <c r="D48" s="80" t="n">
        <v>8905358.215544077</v>
      </c>
      <c r="E48" s="80" t="n">
        <v>92144.67</v>
      </c>
      <c r="F48" s="6" t="n">
        <v>0.006236571298724458</v>
      </c>
      <c r="G48" s="6" t="n"/>
      <c r="H48" s="6" t="n"/>
      <c r="I48" s="8" t="n"/>
      <c r="J48" s="9" t="n"/>
      <c r="K48" s="6" t="n"/>
      <c r="L48" s="6" t="n"/>
      <c r="M48" s="6" t="n"/>
      <c r="N48" s="6" t="n"/>
      <c r="O48" s="6" t="n"/>
      <c r="P48" s="6" t="n"/>
      <c r="Q48" s="8" t="n"/>
    </row>
    <row r="49" spans="1:17">
      <c r="B49" s="90" t="s">
        <v>27</v>
      </c>
      <c r="C49" s="91">
        <f>C47</f>
        <v/>
      </c>
      <c r="D49" s="92">
        <f>D47</f>
        <v/>
      </c>
      <c r="E49" s="92">
        <f>SUM(E20:E47)</f>
        <v/>
      </c>
      <c r="F49" s="7">
        <f>F47</f>
        <v/>
      </c>
      <c r="G49" s="7" t="n"/>
      <c r="H49" s="7" t="n"/>
      <c r="I49" s="12">
        <f>I47</f>
        <v/>
      </c>
      <c r="J49" s="10">
        <f>J47</f>
        <v/>
      </c>
      <c r="K49" s="7">
        <f>K47</f>
        <v/>
      </c>
      <c r="L49" s="7" t="n"/>
      <c r="M49" s="7" t="n"/>
      <c r="N49" s="7" t="n"/>
      <c r="O49" s="7" t="n"/>
      <c r="P49" s="7" t="n"/>
      <c r="Q49" s="93">
        <f>Q47</f>
        <v/>
      </c>
    </row>
    <row r="50" spans="1:17">
      <c r="B50" s="94" t="n"/>
      <c r="C50" s="95" t="n"/>
      <c r="D50" s="95" t="n"/>
      <c r="E50" s="2" t="n"/>
      <c r="F50" s="2" t="n"/>
      <c r="G50" s="2" t="n"/>
      <c r="H50" s="2" t="n"/>
      <c r="I50" s="2" t="n"/>
      <c r="J50" s="1" t="n"/>
      <c r="K50" s="1" t="n"/>
      <c r="L50" s="1" t="n"/>
      <c r="M50" s="1" t="n"/>
      <c r="N50" s="1" t="n"/>
      <c r="O50" s="1" t="n"/>
      <c r="P50" s="1" t="n"/>
      <c r="Q50" s="1" t="n"/>
    </row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2017-06-27T21:17:05Z</dcterms:modified>
  <cp:lastModifiedBy>Mohammad Yazdani</cp:lastModifiedBy>
  <cp:lastPrinted>2012-11-16T21:36:21Z</cp:lastPrinted>
</cp:coreProperties>
</file>