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.nateghi\Desktop\"/>
    </mc:Choice>
  </mc:AlternateContent>
  <xr:revisionPtr revIDLastSave="0" documentId="13_ncr:1_{D393D6CC-7496-4318-9CF1-09675A96B0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ثالث" sheetId="1" r:id="rId1"/>
    <sheet name="نرخ پایه" sheetId="2" r:id="rId2"/>
    <sheet name="Sheet1" sheetId="3" r:id="rId3"/>
    <sheet name="Sheet2" sheetId="4" r:id="rId4"/>
    <sheet name="مازاد" sheetId="5" r:id="rId5"/>
  </sheets>
  <definedNames>
    <definedName name="_xlnm._FilterDatabase" localSheetId="2" hidden="1">Sheet1!$B$1:$B$97</definedName>
    <definedName name="_xlnm._FilterDatabase" localSheetId="0" hidden="1">ثالث!$B$19:$BV$21</definedName>
    <definedName name="daita4">'نرخ پایه'!$H$4:$N$75</definedName>
    <definedName name="DATA01">'نرخ پایه'!$B$5:$D$41</definedName>
    <definedName name="DATA02">'نرخ پایه'!$B$44:$D$48</definedName>
    <definedName name="DATA03">'نرخ پایه'!$H$4:$J$75</definedName>
  </definedNames>
  <calcPr calcId="181029"/>
  <fileRecoveryPr autoRecover="0"/>
</workbook>
</file>

<file path=xl/calcChain.xml><?xml version="1.0" encoding="utf-8"?>
<calcChain xmlns="http://schemas.openxmlformats.org/spreadsheetml/2006/main">
  <c r="E21" i="1" l="1"/>
  <c r="M21" i="1" l="1"/>
  <c r="O21" i="1"/>
  <c r="P21" i="1"/>
  <c r="Q21" i="1"/>
  <c r="N21" i="1"/>
  <c r="AM21" i="1"/>
  <c r="Z21" i="1"/>
  <c r="U21" i="1"/>
  <c r="W21" i="1"/>
  <c r="AG21" i="1"/>
  <c r="T21" i="1" l="1"/>
  <c r="X21" i="1" s="1"/>
  <c r="N3" i="2" l="1"/>
  <c r="M3" i="2"/>
  <c r="L3" i="2"/>
  <c r="O19" i="4"/>
  <c r="N16" i="4"/>
  <c r="O18" i="4" s="1"/>
  <c r="G16" i="4"/>
  <c r="BB21" i="1" l="1"/>
  <c r="AF21" i="1"/>
  <c r="V21" i="1" l="1"/>
  <c r="R21" i="1" l="1"/>
  <c r="AJ21" i="1" l="1"/>
  <c r="BF21" i="1" s="1"/>
  <c r="AO23" i="1"/>
  <c r="C48" i="2" l="1"/>
  <c r="C47" i="2" l="1"/>
  <c r="C46" i="2"/>
  <c r="C45" i="2"/>
  <c r="C44" i="2"/>
  <c r="AB21" i="1" s="1"/>
  <c r="Y21" i="1"/>
  <c r="S21" i="1"/>
  <c r="AY21" i="1" s="1"/>
  <c r="BA21" i="1" s="1"/>
  <c r="AE21" i="1" l="1"/>
  <c r="AA21" i="1"/>
  <c r="AQ21" i="1" l="1"/>
  <c r="X26" i="1"/>
  <c r="X27" i="1" s="1"/>
  <c r="AL21" i="1"/>
  <c r="AI21" i="1"/>
  <c r="AD21" i="1"/>
  <c r="AN21" i="1"/>
  <c r="BR21" i="1"/>
  <c r="AU21" i="1" l="1"/>
  <c r="AV21" i="1"/>
  <c r="BL21" i="1"/>
  <c r="AO21" i="1"/>
  <c r="BG21" i="1" s="1"/>
  <c r="AH21" i="1"/>
  <c r="BE21" i="1" s="1"/>
  <c r="AC21" i="1"/>
  <c r="AR21" i="1" s="1"/>
  <c r="BO21" i="1"/>
  <c r="AP21" i="1"/>
  <c r="AT21" i="1" l="1"/>
  <c r="BH21" i="1"/>
  <c r="AK21" i="1"/>
  <c r="AS21" i="1" s="1"/>
  <c r="BT21" i="1"/>
  <c r="AZ21" i="1"/>
  <c r="BN21" i="1"/>
  <c r="AW21" i="1" l="1"/>
  <c r="AX21" i="1"/>
  <c r="BC21" i="1" l="1"/>
  <c r="BD21" i="1" s="1"/>
  <c r="BQ21" i="1" s="1"/>
  <c r="BU21" i="1"/>
  <c r="BM21" i="1" s="1"/>
  <c r="BS21" i="1" l="1"/>
  <c r="BV21" i="1" s="1"/>
  <c r="D16" i="1" s="1"/>
</calcChain>
</file>

<file path=xl/sharedStrings.xml><?xml version="1.0" encoding="utf-8"?>
<sst xmlns="http://schemas.openxmlformats.org/spreadsheetml/2006/main" count="407" uniqueCount="252">
  <si>
    <t>سواری</t>
  </si>
  <si>
    <t>وسیله نقلیه</t>
  </si>
  <si>
    <t>مالیات</t>
  </si>
  <si>
    <t>مالی</t>
  </si>
  <si>
    <t>جانی</t>
  </si>
  <si>
    <t xml:space="preserve"> تعهدات اجباری</t>
  </si>
  <si>
    <t>سال ساخت</t>
  </si>
  <si>
    <t>سال جاری</t>
  </si>
  <si>
    <t>ثالث</t>
  </si>
  <si>
    <t>مازاد</t>
  </si>
  <si>
    <t>راننده</t>
  </si>
  <si>
    <t>تخفیف عدم خسارت</t>
  </si>
  <si>
    <t>حق بیمه ثالث اجباری</t>
  </si>
  <si>
    <t>محاسبه کهنگی</t>
  </si>
  <si>
    <t>ثالث اجباری</t>
  </si>
  <si>
    <t>ثالث مازاد</t>
  </si>
  <si>
    <t>حق بیمه راننده</t>
  </si>
  <si>
    <t>جمع کل</t>
  </si>
  <si>
    <t>اضافه نرخ</t>
  </si>
  <si>
    <t>بارکش</t>
  </si>
  <si>
    <t>تا یک تن</t>
  </si>
  <si>
    <t>بیش از یک تن تا سه تن</t>
  </si>
  <si>
    <t>بیش از سه تن تا پنج تن</t>
  </si>
  <si>
    <t>بیش از پنج تن تا ده تن</t>
  </si>
  <si>
    <t>بیش از ده تن تا بیست تن</t>
  </si>
  <si>
    <t xml:space="preserve">بیش از بیست تن </t>
  </si>
  <si>
    <t xml:space="preserve">موتور گازی </t>
  </si>
  <si>
    <t>دنده ای یک سیلندر</t>
  </si>
  <si>
    <t>دو سیلندر و به بالا</t>
  </si>
  <si>
    <t>دنداه ای دارای سه چرخ یا ساید کار</t>
  </si>
  <si>
    <t>نرخ بیمه مرکزی</t>
  </si>
  <si>
    <t>نرخ جاری</t>
  </si>
  <si>
    <t>موتور سیکلت</t>
  </si>
  <si>
    <t>اتوکار</t>
  </si>
  <si>
    <t xml:space="preserve">مبلغ تخفیف عدم خسارت </t>
  </si>
  <si>
    <t>مبلغ تخفیف توافقی</t>
  </si>
  <si>
    <t>مبلغ تخفیف  توافقی اعمال شده</t>
  </si>
  <si>
    <t>ردیف</t>
  </si>
  <si>
    <t>تخفیف</t>
  </si>
  <si>
    <t>نرخ اعمال شده</t>
  </si>
  <si>
    <t xml:space="preserve">توافقی </t>
  </si>
  <si>
    <t xml:space="preserve">گروهی </t>
  </si>
  <si>
    <t>حق بیمه صندوق</t>
  </si>
  <si>
    <t>تعداد روزهای دیر کرد</t>
  </si>
  <si>
    <t>حق بیمه صندوق (فاقد)</t>
  </si>
  <si>
    <t xml:space="preserve">حق بیمه </t>
  </si>
  <si>
    <t>حق بیمه قابل پرداخت</t>
  </si>
  <si>
    <t>تعهدات ثالث اجباری</t>
  </si>
  <si>
    <t>اضافه نرخ حوادث راننده</t>
  </si>
  <si>
    <t>بله</t>
  </si>
  <si>
    <t>خیر</t>
  </si>
  <si>
    <t>دارای سابقه بدون تخفیف</t>
  </si>
  <si>
    <t>0 سال</t>
  </si>
  <si>
    <t>1 سال</t>
  </si>
  <si>
    <t>2 سال</t>
  </si>
  <si>
    <t>3 سال</t>
  </si>
  <si>
    <t>4 سال</t>
  </si>
  <si>
    <t>5 سال</t>
  </si>
  <si>
    <t>6 سال</t>
  </si>
  <si>
    <t>7 سال</t>
  </si>
  <si>
    <t>8 سال</t>
  </si>
  <si>
    <t>9 سال</t>
  </si>
  <si>
    <t>10 سال</t>
  </si>
  <si>
    <t>11 سال</t>
  </si>
  <si>
    <t>12 سال</t>
  </si>
  <si>
    <t>13 سال</t>
  </si>
  <si>
    <t>14 سال</t>
  </si>
  <si>
    <t>0 بار خسارت</t>
  </si>
  <si>
    <t>1 بار خسارت</t>
  </si>
  <si>
    <t>2 بار خسارت</t>
  </si>
  <si>
    <t>3 بار خسارت</t>
  </si>
  <si>
    <t>4 بار خسارت</t>
  </si>
  <si>
    <t>5 بار خسارت</t>
  </si>
  <si>
    <t>1 بار خسارت جانی</t>
  </si>
  <si>
    <t>2 بار خسارت جانی</t>
  </si>
  <si>
    <t>3 بار خسارت جانی</t>
  </si>
  <si>
    <t>4 بار خسارت جانی</t>
  </si>
  <si>
    <t>5 بار خسارت جانی</t>
  </si>
  <si>
    <t>سابقه جانی نامه</t>
  </si>
  <si>
    <t xml:space="preserve">تعدات خسارت جانی </t>
  </si>
  <si>
    <t xml:space="preserve">تعدات خسارت مالی </t>
  </si>
  <si>
    <t xml:space="preserve">سنوات ثالث  بیمه نامه قبل </t>
  </si>
  <si>
    <t xml:space="preserve">سنوات راننده  بیمه نامه قبل </t>
  </si>
  <si>
    <t xml:space="preserve">تعدات خسارت راننده </t>
  </si>
  <si>
    <t xml:space="preserve">0 بار خسارت </t>
  </si>
  <si>
    <t xml:space="preserve">1 بار خسارت </t>
  </si>
  <si>
    <t xml:space="preserve">2 بار خسارت </t>
  </si>
  <si>
    <t xml:space="preserve">3 بار خسارت </t>
  </si>
  <si>
    <t xml:space="preserve">4 بار خسارت </t>
  </si>
  <si>
    <t xml:space="preserve">5 بار خسارت </t>
  </si>
  <si>
    <t>فاقد بیمه نامه</t>
  </si>
  <si>
    <t>نرخ حوادث راننده</t>
  </si>
  <si>
    <t xml:space="preserve">تخفیف سنوات </t>
  </si>
  <si>
    <t xml:space="preserve"> تخفیف سنوات ثالث  بیمه نامه قبل </t>
  </si>
  <si>
    <t xml:space="preserve"> تخفیف سنوات ثالث  بیمه حوادث راننده</t>
  </si>
  <si>
    <t>سابقه جانی</t>
  </si>
  <si>
    <t>سابقه مالی</t>
  </si>
  <si>
    <t>سابقه حوادث</t>
  </si>
  <si>
    <t xml:space="preserve">جمع تخفیف ثالث </t>
  </si>
  <si>
    <t xml:space="preserve"> جمع تخفیف حوادث راننده</t>
  </si>
  <si>
    <t>کمتر از چهار سيلندر</t>
  </si>
  <si>
    <t>پيکان-هيلمن-رنو-پرايد</t>
  </si>
  <si>
    <t>چهارسيلندربه استثناءرديف 2</t>
  </si>
  <si>
    <t>بيش از چهار سيلندر</t>
  </si>
  <si>
    <t>يدک</t>
  </si>
  <si>
    <t xml:space="preserve">نرخ مازاد </t>
  </si>
  <si>
    <t>عنوان</t>
  </si>
  <si>
    <t>سواري</t>
  </si>
  <si>
    <t>شخصي</t>
  </si>
  <si>
    <t>كرايه شهري</t>
  </si>
  <si>
    <t>تاكسي</t>
  </si>
  <si>
    <t>آژانس</t>
  </si>
  <si>
    <t>تعليم رانندگي</t>
  </si>
  <si>
    <t>اداري</t>
  </si>
  <si>
    <t>دولتي</t>
  </si>
  <si>
    <t>سياسي</t>
  </si>
  <si>
    <t>حمل خون ووسايل راديولوژي</t>
  </si>
  <si>
    <t>آتش نشاني</t>
  </si>
  <si>
    <t>خيابان پاك كن</t>
  </si>
  <si>
    <t>آمبولانس</t>
  </si>
  <si>
    <t>سرويس کارکنان بيمه گذار</t>
  </si>
  <si>
    <t>سرويس دانشجويان و محصلين</t>
  </si>
  <si>
    <t>حمل مسافر شهري</t>
  </si>
  <si>
    <t>حمل زباله</t>
  </si>
  <si>
    <t>حمل مواد سريع الاشتعال</t>
  </si>
  <si>
    <t>حمل مواد منفجره</t>
  </si>
  <si>
    <t>حمل مواد آتش زا</t>
  </si>
  <si>
    <t>حمل مواد سوختي مايع و گازي شكل</t>
  </si>
  <si>
    <t>موتور سيکلت</t>
  </si>
  <si>
    <t>ماشين آلات كشاورزي-راه سازي وساختماني</t>
  </si>
  <si>
    <t>ساختماني</t>
  </si>
  <si>
    <t>حمل چهارمواد</t>
  </si>
  <si>
    <t>جرثقيل</t>
  </si>
  <si>
    <t>لجن كش</t>
  </si>
  <si>
    <t>مسابقات/ رالي/نمايشي</t>
  </si>
  <si>
    <t>كرايه بياباني</t>
  </si>
  <si>
    <t>يخچالدار</t>
  </si>
  <si>
    <t>تانکر روغن نباتي</t>
  </si>
  <si>
    <t>بونکر سيمان</t>
  </si>
  <si>
    <t>پمپ انتقال بتن</t>
  </si>
  <si>
    <t>تانکر مخصوص نفت و گازوئيل</t>
  </si>
  <si>
    <t>تانکر</t>
  </si>
  <si>
    <t>تانکر مخصوص بنزين و نفت جت</t>
  </si>
  <si>
    <t>تانکر مخصوص گاز و مواد اسيدي</t>
  </si>
  <si>
    <t>کانتينر دار(چادري فلزي)</t>
  </si>
  <si>
    <t>بونکر سيمان جرثقلدار</t>
  </si>
  <si>
    <t>تريلر کفي</t>
  </si>
  <si>
    <t>تانکر حمل شير</t>
  </si>
  <si>
    <t>تانکر روغن نباتي مايع</t>
  </si>
  <si>
    <t>سرويس ترانزيت داخلي فرودگاه</t>
  </si>
  <si>
    <t>حمل شيشه</t>
  </si>
  <si>
    <t>ميکسر</t>
  </si>
  <si>
    <t>کارگاهي</t>
  </si>
  <si>
    <t xml:space="preserve">مورد استفاده </t>
  </si>
  <si>
    <t xml:space="preserve">پوشش اصلی </t>
  </si>
  <si>
    <t xml:space="preserve">پوشش مازاد </t>
  </si>
  <si>
    <t>مبلغ مورد استفاده پوشش مازاد</t>
  </si>
  <si>
    <t xml:space="preserve">حق بیمه تشدید خطر صندوق </t>
  </si>
  <si>
    <t>حق بیمه تشدید خطر صندوق در فاقد</t>
  </si>
  <si>
    <t xml:space="preserve">جمع حق بیمه تشدید خطر صندوق </t>
  </si>
  <si>
    <t xml:space="preserve">جمع کل حق بیمه صندوق </t>
  </si>
  <si>
    <t xml:space="preserve">یدک </t>
  </si>
  <si>
    <t xml:space="preserve">دارد </t>
  </si>
  <si>
    <t xml:space="preserve">ندارد </t>
  </si>
  <si>
    <t xml:space="preserve">تعداد یدک </t>
  </si>
  <si>
    <t xml:space="preserve">یدک نرخ پایه </t>
  </si>
  <si>
    <t xml:space="preserve">یدک نرخ نرخ مازاد </t>
  </si>
  <si>
    <t xml:space="preserve">یدک نرخ راننده </t>
  </si>
  <si>
    <t xml:space="preserve">جمع یدک </t>
  </si>
  <si>
    <t xml:space="preserve">حق بیمه یک صندوق </t>
  </si>
  <si>
    <t xml:space="preserve">حق بیمه صندوق مورد استفاده </t>
  </si>
  <si>
    <t>حق بیمه راننده و کهنگی ثالث و راننده</t>
  </si>
  <si>
    <t xml:space="preserve">کهنگی مازارد مالی </t>
  </si>
  <si>
    <t xml:space="preserve">جمع کهنگی ها </t>
  </si>
  <si>
    <t xml:space="preserve">مبلغ تخفیف مازاد مالی </t>
  </si>
  <si>
    <t>گروه</t>
  </si>
  <si>
    <t>از تاریخ</t>
  </si>
  <si>
    <t>ضریب ثالث</t>
  </si>
  <si>
    <t>ضریب مازاد</t>
  </si>
  <si>
    <t>ضریب حوادث راننده</t>
  </si>
  <si>
    <t>1384/03/11</t>
  </si>
  <si>
    <t>1390/03/08</t>
  </si>
  <si>
    <t>1398/07/22</t>
  </si>
  <si>
    <t>1396/12/05</t>
  </si>
  <si>
    <t>1384/11/02</t>
  </si>
  <si>
    <t>1394/01/25</t>
  </si>
  <si>
    <t>1397/12/21</t>
  </si>
  <si>
    <t>1395/09/14</t>
  </si>
  <si>
    <t>1396/05/02</t>
  </si>
  <si>
    <t>1393/09/25</t>
  </si>
  <si>
    <t>1390/05/15</t>
  </si>
  <si>
    <t>1394/06/21</t>
  </si>
  <si>
    <t>1388/02/19</t>
  </si>
  <si>
    <t>1390/06/24</t>
  </si>
  <si>
    <t>1395/08/24</t>
  </si>
  <si>
    <t>1391/03/27</t>
  </si>
  <si>
    <t>1392/09/06</t>
  </si>
  <si>
    <t>1395/09/07</t>
  </si>
  <si>
    <t>1396/06/14</t>
  </si>
  <si>
    <t>1397/04/31</t>
  </si>
  <si>
    <t>وسيله نقليه راه سازي</t>
  </si>
  <si>
    <t>وسيله نقليه ساختماني</t>
  </si>
  <si>
    <t xml:space="preserve">مبلغ مورد استفاده پوشش حوادث  </t>
  </si>
  <si>
    <t>کشاوزی</t>
  </si>
  <si>
    <t>وسيله نقليه کشاورزي</t>
  </si>
  <si>
    <t>یدک</t>
  </si>
  <si>
    <t>جمع حق بیمه پایه</t>
  </si>
  <si>
    <t xml:space="preserve">جمع تخفیفات </t>
  </si>
  <si>
    <t>جمع کل حق بیمه قبل از مالیات</t>
  </si>
  <si>
    <t>و کهنگی تخفیفات و تشدید خطز قبل مالیات</t>
  </si>
  <si>
    <t xml:space="preserve">حق بیمه راننده </t>
  </si>
  <si>
    <t>کهنگی راننده</t>
  </si>
  <si>
    <t xml:space="preserve">کهنگی ثالث </t>
  </si>
  <si>
    <t xml:space="preserve">تشدید خطر حوادث </t>
  </si>
  <si>
    <t xml:space="preserve">جمع تشدید خطر اصلی </t>
  </si>
  <si>
    <t xml:space="preserve">جمع کهنگی و تشدید مازاد مالی </t>
  </si>
  <si>
    <t>پرداخت</t>
  </si>
  <si>
    <t xml:space="preserve">مورد استفاده نرخ اصلی </t>
  </si>
  <si>
    <t xml:space="preserve">جمع مورد استفاده+یدک اصلی  </t>
  </si>
  <si>
    <t xml:space="preserve">جمع کل یدک و مورد استفاده و مازاد </t>
  </si>
  <si>
    <t>سرويس کارکنان بيمه گذار( شخصی )</t>
  </si>
  <si>
    <t xml:space="preserve">سابقه خسارت جانی پایه </t>
  </si>
  <si>
    <t>1390/03/09</t>
  </si>
  <si>
    <t xml:space="preserve">کشاورزی </t>
  </si>
  <si>
    <t>1390/03/10</t>
  </si>
  <si>
    <t xml:space="preserve">جرثقيل -کشاورزی راهسازی </t>
  </si>
  <si>
    <t xml:space="preserve">راه سازي </t>
  </si>
  <si>
    <t>نوع وسیله نقلیه</t>
  </si>
  <si>
    <t>تا 1 برابر تعهد اجباری مالی 800000000</t>
  </si>
  <si>
    <t>بیش از 1 برابر تا 5 برابر تعهد اجباری مالیاز 800.000.000 تا 2.400.000.000ریال)</t>
  </si>
  <si>
    <t>بیش از 5 برابر تعهد اجباری مالیاز 2.400.000.000ریال)</t>
  </si>
  <si>
    <t>کمتر از 4 سیلندر</t>
  </si>
  <si>
    <t>پیکان-هیلمن-رنو-پراید</t>
  </si>
  <si>
    <t>چهارسیلندر به استثناء ردیف 2</t>
  </si>
  <si>
    <t>بیش از چهار سیلندر</t>
  </si>
  <si>
    <t>تا سه تن</t>
  </si>
  <si>
    <t>تا پنج تن</t>
  </si>
  <si>
    <t>تا ده تن</t>
  </si>
  <si>
    <t>تا بیست تن</t>
  </si>
  <si>
    <t>بالای 20 تن</t>
  </si>
  <si>
    <t>موتور سیکلت گازی</t>
  </si>
  <si>
    <t>موتورسیکلت دنده ای 3 چرخ با سایدکار</t>
  </si>
  <si>
    <t>موتور دنده ای یک سیلندر</t>
  </si>
  <si>
    <t>موتور دنده ای دو سیلندر و به بالا</t>
  </si>
  <si>
    <t>وسیله نقلیه با ظرفیت حداقل هفت نفر با احتساب راننده</t>
  </si>
  <si>
    <t>مینی بوس با ظرفیت حداقل شانزده نفر با احتساب راننده</t>
  </si>
  <si>
    <t>اتوبوس با ظرفیت حداقل بیست و هفت نفر با احتساب راننده و کمک راننده</t>
  </si>
  <si>
    <t>وسیله نقلیه کشاورزی</t>
  </si>
  <si>
    <t>وسیله نقلیه راه سازی</t>
  </si>
  <si>
    <t>وسیله نقلیه ساختمانی</t>
  </si>
  <si>
    <t>نرخ سال1403</t>
  </si>
  <si>
    <t>حوادث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</si>
</sst>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#,##0.000"/>
    <numFmt numFmtId="165" formatCode="#,##0.0000000000"/>
    <numFmt numFmtId="166" formatCode="#,##0.0000"/>
    <numFmt numFmtId="167" formatCode="0.000000000"/>
    <numFmt numFmtId="168" formatCode="0.0000000000"/>
    <numFmt numFmtId="169" formatCode="_(* #,##0_);_(* \(#,##0\);_(* &quot;-&quot;??_);_(@_)"/>
    <numFmt numFmtId="170" formatCode="_-* #,##0.0000000000_-;_-* #,##0.0000000000\-;_-* &quot;-&quot;??_-;_-@_-"/>
    <numFmt numFmtId="171" formatCode="_-* #,##0.000000000_-;_-* #,##0.000000000\-;_-* &quot;-&quot;??_-;_-@_-"/>
    <numFmt numFmtId="172" formatCode="_(* #,##0.00000000000_);_(* \(#,##0.00000000000\);_(* &quot;-&quot;??_);_(@_)"/>
    <numFmt numFmtId="173" formatCode="_(* #,##0.000000000_);_(* \(#,##0.000000000\);_(* &quot;-&quot;??_);_(@_)"/>
    <numFmt numFmtId="174" formatCode="_(* #,##0.0000000000_);_(* \(#,##0.0000000000\);_(* &quot;-&quot;??_);_(@_)"/>
    <numFmt numFmtId="175" formatCode="_(* #,##0.00000000_);_(* \(#,##0.00000000\);_(* &quot;-&quot;??_);_(@_)"/>
    <numFmt numFmtId="176" formatCode="_(* #,##0.00000000000000_);_(* \(#,##0.00000000000000\);_(* &quot;-&quot;??_);_(@_)"/>
  </numFmts>
  <fonts count="23">
    <font>
      <sz val="11"/>
      <color theme="1"/>
      <name val="Calibri"/>
      <family val="2"/>
      <charset val="178"/>
      <scheme val="minor"/>
    </font>
    <font>
      <sz val="12"/>
      <color theme="1"/>
      <name val="B Nazanin"/>
      <family val="2"/>
    </font>
    <font>
      <sz val="11"/>
      <color theme="1"/>
      <name val="B Nazanin"/>
      <charset val="178"/>
    </font>
    <font>
      <sz val="14"/>
      <color theme="1"/>
      <name val="B Nazanin"/>
      <charset val="178"/>
    </font>
    <font>
      <sz val="12"/>
      <color theme="1"/>
      <name val="B Nazanin"/>
      <charset val="178"/>
    </font>
    <font>
      <sz val="12"/>
      <color rgb="FFFF0000"/>
      <name val="B Nazanin"/>
      <charset val="178"/>
    </font>
    <font>
      <sz val="20"/>
      <color theme="1"/>
      <name val="B Nazanin"/>
      <charset val="178"/>
    </font>
    <font>
      <b/>
      <sz val="12"/>
      <color rgb="FFFF0000"/>
      <name val="B Nazanin"/>
      <charset val="178"/>
    </font>
    <font>
      <b/>
      <sz val="12"/>
      <color theme="1"/>
      <name val="B Nazanin"/>
      <charset val="178"/>
    </font>
    <font>
      <sz val="11"/>
      <color rgb="FFFF0000"/>
      <name val="Calibri"/>
      <family val="2"/>
      <charset val="178"/>
      <scheme val="minor"/>
    </font>
    <font>
      <b/>
      <sz val="12"/>
      <color rgb="FF000000"/>
      <name val="B Nazanin"/>
      <charset val="178"/>
    </font>
    <font>
      <sz val="11"/>
      <color rgb="FF000000"/>
      <name val="B Nazanin"/>
      <charset val="178"/>
    </font>
    <font>
      <sz val="11"/>
      <color rgb="FF000000"/>
      <name val="Calibri"/>
      <family val="2"/>
      <charset val="178"/>
      <scheme val="minor"/>
    </font>
    <font>
      <sz val="12"/>
      <color rgb="FF000000"/>
      <name val="B Nazanin"/>
      <family val="2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2"/>
      <color rgb="FFFF0000"/>
      <name val="B Nazanin"/>
      <family val="2"/>
      <charset val="178"/>
    </font>
    <font>
      <sz val="12"/>
      <color rgb="FF000000"/>
      <name val="B Nazanin"/>
      <family val="2"/>
      <charset val="178"/>
    </font>
    <font>
      <b/>
      <sz val="10"/>
      <color rgb="FF000000"/>
      <name val="B Nazanin"/>
      <charset val="178"/>
    </font>
    <font>
      <b/>
      <sz val="10"/>
      <color rgb="FF000000"/>
      <name val="Times New Roman"/>
      <family val="1"/>
    </font>
    <font>
      <sz val="12"/>
      <color theme="5" tint="-0.249977111117893"/>
      <name val="B Nazanin"/>
      <family val="2"/>
      <charset val="178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B9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5" fillId="0" borderId="0" applyFont="0" applyFill="0" applyBorder="0" applyAlignment="0" applyProtection="0"/>
    <xf numFmtId="0" fontId="1" fillId="0" borderId="0"/>
    <xf numFmtId="0" fontId="22" fillId="0" borderId="0"/>
  </cellStyleXfs>
  <cellXfs count="207">
    <xf numFmtId="0" fontId="0" fillId="0" borderId="0" xfId="0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textRotation="180"/>
    </xf>
    <xf numFmtId="0" fontId="2" fillId="0" borderId="2" xfId="0" applyFont="1" applyBorder="1" applyAlignment="1">
      <alignment horizontal="center" vertical="center" textRotation="180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6" xfId="0" applyFont="1" applyBorder="1" applyAlignment="1">
      <alignment horizontal="right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" fontId="8" fillId="4" borderId="17" xfId="0" applyNumberFormat="1" applyFont="1" applyFill="1" applyBorder="1" applyAlignment="1">
      <alignment vertical="center"/>
    </xf>
    <xf numFmtId="1" fontId="8" fillId="7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readingOrder="1"/>
    </xf>
    <xf numFmtId="0" fontId="10" fillId="0" borderId="6" xfId="0" applyFont="1" applyBorder="1" applyAlignment="1">
      <alignment readingOrder="1"/>
    </xf>
    <xf numFmtId="167" fontId="10" fillId="0" borderId="1" xfId="0" applyNumberFormat="1" applyFont="1" applyBorder="1" applyAlignment="1">
      <alignment readingOrder="1"/>
    </xf>
    <xf numFmtId="168" fontId="10" fillId="0" borderId="1" xfId="0" applyNumberFormat="1" applyFont="1" applyBorder="1" applyAlignment="1">
      <alignment readingOrder="1"/>
    </xf>
    <xf numFmtId="0" fontId="11" fillId="0" borderId="6" xfId="0" applyFont="1" applyBorder="1" applyAlignment="1">
      <alignment horizontal="right" vertical="center" readingOrder="2"/>
    </xf>
    <xf numFmtId="1" fontId="9" fillId="0" borderId="6" xfId="0" applyNumberFormat="1" applyFont="1" applyBorder="1" applyAlignment="1">
      <alignment horizontal="center" vertical="center" readingOrder="1"/>
    </xf>
    <xf numFmtId="1" fontId="12" fillId="0" borderId="6" xfId="0" applyNumberFormat="1" applyFont="1" applyBorder="1" applyAlignment="1">
      <alignment horizontal="center" vertical="center" readingOrder="1"/>
    </xf>
    <xf numFmtId="165" fontId="12" fillId="0" borderId="6" xfId="0" applyNumberFormat="1" applyFont="1" applyBorder="1" applyAlignment="1">
      <alignment horizontal="right" vertical="center" readingOrder="2"/>
    </xf>
    <xf numFmtId="4" fontId="12" fillId="0" borderId="6" xfId="0" applyNumberFormat="1" applyFont="1" applyBorder="1" applyAlignment="1">
      <alignment horizontal="right" vertical="center" readingOrder="2"/>
    </xf>
    <xf numFmtId="0" fontId="13" fillId="0" borderId="0" xfId="0" applyFont="1" applyAlignment="1">
      <alignment readingOrder="2"/>
    </xf>
    <xf numFmtId="0" fontId="2" fillId="0" borderId="1" xfId="0" applyFont="1" applyBorder="1" applyAlignment="1">
      <alignment horizontal="center" vertical="center"/>
    </xf>
    <xf numFmtId="3" fontId="3" fillId="5" borderId="1" xfId="0" applyNumberFormat="1" applyFont="1" applyFill="1" applyBorder="1" applyAlignment="1">
      <alignment vertical="center"/>
    </xf>
    <xf numFmtId="3" fontId="5" fillId="4" borderId="18" xfId="0" applyNumberFormat="1" applyFont="1" applyFill="1" applyBorder="1" applyAlignment="1">
      <alignment vertical="center"/>
    </xf>
    <xf numFmtId="3" fontId="5" fillId="4" borderId="8" xfId="0" applyNumberFormat="1" applyFont="1" applyFill="1" applyBorder="1" applyAlignment="1">
      <alignment vertical="center"/>
    </xf>
    <xf numFmtId="3" fontId="5" fillId="4" borderId="2" xfId="0" applyNumberFormat="1" applyFont="1" applyFill="1" applyBorder="1" applyAlignment="1">
      <alignment vertical="center"/>
    </xf>
    <xf numFmtId="3" fontId="5" fillId="4" borderId="10" xfId="0" applyNumberFormat="1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169" fontId="2" fillId="0" borderId="0" xfId="1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readingOrder="1"/>
    </xf>
    <xf numFmtId="3" fontId="2" fillId="3" borderId="0" xfId="0" applyNumberFormat="1" applyFont="1" applyFill="1" applyAlignment="1">
      <alignment horizontal="center" vertical="center"/>
    </xf>
    <xf numFmtId="0" fontId="1" fillId="0" borderId="0" xfId="2"/>
    <xf numFmtId="0" fontId="8" fillId="0" borderId="0" xfId="2" applyFont="1" applyAlignment="1">
      <alignment vertical="center"/>
    </xf>
    <xf numFmtId="3" fontId="4" fillId="10" borderId="18" xfId="0" applyNumberFormat="1" applyFont="1" applyFill="1" applyBorder="1" applyAlignment="1">
      <alignment horizontal="center" vertical="center"/>
    </xf>
    <xf numFmtId="3" fontId="4" fillId="10" borderId="8" xfId="0" applyNumberFormat="1" applyFont="1" applyFill="1" applyBorder="1" applyAlignment="1">
      <alignment horizontal="center" vertical="center"/>
    </xf>
    <xf numFmtId="3" fontId="4" fillId="10" borderId="5" xfId="0" applyNumberFormat="1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3" fontId="4" fillId="10" borderId="5" xfId="0" applyNumberFormat="1" applyFont="1" applyFill="1" applyBorder="1" applyAlignment="1">
      <alignment horizontal="center" vertical="center" wrapText="1"/>
    </xf>
    <xf numFmtId="3" fontId="4" fillId="10" borderId="2" xfId="0" applyNumberFormat="1" applyFont="1" applyFill="1" applyBorder="1" applyAlignment="1">
      <alignment horizontal="center" vertical="center"/>
    </xf>
    <xf numFmtId="3" fontId="4" fillId="10" borderId="10" xfId="0" applyNumberFormat="1" applyFont="1" applyFill="1" applyBorder="1" applyAlignment="1">
      <alignment horizontal="center" vertical="center"/>
    </xf>
    <xf numFmtId="3" fontId="4" fillId="10" borderId="1" xfId="0" applyNumberFormat="1" applyFont="1" applyFill="1" applyBorder="1" applyAlignment="1">
      <alignment horizontal="center" vertical="center"/>
    </xf>
    <xf numFmtId="3" fontId="4" fillId="10" borderId="1" xfId="0" applyNumberFormat="1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3" fontId="4" fillId="10" borderId="6" xfId="0" applyNumberFormat="1" applyFont="1" applyFill="1" applyBorder="1" applyAlignment="1">
      <alignment horizontal="center" vertical="center" wrapText="1"/>
    </xf>
    <xf numFmtId="3" fontId="4" fillId="10" borderId="6" xfId="0" applyNumberFormat="1" applyFont="1" applyFill="1" applyBorder="1" applyAlignment="1">
      <alignment horizontal="center" vertical="center"/>
    </xf>
    <xf numFmtId="3" fontId="3" fillId="13" borderId="1" xfId="0" applyNumberFormat="1" applyFont="1" applyFill="1" applyBorder="1" applyAlignment="1">
      <alignment horizontal="center" vertical="center"/>
    </xf>
    <xf numFmtId="3" fontId="2" fillId="12" borderId="5" xfId="0" applyNumberFormat="1" applyFont="1" applyFill="1" applyBorder="1" applyAlignment="1">
      <alignment horizontal="center" vertical="center"/>
    </xf>
    <xf numFmtId="3" fontId="2" fillId="12" borderId="5" xfId="0" applyNumberFormat="1" applyFont="1" applyFill="1" applyBorder="1" applyAlignment="1">
      <alignment horizontal="right" vertical="center"/>
    </xf>
    <xf numFmtId="1" fontId="0" fillId="12" borderId="5" xfId="0" applyNumberFormat="1" applyFill="1" applyBorder="1" applyAlignment="1">
      <alignment horizontal="center" vertical="center"/>
    </xf>
    <xf numFmtId="3" fontId="0" fillId="12" borderId="5" xfId="0" applyNumberFormat="1" applyFill="1" applyBorder="1" applyAlignment="1">
      <alignment horizontal="center" vertical="center"/>
    </xf>
    <xf numFmtId="4" fontId="0" fillId="12" borderId="5" xfId="0" applyNumberFormat="1" applyFill="1" applyBorder="1" applyAlignment="1">
      <alignment horizontal="center" vertical="center"/>
    </xf>
    <xf numFmtId="164" fontId="2" fillId="12" borderId="5" xfId="0" applyNumberFormat="1" applyFont="1" applyFill="1" applyBorder="1" applyAlignment="1">
      <alignment horizontal="center" vertical="center"/>
    </xf>
    <xf numFmtId="3" fontId="4" fillId="12" borderId="5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readingOrder="1"/>
    </xf>
    <xf numFmtId="170" fontId="18" fillId="0" borderId="0" xfId="0" applyNumberFormat="1" applyFont="1" applyAlignment="1">
      <alignment horizontal="center" vertical="center" wrapText="1" readingOrder="2"/>
    </xf>
    <xf numFmtId="49" fontId="17" fillId="0" borderId="0" xfId="0" applyNumberFormat="1" applyFont="1" applyAlignment="1">
      <alignment readingOrder="2"/>
    </xf>
    <xf numFmtId="171" fontId="17" fillId="0" borderId="0" xfId="0" applyNumberFormat="1" applyFont="1" applyAlignment="1">
      <alignment readingOrder="1"/>
    </xf>
    <xf numFmtId="43" fontId="0" fillId="12" borderId="5" xfId="1" applyFont="1" applyFill="1" applyBorder="1" applyAlignment="1">
      <alignment horizontal="center" vertical="center"/>
    </xf>
    <xf numFmtId="0" fontId="0" fillId="0" borderId="1" xfId="0" applyBorder="1"/>
    <xf numFmtId="43" fontId="2" fillId="0" borderId="0" xfId="1" applyFont="1" applyAlignment="1">
      <alignment vertical="center"/>
    </xf>
    <xf numFmtId="172" fontId="2" fillId="0" borderId="0" xfId="1" applyNumberFormat="1" applyFont="1" applyAlignment="1">
      <alignment vertical="center"/>
    </xf>
    <xf numFmtId="172" fontId="11" fillId="0" borderId="0" xfId="0" applyNumberFormat="1" applyFont="1" applyAlignment="1">
      <alignment vertical="center" readingOrder="1"/>
    </xf>
    <xf numFmtId="3" fontId="3" fillId="13" borderId="3" xfId="0" applyNumberFormat="1" applyFont="1" applyFill="1" applyBorder="1" applyAlignment="1">
      <alignment horizontal="center" vertical="center"/>
    </xf>
    <xf numFmtId="3" fontId="3" fillId="13" borderId="3" xfId="0" applyNumberFormat="1" applyFont="1" applyFill="1" applyBorder="1" applyAlignment="1">
      <alignment vertical="center"/>
    </xf>
    <xf numFmtId="3" fontId="3" fillId="13" borderId="4" xfId="0" applyNumberFormat="1" applyFont="1" applyFill="1" applyBorder="1" applyAlignment="1">
      <alignment vertical="center"/>
    </xf>
    <xf numFmtId="3" fontId="4" fillId="10" borderId="8" xfId="0" applyNumberFormat="1" applyFont="1" applyFill="1" applyBorder="1" applyAlignment="1">
      <alignment horizontal="center" vertical="center" wrapText="1"/>
    </xf>
    <xf numFmtId="3" fontId="4" fillId="10" borderId="10" xfId="0" applyNumberFormat="1" applyFont="1" applyFill="1" applyBorder="1" applyAlignment="1">
      <alignment horizontal="center" vertical="center" wrapText="1"/>
    </xf>
    <xf numFmtId="171" fontId="10" fillId="0" borderId="0" xfId="0" applyNumberFormat="1" applyFont="1" applyAlignment="1">
      <alignment readingOrder="1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5" xfId="0" applyNumberFormat="1" applyFont="1" applyFill="1" applyBorder="1" applyAlignment="1">
      <alignment horizontal="center" vertical="center" wrapText="1"/>
    </xf>
    <xf numFmtId="3" fontId="4" fillId="10" borderId="17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readingOrder="1"/>
    </xf>
    <xf numFmtId="0" fontId="21" fillId="8" borderId="1" xfId="0" applyFont="1" applyFill="1" applyBorder="1" applyAlignment="1">
      <alignment readingOrder="2"/>
    </xf>
    <xf numFmtId="0" fontId="21" fillId="8" borderId="1" xfId="0" applyFont="1" applyFill="1" applyBorder="1" applyAlignment="1">
      <alignment readingOrder="1"/>
    </xf>
    <xf numFmtId="0" fontId="4" fillId="3" borderId="6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2" fillId="0" borderId="1" xfId="0" applyFont="1" applyBorder="1" applyAlignment="1">
      <alignment readingOrder="2"/>
    </xf>
    <xf numFmtId="169" fontId="2" fillId="12" borderId="5" xfId="1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readingOrder="1"/>
    </xf>
    <xf numFmtId="173" fontId="2" fillId="0" borderId="0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readingOrder="2"/>
    </xf>
    <xf numFmtId="0" fontId="21" fillId="0" borderId="6" xfId="0" applyFont="1" applyBorder="1" applyAlignment="1">
      <alignment readingOrder="2"/>
    </xf>
    <xf numFmtId="164" fontId="2" fillId="0" borderId="0" xfId="0" applyNumberFormat="1" applyFont="1" applyAlignment="1">
      <alignment horizontal="right" vertical="center"/>
    </xf>
    <xf numFmtId="3" fontId="4" fillId="10" borderId="1" xfId="0" applyNumberFormat="1" applyFont="1" applyFill="1" applyBorder="1" applyAlignment="1">
      <alignment vertical="center"/>
    </xf>
    <xf numFmtId="169" fontId="17" fillId="0" borderId="0" xfId="1" applyNumberFormat="1" applyFont="1" applyAlignment="1">
      <alignment readingOrder="1"/>
    </xf>
    <xf numFmtId="174" fontId="2" fillId="0" borderId="0" xfId="1" applyNumberFormat="1" applyFont="1" applyAlignment="1">
      <alignment horizontal="right" vertical="center"/>
    </xf>
    <xf numFmtId="0" fontId="12" fillId="0" borderId="1" xfId="0" applyFont="1" applyBorder="1" applyAlignment="1">
      <alignment readingOrder="1"/>
    </xf>
    <xf numFmtId="43" fontId="0" fillId="0" borderId="0" xfId="1" applyFont="1"/>
    <xf numFmtId="0" fontId="0" fillId="0" borderId="16" xfId="0" applyBorder="1"/>
    <xf numFmtId="174" fontId="2" fillId="0" borderId="0" xfId="1" applyNumberFormat="1" applyFont="1" applyFill="1" applyBorder="1" applyAlignment="1">
      <alignment horizontal="center" vertical="center"/>
    </xf>
    <xf numFmtId="175" fontId="2" fillId="0" borderId="0" xfId="1" applyNumberFormat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2" fillId="8" borderId="1" xfId="0" applyFont="1" applyFill="1" applyBorder="1" applyAlignment="1">
      <alignment readingOrder="2"/>
    </xf>
    <xf numFmtId="0" fontId="12" fillId="8" borderId="1" xfId="0" applyFont="1" applyFill="1" applyBorder="1" applyAlignment="1">
      <alignment readingOrder="1"/>
    </xf>
    <xf numFmtId="0" fontId="2" fillId="14" borderId="0" xfId="0" applyFont="1" applyFill="1" applyAlignment="1">
      <alignment vertical="center"/>
    </xf>
    <xf numFmtId="171" fontId="17" fillId="14" borderId="0" xfId="0" applyNumberFormat="1" applyFont="1" applyFill="1" applyAlignment="1">
      <alignment readingOrder="1"/>
    </xf>
    <xf numFmtId="170" fontId="17" fillId="14" borderId="0" xfId="0" applyNumberFormat="1" applyFont="1" applyFill="1" applyAlignment="1">
      <alignment readingOrder="1"/>
    </xf>
    <xf numFmtId="171" fontId="20" fillId="14" borderId="0" xfId="0" applyNumberFormat="1" applyFont="1" applyFill="1" applyAlignment="1">
      <alignment readingOrder="1"/>
    </xf>
    <xf numFmtId="170" fontId="20" fillId="14" borderId="0" xfId="0" applyNumberFormat="1" applyFont="1" applyFill="1" applyAlignment="1">
      <alignment readingOrder="1"/>
    </xf>
    <xf numFmtId="171" fontId="16" fillId="14" borderId="0" xfId="0" applyNumberFormat="1" applyFont="1" applyFill="1" applyAlignment="1">
      <alignment readingOrder="1"/>
    </xf>
    <xf numFmtId="170" fontId="16" fillId="14" borderId="0" xfId="0" applyNumberFormat="1" applyFont="1" applyFill="1" applyAlignment="1">
      <alignment readingOrder="1"/>
    </xf>
    <xf numFmtId="164" fontId="0" fillId="12" borderId="5" xfId="0" applyNumberFormat="1" applyFill="1" applyBorder="1" applyAlignment="1">
      <alignment horizontal="center" vertical="center"/>
    </xf>
    <xf numFmtId="171" fontId="17" fillId="16" borderId="0" xfId="0" applyNumberFormat="1" applyFont="1" applyFill="1" applyAlignment="1">
      <alignment readingOrder="1"/>
    </xf>
    <xf numFmtId="170" fontId="17" fillId="16" borderId="0" xfId="0" applyNumberFormat="1" applyFont="1" applyFill="1" applyAlignment="1">
      <alignment readingOrder="1"/>
    </xf>
    <xf numFmtId="0" fontId="18" fillId="16" borderId="0" xfId="0" applyFont="1" applyFill="1" applyAlignment="1">
      <alignment horizontal="center" vertical="center" wrapText="1" readingOrder="2"/>
    </xf>
    <xf numFmtId="0" fontId="19" fillId="16" borderId="0" xfId="0" applyFont="1" applyFill="1" applyAlignment="1">
      <alignment horizontal="center" vertical="center" wrapText="1" readingOrder="2"/>
    </xf>
    <xf numFmtId="170" fontId="18" fillId="16" borderId="0" xfId="0" applyNumberFormat="1" applyFont="1" applyFill="1" applyAlignment="1">
      <alignment horizontal="center" vertical="center" wrapText="1" readingOrder="2"/>
    </xf>
    <xf numFmtId="3" fontId="3" fillId="16" borderId="1" xfId="0" applyNumberFormat="1" applyFont="1" applyFill="1" applyBorder="1" applyAlignment="1">
      <alignment vertical="center"/>
    </xf>
    <xf numFmtId="1" fontId="7" fillId="16" borderId="3" xfId="0" applyNumberFormat="1" applyFon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1" fontId="2" fillId="12" borderId="5" xfId="0" applyNumberFormat="1" applyFont="1" applyFill="1" applyBorder="1" applyAlignment="1">
      <alignment horizontal="center" vertical="center" readingOrder="2"/>
    </xf>
    <xf numFmtId="1" fontId="0" fillId="12" borderId="5" xfId="0" applyNumberFormat="1" applyFill="1" applyBorder="1" applyAlignment="1">
      <alignment horizontal="center" vertical="center" readingOrder="2"/>
    </xf>
    <xf numFmtId="3" fontId="2" fillId="17" borderId="0" xfId="0" applyNumberFormat="1" applyFont="1" applyFill="1" applyAlignment="1">
      <alignment horizontal="right" vertical="center"/>
    </xf>
    <xf numFmtId="3" fontId="2" fillId="16" borderId="5" xfId="0" applyNumberFormat="1" applyFont="1" applyFill="1" applyBorder="1" applyAlignment="1">
      <alignment horizontal="center" vertical="center"/>
    </xf>
    <xf numFmtId="3" fontId="3" fillId="18" borderId="1" xfId="0" applyNumberFormat="1" applyFont="1" applyFill="1" applyBorder="1" applyAlignment="1">
      <alignment horizontal="center" vertical="center"/>
    </xf>
    <xf numFmtId="3" fontId="7" fillId="10" borderId="5" xfId="0" applyNumberFormat="1" applyFont="1" applyFill="1" applyBorder="1" applyAlignment="1">
      <alignment horizontal="center" vertical="center" wrapText="1"/>
    </xf>
    <xf numFmtId="3" fontId="7" fillId="10" borderId="6" xfId="0" applyNumberFormat="1" applyFont="1" applyFill="1" applyBorder="1" applyAlignment="1">
      <alignment horizontal="center" vertical="center" wrapText="1"/>
    </xf>
    <xf numFmtId="3" fontId="4" fillId="10" borderId="7" xfId="0" applyNumberFormat="1" applyFont="1" applyFill="1" applyBorder="1" applyAlignment="1">
      <alignment horizontal="center" vertical="center"/>
    </xf>
    <xf numFmtId="3" fontId="4" fillId="10" borderId="9" xfId="0" applyNumberFormat="1" applyFont="1" applyFill="1" applyBorder="1" applyAlignment="1">
      <alignment horizontal="center" vertical="center"/>
    </xf>
    <xf numFmtId="3" fontId="4" fillId="10" borderId="1" xfId="0" applyNumberFormat="1" applyFont="1" applyFill="1" applyBorder="1" applyAlignment="1">
      <alignment horizontal="center" vertical="center" wrapText="1"/>
    </xf>
    <xf numFmtId="3" fontId="7" fillId="11" borderId="5" xfId="0" applyNumberFormat="1" applyFont="1" applyFill="1" applyBorder="1" applyAlignment="1">
      <alignment horizontal="center" vertical="center" wrapText="1" readingOrder="2"/>
    </xf>
    <xf numFmtId="3" fontId="7" fillId="11" borderId="6" xfId="0" applyNumberFormat="1" applyFont="1" applyFill="1" applyBorder="1" applyAlignment="1">
      <alignment horizontal="center" vertical="center" wrapText="1" readingOrder="2"/>
    </xf>
    <xf numFmtId="0" fontId="4" fillId="10" borderId="19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9" fontId="3" fillId="16" borderId="3" xfId="0" applyNumberFormat="1" applyFont="1" applyFill="1" applyBorder="1" applyAlignment="1">
      <alignment horizontal="center" vertical="center"/>
    </xf>
    <xf numFmtId="9" fontId="3" fillId="16" borderId="4" xfId="0" applyNumberFormat="1" applyFont="1" applyFill="1" applyBorder="1" applyAlignment="1">
      <alignment horizontal="center" vertical="center"/>
    </xf>
    <xf numFmtId="3" fontId="6" fillId="9" borderId="7" xfId="0" applyNumberFormat="1" applyFont="1" applyFill="1" applyBorder="1" applyAlignment="1">
      <alignment horizontal="center" vertical="center"/>
    </xf>
    <xf numFmtId="3" fontId="6" fillId="9" borderId="18" xfId="0" applyNumberFormat="1" applyFont="1" applyFill="1" applyBorder="1" applyAlignment="1">
      <alignment horizontal="center" vertical="center"/>
    </xf>
    <xf numFmtId="3" fontId="6" fillId="9" borderId="8" xfId="0" applyNumberFormat="1" applyFont="1" applyFill="1" applyBorder="1" applyAlignment="1">
      <alignment horizontal="center" vertical="center"/>
    </xf>
    <xf numFmtId="3" fontId="6" fillId="9" borderId="9" xfId="0" applyNumberFormat="1" applyFont="1" applyFill="1" applyBorder="1" applyAlignment="1">
      <alignment horizontal="center" vertical="center"/>
    </xf>
    <xf numFmtId="3" fontId="6" fillId="9" borderId="2" xfId="0" applyNumberFormat="1" applyFont="1" applyFill="1" applyBorder="1" applyAlignment="1">
      <alignment horizontal="center" vertical="center"/>
    </xf>
    <xf numFmtId="3" fontId="6" fillId="9" borderId="10" xfId="0" applyNumberFormat="1" applyFont="1" applyFill="1" applyBorder="1" applyAlignment="1">
      <alignment horizontal="center" vertical="center"/>
    </xf>
    <xf numFmtId="3" fontId="3" fillId="13" borderId="3" xfId="0" applyNumberFormat="1" applyFont="1" applyFill="1" applyBorder="1" applyAlignment="1">
      <alignment horizontal="center" vertical="center"/>
    </xf>
    <xf numFmtId="3" fontId="3" fillId="13" borderId="4" xfId="0" applyNumberFormat="1" applyFont="1" applyFill="1" applyBorder="1" applyAlignment="1">
      <alignment horizontal="center" vertical="center"/>
    </xf>
    <xf numFmtId="3" fontId="4" fillId="10" borderId="5" xfId="0" applyNumberFormat="1" applyFont="1" applyFill="1" applyBorder="1" applyAlignment="1">
      <alignment horizontal="center" vertical="center"/>
    </xf>
    <xf numFmtId="3" fontId="4" fillId="10" borderId="6" xfId="0" applyNumberFormat="1" applyFont="1" applyFill="1" applyBorder="1" applyAlignment="1">
      <alignment horizontal="center" vertical="center"/>
    </xf>
    <xf numFmtId="3" fontId="3" fillId="9" borderId="7" xfId="0" applyNumberFormat="1" applyFont="1" applyFill="1" applyBorder="1" applyAlignment="1">
      <alignment horizontal="center" vertical="center"/>
    </xf>
    <xf numFmtId="3" fontId="3" fillId="9" borderId="8" xfId="0" applyNumberFormat="1" applyFont="1" applyFill="1" applyBorder="1" applyAlignment="1">
      <alignment horizontal="center" vertical="center"/>
    </xf>
    <xf numFmtId="3" fontId="3" fillId="9" borderId="9" xfId="0" applyNumberFormat="1" applyFont="1" applyFill="1" applyBorder="1" applyAlignment="1">
      <alignment horizontal="center" vertical="center"/>
    </xf>
    <xf numFmtId="3" fontId="3" fillId="9" borderId="10" xfId="0" applyNumberFormat="1" applyFont="1" applyFill="1" applyBorder="1" applyAlignment="1">
      <alignment horizontal="center" vertical="center"/>
    </xf>
    <xf numFmtId="3" fontId="3" fillId="13" borderId="17" xfId="0" applyNumberFormat="1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 textRotation="90"/>
    </xf>
    <xf numFmtId="3" fontId="4" fillId="3" borderId="6" xfId="0" applyNumberFormat="1" applyFont="1" applyFill="1" applyBorder="1" applyAlignment="1">
      <alignment horizontal="center" vertical="center" textRotation="90"/>
    </xf>
    <xf numFmtId="3" fontId="4" fillId="10" borderId="3" xfId="0" applyNumberFormat="1" applyFont="1" applyFill="1" applyBorder="1" applyAlignment="1">
      <alignment horizontal="center" vertical="center"/>
    </xf>
    <xf numFmtId="3" fontId="4" fillId="10" borderId="17" xfId="0" applyNumberFormat="1" applyFont="1" applyFill="1" applyBorder="1" applyAlignment="1">
      <alignment horizontal="center" vertical="center"/>
    </xf>
    <xf numFmtId="3" fontId="4" fillId="10" borderId="4" xfId="0" applyNumberFormat="1" applyFont="1" applyFill="1" applyBorder="1" applyAlignment="1">
      <alignment horizontal="center" vertical="center"/>
    </xf>
    <xf numFmtId="3" fontId="4" fillId="10" borderId="8" xfId="0" applyNumberFormat="1" applyFont="1" applyFill="1" applyBorder="1" applyAlignment="1">
      <alignment horizontal="center" vertical="center"/>
    </xf>
    <xf numFmtId="3" fontId="4" fillId="10" borderId="10" xfId="0" applyNumberFormat="1" applyFont="1" applyFill="1" applyBorder="1" applyAlignment="1">
      <alignment horizontal="center" vertical="center"/>
    </xf>
    <xf numFmtId="3" fontId="4" fillId="10" borderId="5" xfId="0" applyNumberFormat="1" applyFont="1" applyFill="1" applyBorder="1" applyAlignment="1">
      <alignment horizontal="center" vertical="center" textRotation="90"/>
    </xf>
    <xf numFmtId="3" fontId="4" fillId="10" borderId="6" xfId="0" applyNumberFormat="1" applyFont="1" applyFill="1" applyBorder="1" applyAlignment="1">
      <alignment horizontal="center" vertical="center" textRotation="90"/>
    </xf>
    <xf numFmtId="1" fontId="4" fillId="10" borderId="5" xfId="0" applyNumberFormat="1" applyFont="1" applyFill="1" applyBorder="1" applyAlignment="1">
      <alignment horizontal="center" vertical="center"/>
    </xf>
    <xf numFmtId="1" fontId="4" fillId="10" borderId="6" xfId="0" applyNumberFormat="1" applyFont="1" applyFill="1" applyBorder="1" applyAlignment="1">
      <alignment horizontal="center" vertical="center"/>
    </xf>
    <xf numFmtId="3" fontId="7" fillId="10" borderId="7" xfId="0" applyNumberFormat="1" applyFont="1" applyFill="1" applyBorder="1" applyAlignment="1">
      <alignment horizontal="center" vertical="center"/>
    </xf>
    <xf numFmtId="3" fontId="7" fillId="10" borderId="8" xfId="0" applyNumberFormat="1" applyFont="1" applyFill="1" applyBorder="1" applyAlignment="1">
      <alignment horizontal="center" vertical="center"/>
    </xf>
    <xf numFmtId="3" fontId="7" fillId="10" borderId="9" xfId="0" applyNumberFormat="1" applyFont="1" applyFill="1" applyBorder="1" applyAlignment="1">
      <alignment horizontal="center" vertical="center"/>
    </xf>
    <xf numFmtId="3" fontId="7" fillId="10" borderId="10" xfId="0" applyNumberFormat="1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4" fillId="10" borderId="5" xfId="0" applyNumberFormat="1" applyFont="1" applyFill="1" applyBorder="1" applyAlignment="1">
      <alignment horizontal="center" vertical="center" wrapText="1"/>
    </xf>
    <xf numFmtId="3" fontId="4" fillId="10" borderId="6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textRotation="180"/>
    </xf>
    <xf numFmtId="0" fontId="2" fillId="6" borderId="16" xfId="0" applyFont="1" applyFill="1" applyBorder="1" applyAlignment="1">
      <alignment horizontal="center" vertical="center" textRotation="180"/>
    </xf>
    <xf numFmtId="0" fontId="2" fillId="6" borderId="6" xfId="0" applyFont="1" applyFill="1" applyBorder="1" applyAlignment="1">
      <alignment horizontal="center" vertical="center" textRotation="180"/>
    </xf>
    <xf numFmtId="0" fontId="2" fillId="6" borderId="1" xfId="0" applyFont="1" applyFill="1" applyBorder="1" applyAlignment="1">
      <alignment horizontal="center" vertical="center" textRotation="180"/>
    </xf>
    <xf numFmtId="3" fontId="2" fillId="15" borderId="1" xfId="0" applyNumberFormat="1" applyFont="1" applyFill="1" applyBorder="1" applyAlignment="1">
      <alignment horizontal="center" vertical="center"/>
    </xf>
    <xf numFmtId="3" fontId="2" fillId="15" borderId="3" xfId="0" applyNumberFormat="1" applyFont="1" applyFill="1" applyBorder="1" applyAlignment="1">
      <alignment horizontal="center" vertical="center"/>
    </xf>
    <xf numFmtId="3" fontId="2" fillId="15" borderId="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2" fillId="19" borderId="0" xfId="0" applyNumberFormat="1" applyFont="1" applyFill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00FF00"/>
      <color rgb="FF66FF99"/>
      <color rgb="FF77EAF9"/>
      <color rgb="FFF7B9EA"/>
      <color rgb="FFB8BBF8"/>
      <color rgb="FFECFB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EE3026"/>
  <sheetViews>
    <sheetView rightToLeft="1" tabSelected="1" topLeftCell="A4" zoomScaleNormal="100" workbookViewId="0">
      <selection activeCell="J14" sqref="I14:J14"/>
    </sheetView>
  </sheetViews>
  <sheetFormatPr defaultRowHeight="18"/>
  <cols>
    <col min="1" max="2" width="5" style="1" customWidth="1"/>
    <col min="3" max="3" width="31.5703125" style="1" bestFit="1" customWidth="1"/>
    <col min="4" max="4" width="33" style="2" bestFit="1" customWidth="1"/>
    <col min="5" max="5" width="17.85546875" style="2" bestFit="1" customWidth="1"/>
    <col min="6" max="6" width="17.85546875" style="18" bestFit="1" customWidth="1"/>
    <col min="7" max="7" width="13.28515625" style="1" customWidth="1"/>
    <col min="8" max="8" width="19.42578125" style="2" customWidth="1"/>
    <col min="9" max="9" width="22.5703125" style="2" customWidth="1"/>
    <col min="10" max="11" width="19.42578125" style="2" customWidth="1"/>
    <col min="12" max="15" width="16.28515625" style="1" customWidth="1"/>
    <col min="16" max="16" width="6.140625" style="1" customWidth="1"/>
    <col min="17" max="17" width="7.5703125" style="1" customWidth="1"/>
    <col min="18" max="18" width="6.5703125" style="1" customWidth="1"/>
    <col min="19" max="19" width="15.7109375" style="1" bestFit="1" customWidth="1"/>
    <col min="20" max="20" width="13.85546875" style="1" customWidth="1"/>
    <col min="21" max="21" width="14.140625" style="1" bestFit="1" customWidth="1"/>
    <col min="22" max="22" width="13.42578125" style="1" bestFit="1" customWidth="1"/>
    <col min="23" max="23" width="12.28515625" style="1" customWidth="1"/>
    <col min="24" max="25" width="17.85546875" style="1" bestFit="1" customWidth="1"/>
    <col min="26" max="26" width="16.85546875" style="1" bestFit="1" customWidth="1"/>
    <col min="27" max="27" width="22.7109375" style="1" bestFit="1" customWidth="1"/>
    <col min="28" max="28" width="12.42578125" style="1" bestFit="1" customWidth="1"/>
    <col min="29" max="29" width="10.140625" style="1" bestFit="1" customWidth="1"/>
    <col min="30" max="30" width="10.42578125" style="1" bestFit="1" customWidth="1"/>
    <col min="31" max="31" width="13.85546875" style="1" bestFit="1" customWidth="1"/>
    <col min="32" max="32" width="15.28515625" style="1" bestFit="1" customWidth="1"/>
    <col min="33" max="33" width="10" style="1" bestFit="1" customWidth="1"/>
    <col min="34" max="34" width="24.42578125" style="1" bestFit="1" customWidth="1"/>
    <col min="35" max="35" width="24.42578125" style="1" customWidth="1"/>
    <col min="36" max="36" width="22.85546875" style="1" bestFit="1" customWidth="1"/>
    <col min="37" max="37" width="23.7109375" style="1" bestFit="1" customWidth="1"/>
    <col min="38" max="38" width="14.85546875" style="1" customWidth="1"/>
    <col min="39" max="39" width="15" style="1" bestFit="1" customWidth="1"/>
    <col min="40" max="41" width="10.85546875" style="1" customWidth="1"/>
    <col min="42" max="42" width="20.7109375" style="1" customWidth="1"/>
    <col min="43" max="43" width="16.85546875" style="1" bestFit="1" customWidth="1"/>
    <col min="44" max="44" width="15.28515625" style="1" bestFit="1" customWidth="1"/>
    <col min="45" max="45" width="21.140625" style="1" bestFit="1" customWidth="1"/>
    <col min="46" max="46" width="13.42578125" style="1" bestFit="1" customWidth="1"/>
    <col min="47" max="47" width="10.85546875" style="1" bestFit="1" customWidth="1"/>
    <col min="48" max="48" width="21.5703125" style="1" bestFit="1" customWidth="1"/>
    <col min="49" max="49" width="20.140625" style="1" bestFit="1" customWidth="1"/>
    <col min="50" max="50" width="20.7109375" style="1" bestFit="1" customWidth="1"/>
    <col min="51" max="51" width="16.85546875" style="1" customWidth="1"/>
    <col min="52" max="52" width="13.140625" style="1" customWidth="1"/>
    <col min="53" max="53" width="21.140625" style="1" customWidth="1"/>
    <col min="54" max="54" width="18.7109375" style="1" customWidth="1"/>
    <col min="55" max="55" width="16" style="1" customWidth="1"/>
    <col min="56" max="56" width="21.5703125" style="1" customWidth="1"/>
    <col min="57" max="57" width="16" style="1" customWidth="1"/>
    <col min="58" max="58" width="20.7109375" style="1" customWidth="1"/>
    <col min="59" max="59" width="16.85546875" style="1" customWidth="1"/>
    <col min="60" max="60" width="13.140625" style="1" customWidth="1"/>
    <col min="61" max="61" width="21.140625" style="1" customWidth="1"/>
    <col min="62" max="62" width="13.42578125" style="1" customWidth="1"/>
    <col min="63" max="63" width="4.85546875" style="1" customWidth="1"/>
    <col min="64" max="64" width="21.140625" style="1" bestFit="1" customWidth="1"/>
    <col min="65" max="65" width="15.42578125" style="1" customWidth="1"/>
    <col min="66" max="66" width="23.7109375" style="1" customWidth="1"/>
    <col min="67" max="67" width="15.42578125" style="1" customWidth="1"/>
    <col min="68" max="68" width="16" style="1" customWidth="1"/>
    <col min="69" max="69" width="12.7109375" style="1" bestFit="1" customWidth="1"/>
    <col min="70" max="70" width="16" style="1" bestFit="1" customWidth="1"/>
    <col min="71" max="71" width="13.140625" style="1" bestFit="1" customWidth="1"/>
    <col min="72" max="72" width="15.140625" style="1" bestFit="1" customWidth="1"/>
    <col min="73" max="73" width="13.140625" style="1" bestFit="1" customWidth="1"/>
    <col min="74" max="74" width="15.140625" style="1" bestFit="1" customWidth="1"/>
    <col min="75" max="77" width="9.85546875" style="1" bestFit="1" customWidth="1"/>
    <col min="78" max="80" width="9" style="1"/>
    <col min="81" max="81" width="12.28515625" style="1" bestFit="1" customWidth="1"/>
    <col min="82" max="16353" width="9" style="1"/>
    <col min="16354" max="16354" width="5.42578125" style="1" customWidth="1"/>
    <col min="16355" max="16355" width="19.42578125" style="1" bestFit="1" customWidth="1"/>
    <col min="16356" max="16356" width="25.28515625" style="1" bestFit="1" customWidth="1"/>
    <col min="16357" max="16357" width="31.7109375" style="1" bestFit="1" customWidth="1"/>
    <col min="16358" max="16358" width="18.7109375" style="1" customWidth="1"/>
    <col min="16359" max="16359" width="25.28515625" style="1" bestFit="1" customWidth="1"/>
    <col min="16360" max="16384" width="25.28515625" style="1" customWidth="1"/>
  </cols>
  <sheetData>
    <row r="1" spans="2:11 16359:16359">
      <c r="D1" s="1"/>
      <c r="E1" s="1"/>
      <c r="F1" s="17"/>
    </row>
    <row r="2" spans="2:11 16359:16359" ht="21">
      <c r="B2" s="38" t="s">
        <v>7</v>
      </c>
      <c r="C2" s="39"/>
      <c r="D2" s="137">
        <v>1403</v>
      </c>
      <c r="E2" s="22" t="s">
        <v>48</v>
      </c>
      <c r="F2" s="23"/>
      <c r="G2" s="24" t="s">
        <v>50</v>
      </c>
      <c r="I2" s="141">
        <v>400000000</v>
      </c>
      <c r="XEE2" s="1" t="s">
        <v>49</v>
      </c>
    </row>
    <row r="3" spans="2:11 16359:16359" ht="21">
      <c r="B3" s="40"/>
      <c r="C3" s="41"/>
      <c r="D3" s="137">
        <v>2024</v>
      </c>
      <c r="E3" s="1"/>
      <c r="F3" s="17"/>
      <c r="XEE3" s="1" t="s">
        <v>50</v>
      </c>
    </row>
    <row r="4" spans="2:11 16359:16359" ht="22.5">
      <c r="B4" s="170" t="s">
        <v>2</v>
      </c>
      <c r="C4" s="171"/>
      <c r="D4" s="37" t="s">
        <v>47</v>
      </c>
      <c r="E4" s="37"/>
      <c r="F4" s="37"/>
      <c r="G4" s="37"/>
    </row>
    <row r="5" spans="2:11 16359:16359" ht="22.5">
      <c r="B5" s="153">
        <v>0.1</v>
      </c>
      <c r="C5" s="154"/>
      <c r="D5" s="136">
        <v>16000000000</v>
      </c>
      <c r="E5" s="37"/>
      <c r="F5" s="37"/>
      <c r="G5" s="37"/>
    </row>
    <row r="6" spans="2:11 16359:16359" ht="22.5">
      <c r="D6" s="136">
        <v>12000000000</v>
      </c>
      <c r="E6" s="37"/>
      <c r="F6" s="37"/>
      <c r="G6" s="37"/>
    </row>
    <row r="7" spans="2:11 16359:16359" ht="22.5">
      <c r="B7" s="187"/>
      <c r="C7" s="188"/>
      <c r="D7" s="66"/>
      <c r="E7" s="161"/>
      <c r="F7" s="169"/>
      <c r="G7" s="162"/>
    </row>
    <row r="8" spans="2:11 16359:16359" ht="22.5">
      <c r="B8" s="161" t="s">
        <v>3</v>
      </c>
      <c r="C8" s="162"/>
      <c r="D8" s="143">
        <v>2500000000</v>
      </c>
      <c r="E8" s="161"/>
      <c r="F8" s="169"/>
      <c r="G8" s="162"/>
    </row>
    <row r="9" spans="2:11 16359:16359" ht="22.5">
      <c r="B9" s="161"/>
      <c r="C9" s="162"/>
      <c r="D9" s="66"/>
      <c r="E9" s="161"/>
      <c r="F9" s="169"/>
      <c r="G9" s="162"/>
    </row>
    <row r="10" spans="2:11 16359:16359">
      <c r="D10" s="1"/>
      <c r="E10" s="1"/>
      <c r="F10" s="17"/>
    </row>
    <row r="11" spans="2:11 16359:16359" ht="22.5">
      <c r="B11" s="161" t="s">
        <v>38</v>
      </c>
      <c r="C11" s="162"/>
      <c r="D11" s="66" t="s">
        <v>40</v>
      </c>
      <c r="E11" s="161" t="s">
        <v>41</v>
      </c>
      <c r="F11" s="169"/>
      <c r="G11" s="162"/>
    </row>
    <row r="12" spans="2:11 16359:16359" ht="22.5">
      <c r="B12" s="161" t="s">
        <v>8</v>
      </c>
      <c r="C12" s="162"/>
      <c r="D12" s="66"/>
      <c r="E12" s="161"/>
      <c r="F12" s="169"/>
      <c r="G12" s="162"/>
    </row>
    <row r="13" spans="2:11 16359:16359" ht="22.5">
      <c r="B13" s="161" t="s">
        <v>9</v>
      </c>
      <c r="C13" s="162"/>
      <c r="D13" s="66">
        <v>0</v>
      </c>
      <c r="E13" s="161"/>
      <c r="F13" s="169"/>
      <c r="G13" s="162"/>
    </row>
    <row r="14" spans="2:11 16359:16359" ht="22.5">
      <c r="B14" s="161" t="s">
        <v>10</v>
      </c>
      <c r="C14" s="162"/>
      <c r="D14" s="66"/>
      <c r="E14" s="161"/>
      <c r="F14" s="169"/>
      <c r="G14" s="162"/>
    </row>
    <row r="15" spans="2:11 16359:16359" ht="32.25" customHeight="1">
      <c r="B15" s="92" t="s">
        <v>153</v>
      </c>
      <c r="C15" s="93"/>
      <c r="D15" s="91" t="s">
        <v>108</v>
      </c>
      <c r="E15" s="66" t="s">
        <v>161</v>
      </c>
      <c r="F15" s="66" t="s">
        <v>163</v>
      </c>
      <c r="G15" s="66" t="s">
        <v>164</v>
      </c>
      <c r="H15" s="66">
        <v>0</v>
      </c>
      <c r="K15" s="111"/>
    </row>
    <row r="16" spans="2:11 16359:16359" ht="18" customHeight="1">
      <c r="B16" s="165" t="s">
        <v>17</v>
      </c>
      <c r="C16" s="166"/>
      <c r="D16" s="155">
        <f>BV21</f>
        <v>77396145.325053483</v>
      </c>
      <c r="E16" s="156"/>
      <c r="F16" s="156"/>
      <c r="G16" s="157"/>
    </row>
    <row r="17" spans="2:74 16355:16359" ht="18" customHeight="1">
      <c r="B17" s="167"/>
      <c r="C17" s="168"/>
      <c r="D17" s="158"/>
      <c r="E17" s="159"/>
      <c r="F17" s="159"/>
      <c r="G17" s="160"/>
      <c r="I17" s="114"/>
      <c r="L17" s="44"/>
    </row>
    <row r="18" spans="2:74 16355:16359" ht="18.75" thickBot="1">
      <c r="D18" s="1"/>
      <c r="E18" s="1"/>
      <c r="F18" s="17"/>
      <c r="BA18" s="206"/>
    </row>
    <row r="19" spans="2:74 16355:16359" ht="18.75" customHeight="1">
      <c r="B19" s="163" t="s">
        <v>37</v>
      </c>
      <c r="C19" s="183" t="s">
        <v>1</v>
      </c>
      <c r="D19" s="184"/>
      <c r="E19" s="163" t="s">
        <v>18</v>
      </c>
      <c r="F19" s="144" t="s">
        <v>81</v>
      </c>
      <c r="G19" s="181" t="s">
        <v>6</v>
      </c>
      <c r="H19" s="144" t="s">
        <v>79</v>
      </c>
      <c r="I19" s="144" t="s">
        <v>80</v>
      </c>
      <c r="J19" s="144" t="s">
        <v>82</v>
      </c>
      <c r="K19" s="144" t="s">
        <v>83</v>
      </c>
      <c r="L19" s="163" t="s">
        <v>43</v>
      </c>
      <c r="M19" s="50"/>
      <c r="N19" s="50"/>
      <c r="O19" s="50"/>
      <c r="P19" s="50"/>
      <c r="Q19" s="51"/>
      <c r="R19" s="146" t="s">
        <v>13</v>
      </c>
      <c r="S19" s="177"/>
      <c r="T19" s="179" t="s">
        <v>250</v>
      </c>
      <c r="U19" s="172" t="s">
        <v>18</v>
      </c>
      <c r="V19" s="172" t="s">
        <v>18</v>
      </c>
      <c r="W19" s="172" t="s">
        <v>18</v>
      </c>
      <c r="X19" s="189" t="s">
        <v>39</v>
      </c>
      <c r="Y19" s="174" t="s">
        <v>5</v>
      </c>
      <c r="Z19" s="176"/>
      <c r="AA19" s="163" t="s">
        <v>12</v>
      </c>
      <c r="AB19" s="174" t="s">
        <v>171</v>
      </c>
      <c r="AC19" s="175"/>
      <c r="AD19" s="175"/>
      <c r="AE19" s="176"/>
      <c r="AF19" s="174" t="s">
        <v>153</v>
      </c>
      <c r="AG19" s="175"/>
      <c r="AH19" s="176"/>
      <c r="AI19" s="99"/>
      <c r="AJ19" s="174"/>
      <c r="AK19" s="175"/>
      <c r="AL19" s="176"/>
      <c r="AM19" s="174"/>
      <c r="AN19" s="175"/>
      <c r="AO19" s="176"/>
      <c r="AP19" s="52"/>
      <c r="AQ19" s="146" t="s">
        <v>206</v>
      </c>
      <c r="AR19" s="144" t="s">
        <v>93</v>
      </c>
      <c r="AS19" s="144" t="s">
        <v>95</v>
      </c>
      <c r="AT19" s="144" t="s">
        <v>96</v>
      </c>
      <c r="AU19" s="144" t="s">
        <v>97</v>
      </c>
      <c r="AV19" s="149" t="s">
        <v>94</v>
      </c>
      <c r="AW19" s="149" t="s">
        <v>98</v>
      </c>
      <c r="AX19" s="149" t="s">
        <v>99</v>
      </c>
      <c r="AY19" s="53"/>
      <c r="AZ19" s="54"/>
      <c r="BA19" s="55" t="s">
        <v>174</v>
      </c>
      <c r="BB19" s="55" t="s">
        <v>213</v>
      </c>
      <c r="BC19" s="55"/>
      <c r="BD19" s="55" t="s">
        <v>208</v>
      </c>
      <c r="BE19" s="55"/>
      <c r="BF19" s="55" t="s">
        <v>215</v>
      </c>
      <c r="BG19" s="151" t="s">
        <v>219</v>
      </c>
      <c r="BH19" s="54"/>
      <c r="BI19" s="55" t="s">
        <v>34</v>
      </c>
      <c r="BJ19" s="55" t="s">
        <v>35</v>
      </c>
      <c r="BK19" s="55" t="s">
        <v>36</v>
      </c>
      <c r="BL19" s="55"/>
      <c r="BM19" s="55"/>
      <c r="BN19" s="55"/>
      <c r="BO19" s="148" t="s">
        <v>158</v>
      </c>
      <c r="BP19" s="148" t="s">
        <v>157</v>
      </c>
      <c r="BQ19" s="94" t="s">
        <v>45</v>
      </c>
      <c r="BR19" s="56" t="s">
        <v>44</v>
      </c>
      <c r="BS19" s="56" t="s">
        <v>2</v>
      </c>
      <c r="BT19" s="52"/>
      <c r="BU19" s="52" t="s">
        <v>42</v>
      </c>
      <c r="BV19" s="56" t="s">
        <v>46</v>
      </c>
    </row>
    <row r="20" spans="2:74 16355:16359" ht="50.25" customHeight="1">
      <c r="B20" s="164"/>
      <c r="C20" s="185"/>
      <c r="D20" s="186"/>
      <c r="E20" s="164"/>
      <c r="F20" s="145"/>
      <c r="G20" s="182"/>
      <c r="H20" s="145"/>
      <c r="I20" s="145"/>
      <c r="J20" s="145"/>
      <c r="K20" s="145"/>
      <c r="L20" s="164"/>
      <c r="M20" s="57" t="s">
        <v>92</v>
      </c>
      <c r="N20" s="57" t="s">
        <v>4</v>
      </c>
      <c r="O20" s="57" t="s">
        <v>3</v>
      </c>
      <c r="P20" s="57" t="s">
        <v>251</v>
      </c>
      <c r="Q20" s="58"/>
      <c r="R20" s="147"/>
      <c r="S20" s="178"/>
      <c r="T20" s="180"/>
      <c r="U20" s="173"/>
      <c r="V20" s="173"/>
      <c r="W20" s="173"/>
      <c r="X20" s="190"/>
      <c r="Y20" s="59" t="s">
        <v>4</v>
      </c>
      <c r="Z20" s="59" t="s">
        <v>3</v>
      </c>
      <c r="AA20" s="164"/>
      <c r="AB20" s="59" t="s">
        <v>210</v>
      </c>
      <c r="AC20" s="112" t="s">
        <v>212</v>
      </c>
      <c r="AD20" s="112" t="s">
        <v>211</v>
      </c>
      <c r="AE20" s="112" t="s">
        <v>210</v>
      </c>
      <c r="AF20" s="59" t="s">
        <v>154</v>
      </c>
      <c r="AG20" s="59" t="s">
        <v>155</v>
      </c>
      <c r="AH20" s="59" t="s">
        <v>217</v>
      </c>
      <c r="AI20" s="59" t="s">
        <v>202</v>
      </c>
      <c r="AJ20" s="59" t="s">
        <v>156</v>
      </c>
      <c r="AK20" s="59" t="s">
        <v>218</v>
      </c>
      <c r="AL20" s="59" t="s">
        <v>165</v>
      </c>
      <c r="AM20" s="59" t="s">
        <v>166</v>
      </c>
      <c r="AN20" s="60" t="s">
        <v>167</v>
      </c>
      <c r="AO20" s="60" t="s">
        <v>168</v>
      </c>
      <c r="AP20" s="60" t="s">
        <v>169</v>
      </c>
      <c r="AQ20" s="147"/>
      <c r="AR20" s="145"/>
      <c r="AS20" s="145"/>
      <c r="AT20" s="145"/>
      <c r="AU20" s="145"/>
      <c r="AV20" s="150"/>
      <c r="AW20" s="150"/>
      <c r="AX20" s="150"/>
      <c r="AY20" s="61" t="s">
        <v>172</v>
      </c>
      <c r="AZ20" s="62" t="s">
        <v>173</v>
      </c>
      <c r="BA20" s="63"/>
      <c r="BB20" s="103"/>
      <c r="BC20" s="61" t="s">
        <v>207</v>
      </c>
      <c r="BD20" s="61"/>
      <c r="BE20" s="61" t="s">
        <v>214</v>
      </c>
      <c r="BF20" s="61"/>
      <c r="BG20" s="152"/>
      <c r="BH20" s="62" t="s">
        <v>221</v>
      </c>
      <c r="BI20" s="63"/>
      <c r="BJ20" s="61"/>
      <c r="BK20" s="61"/>
      <c r="BL20" s="61" t="s">
        <v>170</v>
      </c>
      <c r="BM20" s="61" t="s">
        <v>160</v>
      </c>
      <c r="BN20" s="61" t="s">
        <v>159</v>
      </c>
      <c r="BO20" s="148"/>
      <c r="BP20" s="148"/>
      <c r="BQ20" s="95" t="s">
        <v>209</v>
      </c>
      <c r="BR20" s="64"/>
      <c r="BS20" s="64"/>
      <c r="BT20" s="64"/>
      <c r="BU20" s="65"/>
      <c r="BV20" s="65" t="s">
        <v>216</v>
      </c>
    </row>
    <row r="21" spans="2:74 16355:16359" ht="62.25" customHeight="1">
      <c r="B21" s="67">
        <v>1</v>
      </c>
      <c r="C21" s="67" t="s">
        <v>0</v>
      </c>
      <c r="D21" s="68" t="s">
        <v>102</v>
      </c>
      <c r="E21" s="142">
        <f>IF(D8&lt;=I2,0,IF(D8&lt;=2*I2,(D8-I2)*U21/1000,IF(D8&lt;=6*I2,I2*U21/1000+(D8-2*I2)*V21/1000,I2*U21/1000+4*I2*V21/1000+(D8-6*I2)*W21/1000)))</f>
        <v>16898626.017099999</v>
      </c>
      <c r="F21" s="139" t="s">
        <v>54</v>
      </c>
      <c r="G21" s="69">
        <v>1394</v>
      </c>
      <c r="H21" s="69" t="s">
        <v>84</v>
      </c>
      <c r="I21" s="69" t="s">
        <v>84</v>
      </c>
      <c r="J21" s="140" t="s">
        <v>54</v>
      </c>
      <c r="K21" s="69" t="s">
        <v>84</v>
      </c>
      <c r="L21" s="67">
        <v>0</v>
      </c>
      <c r="M21" s="70">
        <f>VLOOKUP(F21,'نرخ پایه'!B2:C20,2,FALSE)+5</f>
        <v>15</v>
      </c>
      <c r="N21" s="70">
        <f>VLOOKUP(H21,'نرخ پایه'!B21:D27,2,FALSE)</f>
        <v>0</v>
      </c>
      <c r="O21" s="70">
        <f>VLOOKUP(I21,'نرخ پایه'!B28:C34,2,FALSE)</f>
        <v>0</v>
      </c>
      <c r="P21" s="70">
        <f>VLOOKUP(J21,'نرخ پایه'!B5:C20,2,FALSE)+5</f>
        <v>15</v>
      </c>
      <c r="Q21" s="70">
        <f>VLOOKUP(K21,'نرخ پایه'!B35:C41,2,FALSE)</f>
        <v>0</v>
      </c>
      <c r="R21" s="70">
        <f>IF(AND(G21&lt;1420,G21&gt;1300),IF(G21&lt;=($D$2-15),(G21-($D$2-15))*-1,0),IF(AND(G21&lt;2030,G21&gt;1950),IF(G21&lt;=($D$3-15),(G21-($D$3-15))*-1,0)))</f>
        <v>0</v>
      </c>
      <c r="S21" s="71">
        <f>IF(R21&gt;10,10,R21)*2</f>
        <v>0</v>
      </c>
      <c r="T21" s="130">
        <f>VLOOKUP(D21,'نرخ پایه'!H:I,2,0)</f>
        <v>3.5047560975000001</v>
      </c>
      <c r="U21" s="86">
        <f>IF(OR(D15=Sheet1!B18,ثالث!D15=Sheet1!B19),Sheet1!H18,VLOOKUP(D21,'نرخ پایه'!H4:L75,5,0))</f>
        <v>13.79479675</v>
      </c>
      <c r="V21" s="86">
        <f>IF(OR(D15=Sheet1!B18,ثالث!D15=Sheet1!B19),Sheet1!H18,VLOOKUP($D21,'نرخ پایه'!H4:M75,6,0))</f>
        <v>6.8973983739999998</v>
      </c>
      <c r="W21" s="86">
        <f>IF(OR(D15=Sheet1!B18,ثالث!D15=Sheet1!B19),Sheet1!H18,VLOOKUP($D21,daita4,7,0))</f>
        <v>3.4486991869999999</v>
      </c>
      <c r="X21" s="72">
        <f>T21</f>
        <v>3.5047560975000001</v>
      </c>
      <c r="Y21" s="67">
        <f>D5</f>
        <v>16000000000</v>
      </c>
      <c r="Z21" s="67">
        <f>Y21*2.5%</f>
        <v>400000000</v>
      </c>
      <c r="AA21" s="106">
        <f>IF(OR(D15=Sheet1!B18,ثالث!D15=Sheet1!B19),(Z21+Y21)/1000*Sheet1!G18,(Z21+Y21)/1000*T21)</f>
        <v>57477999.998999998</v>
      </c>
      <c r="AB21" s="67">
        <f>VLOOKUP(C21,'نرخ پایه'!B44:D49,2,FALSE)</f>
        <v>8400000.0000000019</v>
      </c>
      <c r="AC21" s="67">
        <f>AA21*S21/100</f>
        <v>0</v>
      </c>
      <c r="AD21" s="67">
        <f>AB21*S21/100</f>
        <v>0</v>
      </c>
      <c r="AE21" s="67">
        <f>AB21</f>
        <v>8400000.0000000019</v>
      </c>
      <c r="AF21" s="67">
        <f>VLOOKUP(D15,Sheet1!B:D,3,0)</f>
        <v>0</v>
      </c>
      <c r="AG21" s="67">
        <f>VLOOKUP(D15,Sheet1!B:E,4,0)</f>
        <v>0</v>
      </c>
      <c r="AH21" s="67">
        <f>AF21*AA21/100</f>
        <v>0</v>
      </c>
      <c r="AI21" s="67">
        <f>BB21*AE21/100</f>
        <v>0</v>
      </c>
      <c r="AJ21" s="67">
        <f>IF(D8&gt;110000000,AG21*E21/100,0)</f>
        <v>0</v>
      </c>
      <c r="AK21" s="97">
        <f>AH21+AO21+AI21</f>
        <v>0</v>
      </c>
      <c r="AL21" s="97">
        <f>IF($F15='نرخ پایه'!$O4,$H15*AA21*0.15,0)</f>
        <v>0</v>
      </c>
      <c r="AM21" s="97">
        <f>IF($F15='نرخ پایه'!$O4,$H15*E21*0.15,0)</f>
        <v>0</v>
      </c>
      <c r="AN21" s="97">
        <f>IF($F15='نرخ پایه'!$O4,$H15*AE21*0.15,0)</f>
        <v>0</v>
      </c>
      <c r="AO21" s="67">
        <f>AN21+AM21+AL21</f>
        <v>0</v>
      </c>
      <c r="AP21" s="98">
        <f>IF($F15='نرخ پایه'!$O4,$H15*BR21*0.15,0)</f>
        <v>0</v>
      </c>
      <c r="AQ21" s="67">
        <f>E21+AA21+AE21</f>
        <v>82776626.016099989</v>
      </c>
      <c r="AR21" s="67">
        <f>(AA21+AC21+BE21)*M21%</f>
        <v>8621699.9998499993</v>
      </c>
      <c r="AS21" s="67">
        <f>(AA21+E21+AY21+AC21+AK21-AN21+AJ21-AI21)*N21%</f>
        <v>0</v>
      </c>
      <c r="AT21" s="67">
        <f>(AA21+E21+AL21+AC21+AY21+AM21+AH21+AJ21)*O21%</f>
        <v>0</v>
      </c>
      <c r="AU21" s="67">
        <f>(AE21+AD21+AI21+AN21)*Q21%</f>
        <v>0</v>
      </c>
      <c r="AV21" s="67">
        <f>(AE21+AD21+AI21+AN21)*P21%</f>
        <v>1260000.0000000002</v>
      </c>
      <c r="AW21" s="67">
        <f>AR21-AS21-AT21</f>
        <v>8621699.9998499993</v>
      </c>
      <c r="AX21" s="67">
        <f>AV21-AU21</f>
        <v>1260000.0000000002</v>
      </c>
      <c r="AY21" s="67">
        <f>S21*E21/100</f>
        <v>0</v>
      </c>
      <c r="AZ21" s="67">
        <f>AY21+AD21+AC21</f>
        <v>0</v>
      </c>
      <c r="BA21" s="67">
        <f>((E21+BF21+AY21)*M21/100)+E21*(D13/100)</f>
        <v>2534793.9025649996</v>
      </c>
      <c r="BB21" s="67">
        <f>VLOOKUP(ثالث!D15,Sheet1!B:F,5,0)</f>
        <v>0</v>
      </c>
      <c r="BC21" s="67">
        <f>AX21+AW21+BA21</f>
        <v>12416493.902415</v>
      </c>
      <c r="BD21" s="67">
        <f>AQ21+AZ21+BG21-BC21</f>
        <v>70360132.113684982</v>
      </c>
      <c r="BE21" s="67">
        <f>AL21+AH21</f>
        <v>0</v>
      </c>
      <c r="BF21" s="67">
        <f>AJ21+AM21</f>
        <v>0</v>
      </c>
      <c r="BG21" s="67">
        <f>AH21+AO21+AI21+AJ21</f>
        <v>0</v>
      </c>
      <c r="BH21" s="67">
        <f>(AA21+BE21+AC21)*N21%</f>
        <v>0</v>
      </c>
      <c r="BI21" s="67"/>
      <c r="BJ21" s="67"/>
      <c r="BK21" s="67"/>
      <c r="BL21" s="67">
        <f>IF(D8&lt;=110000000,BR21*AF21/100,0)</f>
        <v>0</v>
      </c>
      <c r="BM21" s="67">
        <f>BR21+BN21+BU21+AP21+BL21</f>
        <v>0</v>
      </c>
      <c r="BN21" s="67">
        <f>BO21+BP21</f>
        <v>0</v>
      </c>
      <c r="BO21" s="67">
        <f>IF(D8&gt;110000000,BR21*AF21/100,0)</f>
        <v>0</v>
      </c>
      <c r="BP21" s="67">
        <v>0</v>
      </c>
      <c r="BQ21" s="73">
        <f>BD21</f>
        <v>70360132.113684982</v>
      </c>
      <c r="BR21" s="73">
        <f>IF(F21="فاقد بیمه نامه",AA21,0)</f>
        <v>0</v>
      </c>
      <c r="BS21" s="73">
        <f>(BQ21)*B5</f>
        <v>7036013.2113684984</v>
      </c>
      <c r="BT21" s="67">
        <f>IF(BR21&gt;0,0,(AA21+AL21+AH21-AR21)/365*(L21))</f>
        <v>0</v>
      </c>
      <c r="BU21" s="67">
        <f>IF(C21="موتور سیکلت",BT21*25%,BT21)</f>
        <v>0</v>
      </c>
      <c r="BV21" s="73">
        <f>BS21+BQ21+BM21</f>
        <v>77396145.325053483</v>
      </c>
    </row>
    <row r="22" spans="2:74 16355:16359" ht="18.75">
      <c r="F22" s="17"/>
      <c r="G22" s="75"/>
      <c r="H22" s="75"/>
      <c r="I22" s="75"/>
      <c r="J22" s="75"/>
      <c r="K22" s="75"/>
      <c r="M22" s="76"/>
      <c r="N22" s="76"/>
      <c r="O22" s="76"/>
      <c r="P22" s="76"/>
      <c r="Q22" s="76"/>
      <c r="R22" s="76"/>
      <c r="S22" s="77"/>
      <c r="T22" s="78"/>
      <c r="U22" s="78"/>
      <c r="V22" s="78"/>
      <c r="W22" s="78"/>
      <c r="X22" s="80"/>
      <c r="AA22" s="108"/>
      <c r="BQ22" s="81"/>
      <c r="BR22" s="81"/>
      <c r="BS22" s="81"/>
      <c r="BV22" s="81"/>
    </row>
    <row r="23" spans="2:74 16355:16359" ht="18.75">
      <c r="E23" s="74"/>
      <c r="F23" s="17"/>
      <c r="G23" s="75"/>
      <c r="H23" s="75"/>
      <c r="I23" s="75"/>
      <c r="J23" s="75"/>
      <c r="K23" s="75"/>
      <c r="M23" s="76"/>
      <c r="N23" s="76"/>
      <c r="O23" s="76"/>
      <c r="P23" s="76"/>
      <c r="Q23" s="76"/>
      <c r="R23" s="76"/>
      <c r="S23" s="77"/>
      <c r="T23" s="78"/>
      <c r="U23" s="78"/>
      <c r="V23" s="78"/>
      <c r="W23" s="79"/>
      <c r="X23" s="80"/>
      <c r="Y23" s="80"/>
      <c r="Z23" s="80"/>
      <c r="AA23" s="80"/>
      <c r="AO23" s="1">
        <f>(W23+A23+AK23+AH23+AU23)*J23%</f>
        <v>0</v>
      </c>
      <c r="BP23" s="81"/>
      <c r="BQ23" s="81"/>
      <c r="BR23" s="81"/>
      <c r="BS23" s="81"/>
      <c r="BV23" s="81"/>
    </row>
    <row r="24" spans="2:74 16355:16359" ht="18.75">
      <c r="E24" s="74"/>
      <c r="F24" s="17"/>
      <c r="G24" s="75"/>
      <c r="H24" s="75"/>
      <c r="I24" s="75"/>
      <c r="J24" s="75"/>
      <c r="K24" s="75"/>
      <c r="M24" s="76"/>
      <c r="N24" s="76"/>
      <c r="O24" s="76"/>
      <c r="P24" s="76"/>
      <c r="Q24" s="76"/>
      <c r="R24" s="76"/>
      <c r="S24" s="77"/>
      <c r="T24" s="78"/>
      <c r="U24" s="78"/>
      <c r="V24" s="78"/>
      <c r="W24" s="79"/>
      <c r="X24" s="80"/>
      <c r="Y24" s="118"/>
      <c r="BP24" s="81"/>
      <c r="BQ24" s="81"/>
      <c r="BR24" s="81"/>
      <c r="BS24" s="81"/>
      <c r="BV24" s="81"/>
    </row>
    <row r="25" spans="2:74 16355:16359" ht="18.75">
      <c r="E25" s="74"/>
      <c r="F25" s="17"/>
      <c r="G25" s="75"/>
      <c r="H25" s="75"/>
      <c r="I25" s="75"/>
      <c r="J25" s="75"/>
      <c r="K25" s="75"/>
      <c r="M25" s="76"/>
      <c r="N25" s="76"/>
      <c r="O25" s="76"/>
      <c r="P25" s="76"/>
      <c r="Q25" s="76"/>
      <c r="R25" s="76"/>
      <c r="S25" s="77"/>
      <c r="T25" s="78"/>
      <c r="U25" s="78"/>
      <c r="V25" s="78"/>
      <c r="W25" s="79"/>
      <c r="X25" s="80"/>
      <c r="BP25" s="81"/>
      <c r="BQ25" s="81"/>
      <c r="BR25" s="81"/>
      <c r="BV25" s="81"/>
      <c r="XEA25" s="35" t="s">
        <v>51</v>
      </c>
      <c r="XEB25" s="16"/>
      <c r="XEC25" s="15" t="s">
        <v>0</v>
      </c>
      <c r="XED25" s="16"/>
      <c r="XEE25" s="84" t="s">
        <v>100</v>
      </c>
    </row>
    <row r="26" spans="2:74 16355:16359" ht="18.75">
      <c r="D26" s="1"/>
      <c r="E26" s="1"/>
      <c r="F26" s="1"/>
      <c r="H26" s="1"/>
      <c r="I26" s="1"/>
      <c r="J26" s="1"/>
      <c r="K26" s="1"/>
      <c r="X26" s="1">
        <f>(Y21+Z21*(0.1))</f>
        <v>16040000000</v>
      </c>
      <c r="BV26" s="81"/>
      <c r="XEA26" s="35" t="s">
        <v>52</v>
      </c>
      <c r="XEB26" s="16"/>
      <c r="XEC26" s="15" t="s">
        <v>19</v>
      </c>
      <c r="XED26" s="16"/>
      <c r="XEE26" s="84" t="s">
        <v>101</v>
      </c>
    </row>
    <row r="27" spans="2:74 16355:16359" ht="18.75">
      <c r="D27" s="1"/>
      <c r="E27" s="1"/>
      <c r="F27" s="1"/>
      <c r="H27" s="1"/>
      <c r="I27" s="1"/>
      <c r="J27" s="1"/>
      <c r="K27" s="1"/>
      <c r="X27" s="120">
        <f>Z25/X26</f>
        <v>0</v>
      </c>
      <c r="Y27" s="119"/>
      <c r="XEA27" s="35" t="s">
        <v>53</v>
      </c>
      <c r="XEB27" s="16"/>
      <c r="XEC27" s="15" t="s">
        <v>33</v>
      </c>
      <c r="XED27" s="16"/>
      <c r="XEE27" s="84" t="s">
        <v>102</v>
      </c>
    </row>
    <row r="28" spans="2:74 16355:16359" ht="18.75">
      <c r="D28" s="1"/>
      <c r="E28" s="1"/>
      <c r="F28" s="1"/>
      <c r="H28" s="1"/>
      <c r="I28" s="1"/>
      <c r="J28" s="1"/>
      <c r="K28" s="1"/>
      <c r="XEA28" s="35" t="s">
        <v>54</v>
      </c>
      <c r="XEB28" s="16"/>
      <c r="XEC28" s="15" t="s">
        <v>32</v>
      </c>
      <c r="XED28" s="16"/>
      <c r="XEE28" s="84" t="s">
        <v>103</v>
      </c>
    </row>
    <row r="29" spans="2:74 16355:16359">
      <c r="D29" s="1"/>
      <c r="E29" s="1"/>
      <c r="F29" s="1"/>
      <c r="H29" s="1"/>
      <c r="I29" s="1"/>
      <c r="J29" s="1"/>
      <c r="K29" s="1"/>
      <c r="XEA29" s="35" t="s">
        <v>55</v>
      </c>
      <c r="XEB29" s="16"/>
      <c r="XEC29" s="109" t="s">
        <v>129</v>
      </c>
      <c r="XED29" s="16"/>
      <c r="XEE29" s="30" t="s">
        <v>20</v>
      </c>
    </row>
    <row r="30" spans="2:74 16355:16359">
      <c r="D30" s="1"/>
      <c r="E30" s="1"/>
      <c r="F30" s="1"/>
      <c r="H30" s="1"/>
      <c r="I30" s="1"/>
      <c r="J30" s="1"/>
      <c r="K30" s="1"/>
      <c r="XEA30" s="35" t="s">
        <v>56</v>
      </c>
      <c r="XEB30" s="11"/>
      <c r="XEC30" s="15" t="s">
        <v>161</v>
      </c>
      <c r="XED30" s="11"/>
      <c r="XEE30" s="30" t="s">
        <v>21</v>
      </c>
    </row>
    <row r="31" spans="2:74 16355:16359">
      <c r="D31" s="1"/>
      <c r="E31" s="1"/>
      <c r="F31" s="1"/>
      <c r="H31" s="1"/>
      <c r="I31" s="1"/>
      <c r="J31" s="1"/>
      <c r="K31" s="1"/>
      <c r="XEA31" s="35" t="s">
        <v>57</v>
      </c>
      <c r="XEB31" s="11"/>
      <c r="XED31" s="11"/>
      <c r="XEE31" s="30" t="s">
        <v>22</v>
      </c>
    </row>
    <row r="32" spans="2:74 16355:16359">
      <c r="D32" s="1"/>
      <c r="E32" s="1"/>
      <c r="F32" s="1"/>
      <c r="H32" s="1"/>
      <c r="I32" s="1"/>
      <c r="J32" s="1"/>
      <c r="K32" s="1"/>
      <c r="XEA32" s="35" t="s">
        <v>58</v>
      </c>
      <c r="XEB32" s="11"/>
      <c r="XED32" s="11"/>
      <c r="XEE32" s="30" t="s">
        <v>23</v>
      </c>
    </row>
    <row r="33" spans="16355:16359" s="1" customFormat="1">
      <c r="XEA33" s="35" t="s">
        <v>59</v>
      </c>
      <c r="XEB33" s="11"/>
      <c r="XED33" s="11"/>
      <c r="XEE33" s="30" t="s">
        <v>24</v>
      </c>
    </row>
    <row r="34" spans="16355:16359" s="1" customFormat="1">
      <c r="XEA34" s="35" t="s">
        <v>60</v>
      </c>
      <c r="XEB34" s="11"/>
      <c r="XED34" s="11"/>
      <c r="XEE34" s="30" t="s">
        <v>25</v>
      </c>
    </row>
    <row r="35" spans="16355:16359" s="1" customFormat="1">
      <c r="XEA35" s="35" t="s">
        <v>61</v>
      </c>
      <c r="XEB35" s="11"/>
      <c r="XED35" s="11"/>
      <c r="XEE35" s="31">
        <v>7</v>
      </c>
    </row>
    <row r="36" spans="16355:16359" s="1" customFormat="1">
      <c r="XEA36" s="35" t="s">
        <v>62</v>
      </c>
      <c r="XEB36" s="11"/>
      <c r="XED36" s="11"/>
      <c r="XEE36" s="32">
        <v>8</v>
      </c>
    </row>
    <row r="37" spans="16355:16359" s="1" customFormat="1">
      <c r="XEA37" s="35" t="s">
        <v>63</v>
      </c>
      <c r="XEB37" s="11"/>
      <c r="XED37" s="11"/>
      <c r="XEE37" s="31">
        <v>9</v>
      </c>
    </row>
    <row r="38" spans="16355:16359" s="1" customFormat="1">
      <c r="XEA38" s="35" t="s">
        <v>64</v>
      </c>
      <c r="XEB38" s="11"/>
      <c r="XED38" s="11"/>
      <c r="XEE38" s="31">
        <v>10</v>
      </c>
    </row>
    <row r="39" spans="16355:16359" s="1" customFormat="1">
      <c r="XEA39" s="35" t="s">
        <v>65</v>
      </c>
      <c r="XEB39" s="4"/>
      <c r="XED39" s="4"/>
      <c r="XEE39" s="31">
        <v>11</v>
      </c>
    </row>
    <row r="40" spans="16355:16359" s="1" customFormat="1">
      <c r="XEA40" s="35" t="s">
        <v>66</v>
      </c>
      <c r="XEB40" s="4"/>
      <c r="XED40" s="4"/>
      <c r="XEE40" s="32">
        <v>12</v>
      </c>
    </row>
    <row r="41" spans="16355:16359" s="1" customFormat="1">
      <c r="XEA41" s="35" t="s">
        <v>67</v>
      </c>
      <c r="XEE41" s="32">
        <v>13</v>
      </c>
    </row>
    <row r="42" spans="16355:16359" s="1" customFormat="1">
      <c r="XEA42" s="35" t="s">
        <v>68</v>
      </c>
      <c r="XEE42" s="32">
        <v>14</v>
      </c>
    </row>
    <row r="43" spans="16355:16359" s="1" customFormat="1">
      <c r="XEA43" s="35" t="s">
        <v>69</v>
      </c>
      <c r="XEE43" s="32">
        <v>15</v>
      </c>
    </row>
    <row r="44" spans="16355:16359" s="1" customFormat="1">
      <c r="XEA44" s="35" t="s">
        <v>70</v>
      </c>
      <c r="XEE44" s="32">
        <v>16</v>
      </c>
    </row>
    <row r="45" spans="16355:16359" s="1" customFormat="1">
      <c r="XEA45" s="35" t="s">
        <v>71</v>
      </c>
      <c r="XEE45" s="32">
        <v>17</v>
      </c>
    </row>
    <row r="46" spans="16355:16359" s="1" customFormat="1">
      <c r="XEA46" s="35" t="s">
        <v>72</v>
      </c>
      <c r="XEE46" s="32">
        <v>18</v>
      </c>
    </row>
    <row r="47" spans="16355:16359" s="1" customFormat="1">
      <c r="XEA47" s="35" t="s">
        <v>73</v>
      </c>
      <c r="XEE47" s="32">
        <v>19</v>
      </c>
    </row>
    <row r="48" spans="16355:16359" s="1" customFormat="1">
      <c r="XEA48" s="35" t="s">
        <v>74</v>
      </c>
      <c r="XEE48" s="32">
        <v>20</v>
      </c>
    </row>
    <row r="49" spans="16355:16359" s="1" customFormat="1">
      <c r="XEA49" s="35" t="s">
        <v>75</v>
      </c>
      <c r="XEE49" s="32">
        <v>21</v>
      </c>
    </row>
    <row r="50" spans="16355:16359" s="1" customFormat="1">
      <c r="XEA50" s="35" t="s">
        <v>76</v>
      </c>
      <c r="XEE50" s="32">
        <v>22</v>
      </c>
    </row>
    <row r="51" spans="16355:16359" s="1" customFormat="1">
      <c r="XEA51" s="35" t="s">
        <v>77</v>
      </c>
      <c r="XEE51" s="32">
        <v>23</v>
      </c>
    </row>
    <row r="52" spans="16355:16359" s="1" customFormat="1">
      <c r="XEE52" s="32">
        <v>24</v>
      </c>
    </row>
    <row r="53" spans="16355:16359" s="1" customFormat="1">
      <c r="XEE53" s="32">
        <v>25</v>
      </c>
    </row>
    <row r="54" spans="16355:16359" s="1" customFormat="1">
      <c r="XEE54" s="32">
        <v>26</v>
      </c>
    </row>
    <row r="55" spans="16355:16359" s="1" customFormat="1">
      <c r="XEE55" s="32">
        <v>27</v>
      </c>
    </row>
    <row r="56" spans="16355:16359" s="1" customFormat="1">
      <c r="XEE56" s="32">
        <v>28</v>
      </c>
    </row>
    <row r="57" spans="16355:16359" s="1" customFormat="1">
      <c r="XEE57" s="32">
        <v>29</v>
      </c>
    </row>
    <row r="58" spans="16355:16359" s="1" customFormat="1">
      <c r="XEE58" s="32">
        <v>30</v>
      </c>
    </row>
    <row r="59" spans="16355:16359" s="1" customFormat="1">
      <c r="XEE59" s="32">
        <v>31</v>
      </c>
    </row>
    <row r="60" spans="16355:16359" s="1" customFormat="1">
      <c r="XEE60" s="32">
        <v>32</v>
      </c>
    </row>
    <row r="61" spans="16355:16359" s="1" customFormat="1">
      <c r="XEE61" s="32">
        <v>33</v>
      </c>
    </row>
    <row r="62" spans="16355:16359" s="1" customFormat="1">
      <c r="XEE62" s="32">
        <v>34</v>
      </c>
    </row>
    <row r="63" spans="16355:16359" s="1" customFormat="1">
      <c r="XEE63" s="32">
        <v>35</v>
      </c>
    </row>
    <row r="64" spans="16355:16359" s="1" customFormat="1">
      <c r="XEE64" s="32">
        <v>36</v>
      </c>
    </row>
    <row r="65" spans="16359:16359" s="1" customFormat="1">
      <c r="XEE65" s="32">
        <v>37</v>
      </c>
    </row>
    <row r="66" spans="16359:16359" s="1" customFormat="1">
      <c r="XEE66" s="32">
        <v>38</v>
      </c>
    </row>
    <row r="67" spans="16359:16359" s="1" customFormat="1">
      <c r="XEE67" s="32">
        <v>39</v>
      </c>
    </row>
    <row r="68" spans="16359:16359" s="1" customFormat="1">
      <c r="XEE68" s="32">
        <v>40</v>
      </c>
    </row>
    <row r="69" spans="16359:16359" s="1" customFormat="1">
      <c r="XEE69" s="32">
        <v>41</v>
      </c>
    </row>
    <row r="70" spans="16359:16359" s="1" customFormat="1">
      <c r="XEE70" s="32">
        <v>42</v>
      </c>
    </row>
    <row r="71" spans="16359:16359" s="1" customFormat="1">
      <c r="XEE71" s="32">
        <v>43</v>
      </c>
    </row>
    <row r="72" spans="16359:16359" s="1" customFormat="1">
      <c r="XEE72" s="32">
        <v>44</v>
      </c>
    </row>
    <row r="73" spans="16359:16359" s="1" customFormat="1">
      <c r="XEE73" s="32">
        <v>45</v>
      </c>
    </row>
    <row r="74" spans="16359:16359" s="1" customFormat="1">
      <c r="XEE74" s="32">
        <v>46</v>
      </c>
    </row>
    <row r="75" spans="16359:16359" s="1" customFormat="1">
      <c r="XEE75" s="32">
        <v>47</v>
      </c>
    </row>
    <row r="76" spans="16359:16359" s="1" customFormat="1">
      <c r="XEE76" s="32">
        <v>48</v>
      </c>
    </row>
    <row r="77" spans="16359:16359" s="1" customFormat="1">
      <c r="XEE77" s="32">
        <v>49</v>
      </c>
    </row>
    <row r="78" spans="16359:16359" s="1" customFormat="1">
      <c r="XEE78" s="32">
        <v>50</v>
      </c>
    </row>
    <row r="79" spans="16359:16359" s="1" customFormat="1">
      <c r="XEE79" s="32">
        <v>51</v>
      </c>
    </row>
    <row r="80" spans="16359:16359" s="1" customFormat="1">
      <c r="XEE80" s="32">
        <v>52</v>
      </c>
    </row>
    <row r="81" spans="16359:16359" s="1" customFormat="1">
      <c r="XEE81" s="32">
        <v>53</v>
      </c>
    </row>
    <row r="82" spans="16359:16359" s="1" customFormat="1">
      <c r="XEE82" s="32">
        <v>54</v>
      </c>
    </row>
    <row r="83" spans="16359:16359" s="1" customFormat="1">
      <c r="XEE83" s="32">
        <v>55</v>
      </c>
    </row>
    <row r="84" spans="16359:16359" s="1" customFormat="1">
      <c r="XEE84" s="32">
        <v>56</v>
      </c>
    </row>
    <row r="85" spans="16359:16359" s="1" customFormat="1">
      <c r="XEE85" s="32">
        <v>57</v>
      </c>
    </row>
    <row r="86" spans="16359:16359" s="1" customFormat="1">
      <c r="XEE86" s="32">
        <v>58</v>
      </c>
    </row>
    <row r="87" spans="16359:16359" s="1" customFormat="1">
      <c r="XEE87" s="32">
        <v>59</v>
      </c>
    </row>
    <row r="88" spans="16359:16359" s="1" customFormat="1">
      <c r="XEE88" s="32">
        <v>60</v>
      </c>
    </row>
    <row r="89" spans="16359:16359" s="1" customFormat="1">
      <c r="XEE89" s="33" t="s">
        <v>26</v>
      </c>
    </row>
    <row r="90" spans="16359:16359" s="1" customFormat="1">
      <c r="XEE90" s="34" t="s">
        <v>27</v>
      </c>
    </row>
    <row r="91" spans="16359:16359" s="1" customFormat="1">
      <c r="XEE91" s="34" t="s">
        <v>28</v>
      </c>
    </row>
    <row r="92" spans="16359:16359" s="1" customFormat="1">
      <c r="XEE92" s="34" t="s">
        <v>29</v>
      </c>
    </row>
    <row r="93" spans="16359:16359" s="1" customFormat="1">
      <c r="XEE93" s="109" t="s">
        <v>204</v>
      </c>
    </row>
    <row r="94" spans="16359:16359" s="1" customFormat="1">
      <c r="XEE94" s="110" t="s">
        <v>200</v>
      </c>
    </row>
    <row r="95" spans="16359:16359" s="1" customFormat="1">
      <c r="XEE95" s="110" t="s">
        <v>201</v>
      </c>
    </row>
    <row r="96" spans="16359:16359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3025" spans="11:11" ht="18" customHeight="1">
      <c r="K3025" s="2" t="s">
        <v>78</v>
      </c>
    </row>
    <row r="3026" spans="11:11" ht="18" customHeight="1"/>
  </sheetData>
  <protectedRanges>
    <protectedRange sqref="K3027:K4026 L26:O1020 E34:J1020 C34:D1159 K21:L25 C21:J33" name="Range5"/>
    <protectedRange sqref="D12:G14" name="Range4"/>
    <protectedRange sqref="D8:G9 R9" name="Range3"/>
    <protectedRange sqref="B5" name="Range2"/>
    <protectedRange sqref="D2" name="Range1"/>
  </protectedRanges>
  <mergeCells count="51">
    <mergeCell ref="H19:H20"/>
    <mergeCell ref="K19:K20"/>
    <mergeCell ref="I19:I20"/>
    <mergeCell ref="J19:J20"/>
    <mergeCell ref="AM19:AO19"/>
    <mergeCell ref="X19:X20"/>
    <mergeCell ref="AF19:AH19"/>
    <mergeCell ref="Y19:Z19"/>
    <mergeCell ref="AA19:AA20"/>
    <mergeCell ref="U19:U20"/>
    <mergeCell ref="V19:V20"/>
    <mergeCell ref="AB19:AE19"/>
    <mergeCell ref="B4:C4"/>
    <mergeCell ref="L19:L20"/>
    <mergeCell ref="W19:W20"/>
    <mergeCell ref="AJ19:AL19"/>
    <mergeCell ref="R19:S20"/>
    <mergeCell ref="T19:T20"/>
    <mergeCell ref="E11:G11"/>
    <mergeCell ref="E12:G12"/>
    <mergeCell ref="E13:G13"/>
    <mergeCell ref="E14:G14"/>
    <mergeCell ref="G19:G20"/>
    <mergeCell ref="C19:D20"/>
    <mergeCell ref="E19:E20"/>
    <mergeCell ref="B14:C14"/>
    <mergeCell ref="B13:C13"/>
    <mergeCell ref="B7:C7"/>
    <mergeCell ref="B5:C5"/>
    <mergeCell ref="F19:F20"/>
    <mergeCell ref="D16:G17"/>
    <mergeCell ref="B9:C9"/>
    <mergeCell ref="B8:C8"/>
    <mergeCell ref="B19:B20"/>
    <mergeCell ref="B11:C11"/>
    <mergeCell ref="B16:C17"/>
    <mergeCell ref="B12:C12"/>
    <mergeCell ref="E7:G7"/>
    <mergeCell ref="E8:G8"/>
    <mergeCell ref="E9:G9"/>
    <mergeCell ref="BP19:BP20"/>
    <mergeCell ref="BO19:BO20"/>
    <mergeCell ref="AW19:AW20"/>
    <mergeCell ref="AX19:AX20"/>
    <mergeCell ref="AV19:AV20"/>
    <mergeCell ref="BG19:BG20"/>
    <mergeCell ref="AT19:AT20"/>
    <mergeCell ref="AU19:AU20"/>
    <mergeCell ref="AR19:AR20"/>
    <mergeCell ref="AQ19:AQ20"/>
    <mergeCell ref="AS19:AS20"/>
  </mergeCells>
  <phoneticPr fontId="14" type="noConversion"/>
  <dataValidations count="6">
    <dataValidation type="list" allowBlank="1" showInputMessage="1" showErrorMessage="1" sqref="C33:C1159 C22:C25" xr:uid="{00000000-0002-0000-0000-000000000000}">
      <formula1>$XEC$25:$XEC$29</formula1>
    </dataValidation>
    <dataValidation type="whole" allowBlank="1" showInputMessage="1" showErrorMessage="1" sqref="M26:O1020 L21:L1020" xr:uid="{00000000-0002-0000-0000-000001000000}">
      <formula1>0</formula1>
      <formula2>365</formula2>
    </dataValidation>
    <dataValidation type="list" allowBlank="1" showInputMessage="1" showErrorMessage="1" sqref="G2" xr:uid="{00000000-0002-0000-0000-000002000000}">
      <formula1>$XEE$2:$XFD$3</formula1>
    </dataValidation>
    <dataValidation type="list" allowBlank="1" showInputMessage="1" showErrorMessage="1" sqref="D22:D25" xr:uid="{00000000-0002-0000-0000-000003000000}">
      <formula1>$XEE$25:$XEE$93</formula1>
    </dataValidation>
    <dataValidation type="list" allowBlank="1" showInputMessage="1" showErrorMessage="1" sqref="C21" xr:uid="{00000000-0002-0000-0000-000004000000}">
      <formula1>$XEC$25:$XEC$30</formula1>
    </dataValidation>
    <dataValidation type="list" allowBlank="1" showInputMessage="1" showErrorMessage="1" sqref="D21" xr:uid="{00000000-0002-0000-0000-000005000000}">
      <formula1>$XEE$25:$XEE$95</formula1>
    </dataValidation>
  </dataValidations>
  <printOptions horizontalCentered="1" verticalCentered="1"/>
  <pageMargins left="0" right="0" top="0" bottom="0" header="0.31496062992125984" footer="0.31496062992125984"/>
  <pageSetup scale="88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6000000}">
          <x14:formula1>
            <xm:f>'نرخ پایه'!$B$5:$B$20</xm:f>
          </x14:formula1>
          <xm:sqref>J21:J25</xm:sqref>
        </x14:dataValidation>
        <x14:dataValidation type="list" allowBlank="1" showInputMessage="1" showErrorMessage="1" xr:uid="{00000000-0002-0000-0000-000007000000}">
          <x14:formula1>
            <xm:f>'نرخ پایه'!$B$21:$B$27</xm:f>
          </x14:formula1>
          <xm:sqref>H21:H25</xm:sqref>
        </x14:dataValidation>
        <x14:dataValidation type="list" allowBlank="1" showInputMessage="1" showErrorMessage="1" xr:uid="{00000000-0002-0000-0000-000008000000}">
          <x14:formula1>
            <xm:f>'نرخ پایه'!$B$28:$B$34</xm:f>
          </x14:formula1>
          <xm:sqref>I21:I25</xm:sqref>
        </x14:dataValidation>
        <x14:dataValidation type="list" allowBlank="1" showInputMessage="1" showErrorMessage="1" xr:uid="{00000000-0002-0000-0000-000009000000}">
          <x14:formula1>
            <xm:f>'نرخ پایه'!$B$35:$B$41</xm:f>
          </x14:formula1>
          <xm:sqref>K21:K25</xm:sqref>
        </x14:dataValidation>
        <x14:dataValidation type="list" allowBlank="1" showInputMessage="1" showErrorMessage="1" xr:uid="{00000000-0002-0000-0000-00000A000000}">
          <x14:formula1>
            <xm:f>'نرخ پایه'!$B$4:$B$20</xm:f>
          </x14:formula1>
          <xm:sqref>F21:F25</xm:sqref>
        </x14:dataValidation>
        <x14:dataValidation type="list" allowBlank="1" showInputMessage="1" showErrorMessage="1" xr:uid="{00000000-0002-0000-0000-00000B000000}">
          <x14:formula1>
            <xm:f>'نرخ پایه'!$O$4:$O$5</xm:f>
          </x14:formula1>
          <xm:sqref>F15</xm:sqref>
        </x14:dataValidation>
        <x14:dataValidation type="list" allowBlank="1" showInputMessage="1" showErrorMessage="1" xr:uid="{00000000-0002-0000-0000-00000C000000}">
          <x14:formula1>
            <xm:f>Sheet1!$B$2:$B$49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81"/>
  <sheetViews>
    <sheetView rightToLeft="1" workbookViewId="0">
      <selection activeCell="A18" sqref="A18:XFD18"/>
    </sheetView>
  </sheetViews>
  <sheetFormatPr defaultColWidth="9" defaultRowHeight="18.75"/>
  <cols>
    <col min="1" max="1" width="4.140625" style="4" customWidth="1"/>
    <col min="2" max="2" width="31.7109375" style="4" bestFit="1" customWidth="1"/>
    <col min="3" max="3" width="9.28515625" style="4" bestFit="1" customWidth="1"/>
    <col min="4" max="4" width="7.5703125" style="4" bestFit="1" customWidth="1"/>
    <col min="5" max="5" width="12.7109375" style="4" bestFit="1" customWidth="1"/>
    <col min="6" max="6" width="7.42578125" style="4" customWidth="1"/>
    <col min="7" max="7" width="7.28515625" style="12" customWidth="1"/>
    <col min="8" max="8" width="25.28515625" style="11" bestFit="1" customWidth="1"/>
    <col min="9" max="9" width="12" style="4" bestFit="1" customWidth="1"/>
    <col min="10" max="10" width="17.85546875" style="21" bestFit="1" customWidth="1"/>
    <col min="11" max="11" width="14.7109375" style="19" bestFit="1" customWidth="1"/>
    <col min="12" max="12" width="30.5703125" style="123" bestFit="1" customWidth="1"/>
    <col min="13" max="13" width="21.85546875" style="123" bestFit="1" customWidth="1"/>
    <col min="14" max="14" width="21.7109375" style="123" bestFit="1" customWidth="1"/>
    <col min="15" max="15" width="13.85546875" style="4" customWidth="1"/>
    <col min="16" max="16" width="25" style="85" bestFit="1" customWidth="1"/>
    <col min="17" max="17" width="17.5703125" style="4" bestFit="1" customWidth="1"/>
    <col min="18" max="16384" width="9" style="4"/>
  </cols>
  <sheetData>
    <row r="1" spans="2:17" ht="5.0999999999999996" customHeight="1"/>
    <row r="2" spans="2:17">
      <c r="B2" s="191" t="s">
        <v>11</v>
      </c>
      <c r="C2" s="191" t="s">
        <v>14</v>
      </c>
      <c r="D2" s="191" t="s">
        <v>15</v>
      </c>
      <c r="E2" s="191" t="s">
        <v>91</v>
      </c>
      <c r="G2" s="193" t="s">
        <v>1</v>
      </c>
      <c r="H2" s="193"/>
      <c r="I2" s="9" t="s">
        <v>30</v>
      </c>
      <c r="J2" s="20" t="s">
        <v>31</v>
      </c>
      <c r="L2" s="123" t="s">
        <v>105</v>
      </c>
      <c r="M2" s="123" t="s">
        <v>105</v>
      </c>
      <c r="N2" s="123" t="s">
        <v>105</v>
      </c>
    </row>
    <row r="3" spans="2:17" ht="47.25" customHeight="1">
      <c r="B3" s="192"/>
      <c r="C3" s="192"/>
      <c r="D3" s="192"/>
      <c r="E3" s="192"/>
      <c r="G3" s="13"/>
      <c r="H3" s="10"/>
      <c r="K3" s="90"/>
      <c r="L3" s="133" t="str">
        <f>مازاد!D2</f>
        <v>تا 1 برابر تعهد اجباری مالی 800000000</v>
      </c>
      <c r="M3" s="134" t="str">
        <f>مازاد!E2</f>
        <v>بیش از 1 برابر تا 5 برابر تعهد اجباری مالیاز 800.000.000 تا 2.400.000.000ریال)</v>
      </c>
      <c r="N3" s="135" t="str">
        <f>مازاد!F2</f>
        <v>بیش از 5 برابر تعهد اجباری مالیاز 2.400.000.000ریال)</v>
      </c>
      <c r="O3" s="83"/>
      <c r="Q3" s="49"/>
    </row>
    <row r="4" spans="2:17" ht="43.5" customHeight="1">
      <c r="B4" s="43" t="s">
        <v>90</v>
      </c>
      <c r="C4" s="36">
        <v>-5</v>
      </c>
      <c r="D4" s="36">
        <v>-5</v>
      </c>
      <c r="E4" s="43">
        <v>0</v>
      </c>
      <c r="G4" s="194" t="s">
        <v>0</v>
      </c>
      <c r="H4" s="84" t="s">
        <v>100</v>
      </c>
      <c r="I4" s="138">
        <v>2.5176829268000001</v>
      </c>
      <c r="J4" s="138">
        <v>2.5176829268000001</v>
      </c>
      <c r="K4" s="89"/>
      <c r="L4" s="131">
        <v>9.9095934959999994</v>
      </c>
      <c r="M4" s="131">
        <v>4.9547967479999997</v>
      </c>
      <c r="N4" s="131">
        <v>2.4773983739999998</v>
      </c>
      <c r="O4" s="96" t="s">
        <v>162</v>
      </c>
      <c r="Q4" s="48"/>
    </row>
    <row r="5" spans="2:17" ht="21">
      <c r="B5" s="35" t="s">
        <v>51</v>
      </c>
      <c r="C5" s="14">
        <v>-5</v>
      </c>
      <c r="D5" s="14">
        <v>-5</v>
      </c>
      <c r="E5" s="14">
        <v>0</v>
      </c>
      <c r="G5" s="195"/>
      <c r="H5" s="84" t="s">
        <v>101</v>
      </c>
      <c r="I5" s="138">
        <v>2.9816463413999998</v>
      </c>
      <c r="J5" s="138">
        <v>2.9816463413999998</v>
      </c>
      <c r="K5" s="88"/>
      <c r="L5" s="131">
        <v>11.73593496</v>
      </c>
      <c r="M5" s="131">
        <v>5.8679674799999999</v>
      </c>
      <c r="N5" s="131">
        <v>2.93398374</v>
      </c>
      <c r="O5" s="96" t="s">
        <v>163</v>
      </c>
      <c r="Q5" s="48"/>
    </row>
    <row r="6" spans="2:17">
      <c r="B6" s="35" t="s">
        <v>52</v>
      </c>
      <c r="C6" s="14">
        <v>0</v>
      </c>
      <c r="D6" s="14">
        <v>0</v>
      </c>
      <c r="E6" s="14">
        <v>0</v>
      </c>
      <c r="G6" s="195"/>
      <c r="H6" s="84" t="s">
        <v>102</v>
      </c>
      <c r="I6" s="138">
        <v>3.5047560975000001</v>
      </c>
      <c r="J6" s="138">
        <v>3.5047560975000001</v>
      </c>
      <c r="L6" s="131">
        <v>13.79479675</v>
      </c>
      <c r="M6" s="131">
        <v>6.8973983739999998</v>
      </c>
      <c r="N6" s="131">
        <v>3.4486991869999999</v>
      </c>
      <c r="O6" s="85"/>
      <c r="P6" s="113"/>
      <c r="Q6" s="113"/>
    </row>
    <row r="7" spans="2:17">
      <c r="B7" s="35" t="s">
        <v>53</v>
      </c>
      <c r="C7" s="14">
        <v>5</v>
      </c>
      <c r="D7" s="14">
        <v>5</v>
      </c>
      <c r="E7" s="14">
        <v>5</v>
      </c>
      <c r="G7" s="196"/>
      <c r="H7" s="84" t="s">
        <v>103</v>
      </c>
      <c r="I7" s="138">
        <v>3.9225609756000002</v>
      </c>
      <c r="J7" s="138">
        <v>3.9225609756000002</v>
      </c>
      <c r="L7" s="131">
        <v>15.439349590000001</v>
      </c>
      <c r="M7" s="131">
        <v>7.7196747969999997</v>
      </c>
      <c r="N7" s="131">
        <v>3.8598373979999998</v>
      </c>
      <c r="O7" s="85"/>
      <c r="P7" s="113"/>
      <c r="Q7" s="113"/>
    </row>
    <row r="8" spans="2:17" ht="18" customHeight="1">
      <c r="B8" s="35" t="s">
        <v>54</v>
      </c>
      <c r="C8" s="14">
        <v>10</v>
      </c>
      <c r="D8" s="14">
        <v>10</v>
      </c>
      <c r="E8" s="14">
        <v>10</v>
      </c>
      <c r="G8" s="194" t="s">
        <v>19</v>
      </c>
      <c r="H8" s="5" t="s">
        <v>20</v>
      </c>
      <c r="I8" s="138">
        <v>3.0847560975000001</v>
      </c>
      <c r="J8" s="138">
        <v>3.0847560975000001</v>
      </c>
      <c r="L8" s="131">
        <v>12.14178862</v>
      </c>
      <c r="M8" s="131">
        <v>6.0708943089999998</v>
      </c>
      <c r="N8" s="131">
        <v>3.0354471539999999</v>
      </c>
      <c r="O8" s="85"/>
      <c r="P8" s="113"/>
      <c r="Q8" s="113"/>
    </row>
    <row r="9" spans="2:17">
      <c r="B9" s="35" t="s">
        <v>55</v>
      </c>
      <c r="C9" s="14">
        <v>15</v>
      </c>
      <c r="D9" s="14">
        <v>15</v>
      </c>
      <c r="E9" s="14">
        <v>15</v>
      </c>
      <c r="G9" s="195"/>
      <c r="H9" s="5" t="s">
        <v>21</v>
      </c>
      <c r="I9" s="138">
        <v>3.7142073170000001</v>
      </c>
      <c r="J9" s="138">
        <v>3.7142073170000001</v>
      </c>
      <c r="L9" s="131">
        <v>14.619186989999999</v>
      </c>
      <c r="M9" s="131">
        <v>7.3095934959999997</v>
      </c>
      <c r="N9" s="131">
        <v>3.6547967479999999</v>
      </c>
      <c r="O9" s="85"/>
      <c r="P9" s="113"/>
      <c r="Q9" s="113"/>
    </row>
    <row r="10" spans="2:17">
      <c r="B10" s="35" t="s">
        <v>56</v>
      </c>
      <c r="C10" s="14">
        <v>20</v>
      </c>
      <c r="D10" s="14">
        <v>20</v>
      </c>
      <c r="E10" s="14">
        <v>20</v>
      </c>
      <c r="G10" s="195"/>
      <c r="H10" s="5" t="s">
        <v>22</v>
      </c>
      <c r="I10" s="138">
        <v>4.7012804878000001</v>
      </c>
      <c r="J10" s="138">
        <v>4.7012804878000001</v>
      </c>
      <c r="L10" s="131">
        <v>18.504390239999999</v>
      </c>
      <c r="M10" s="131">
        <v>9.2521951219999998</v>
      </c>
      <c r="N10" s="131">
        <v>4.6260975609999999</v>
      </c>
      <c r="O10" s="85"/>
      <c r="P10" s="113"/>
      <c r="Q10" s="48"/>
    </row>
    <row r="11" spans="2:17">
      <c r="B11" s="35" t="s">
        <v>57</v>
      </c>
      <c r="C11" s="14">
        <v>25</v>
      </c>
      <c r="D11" s="14">
        <v>25</v>
      </c>
      <c r="E11" s="14">
        <v>25</v>
      </c>
      <c r="G11" s="195"/>
      <c r="H11" s="5" t="s">
        <v>23</v>
      </c>
      <c r="I11" s="138">
        <v>6.0234756097000002</v>
      </c>
      <c r="J11" s="138">
        <v>6.0234756097000002</v>
      </c>
      <c r="L11" s="131">
        <v>23.708617889999999</v>
      </c>
      <c r="M11" s="131">
        <v>11.854308939999999</v>
      </c>
      <c r="N11" s="131">
        <v>5.9271544719999998</v>
      </c>
      <c r="O11" s="85"/>
      <c r="P11" s="113"/>
      <c r="Q11" s="48"/>
    </row>
    <row r="12" spans="2:17">
      <c r="B12" s="35" t="s">
        <v>58</v>
      </c>
      <c r="C12" s="14">
        <v>30</v>
      </c>
      <c r="D12" s="14">
        <v>30</v>
      </c>
      <c r="E12" s="14">
        <v>30</v>
      </c>
      <c r="G12" s="195"/>
      <c r="H12" s="5" t="s">
        <v>24</v>
      </c>
      <c r="I12" s="138">
        <v>7.0094512194999998</v>
      </c>
      <c r="J12" s="138">
        <v>7.0094512194999998</v>
      </c>
      <c r="K12" s="48"/>
      <c r="L12" s="131">
        <v>27.589593499999999</v>
      </c>
      <c r="M12" s="131">
        <v>13.79479675</v>
      </c>
      <c r="N12" s="131">
        <v>6.8973983739999998</v>
      </c>
      <c r="O12" s="85"/>
      <c r="Q12" s="48"/>
    </row>
    <row r="13" spans="2:17">
      <c r="B13" s="35" t="s">
        <v>59</v>
      </c>
      <c r="C13" s="14">
        <v>35</v>
      </c>
      <c r="D13" s="14">
        <v>35</v>
      </c>
      <c r="E13" s="14">
        <v>35</v>
      </c>
      <c r="G13" s="195"/>
      <c r="H13" s="5" t="s">
        <v>25</v>
      </c>
      <c r="I13" s="138">
        <v>7.3095934959999997</v>
      </c>
      <c r="J13" s="138">
        <v>7.3095934959999997</v>
      </c>
      <c r="K13" s="48"/>
      <c r="L13" s="131">
        <v>29.238373979999999</v>
      </c>
      <c r="M13" s="131">
        <v>14.619186989999999</v>
      </c>
      <c r="N13" s="131">
        <v>7.3095934959999997</v>
      </c>
      <c r="O13" s="85"/>
      <c r="Q13" s="48"/>
    </row>
    <row r="14" spans="2:17" ht="18" customHeight="1">
      <c r="B14" s="35" t="s">
        <v>60</v>
      </c>
      <c r="C14" s="14">
        <v>40</v>
      </c>
      <c r="D14" s="14">
        <v>40</v>
      </c>
      <c r="E14" s="14">
        <v>40</v>
      </c>
      <c r="G14" s="196"/>
      <c r="H14" s="109" t="s">
        <v>204</v>
      </c>
      <c r="I14" s="6"/>
      <c r="J14" s="27"/>
      <c r="K14" s="48"/>
      <c r="L14" s="131">
        <v>4.1079674800000001</v>
      </c>
      <c r="M14" s="132">
        <v>2.0539837400000001</v>
      </c>
      <c r="N14" s="132">
        <v>1.02699187</v>
      </c>
      <c r="O14" s="85"/>
      <c r="Q14" s="48"/>
    </row>
    <row r="15" spans="2:17" ht="18" customHeight="1">
      <c r="B15" s="35" t="s">
        <v>61</v>
      </c>
      <c r="C15" s="14">
        <v>45</v>
      </c>
      <c r="D15" s="14">
        <v>45</v>
      </c>
      <c r="E15" s="14">
        <v>45</v>
      </c>
      <c r="G15" s="194" t="s">
        <v>33</v>
      </c>
      <c r="H15" s="110" t="s">
        <v>200</v>
      </c>
      <c r="I15" s="6"/>
      <c r="J15" s="27"/>
      <c r="K15" s="48"/>
      <c r="L15" s="131">
        <v>7.2673170730000001</v>
      </c>
      <c r="M15" s="132">
        <v>3.633658536</v>
      </c>
      <c r="N15" s="132">
        <v>1.816829268</v>
      </c>
      <c r="O15" s="100"/>
      <c r="Q15" s="48"/>
    </row>
    <row r="16" spans="2:17" ht="18" customHeight="1">
      <c r="B16" s="35" t="s">
        <v>62</v>
      </c>
      <c r="C16" s="14">
        <v>50</v>
      </c>
      <c r="D16" s="14">
        <v>50</v>
      </c>
      <c r="E16" s="14">
        <v>50</v>
      </c>
      <c r="G16" s="195"/>
      <c r="H16" s="110" t="s">
        <v>201</v>
      </c>
      <c r="I16" s="5"/>
      <c r="J16" s="27"/>
      <c r="K16" s="48"/>
      <c r="L16" s="131">
        <v>7.2673170730000001</v>
      </c>
      <c r="M16" s="132">
        <v>3.633658536</v>
      </c>
      <c r="N16" s="132">
        <v>1.816829268</v>
      </c>
      <c r="O16" s="85"/>
      <c r="Q16" s="48"/>
    </row>
    <row r="17" spans="2:17" ht="21">
      <c r="B17" s="35" t="s">
        <v>63</v>
      </c>
      <c r="C17" s="14">
        <v>55</v>
      </c>
      <c r="D17" s="14">
        <v>55</v>
      </c>
      <c r="E17" s="14">
        <v>55</v>
      </c>
      <c r="G17" s="195"/>
      <c r="H17" s="25">
        <v>7</v>
      </c>
      <c r="I17" s="6"/>
      <c r="J17" s="29"/>
      <c r="K17" s="48"/>
      <c r="L17" s="124">
        <v>43.654471544000003</v>
      </c>
      <c r="M17" s="125">
        <v>26.1926829264</v>
      </c>
      <c r="N17" s="125">
        <v>17.4617886176</v>
      </c>
      <c r="O17" s="85"/>
      <c r="Q17" s="48"/>
    </row>
    <row r="18" spans="2:17" ht="21">
      <c r="B18" s="35" t="s">
        <v>64</v>
      </c>
      <c r="C18" s="14">
        <v>60</v>
      </c>
      <c r="D18" s="14">
        <v>60</v>
      </c>
      <c r="E18" s="14">
        <v>60</v>
      </c>
      <c r="G18" s="195"/>
      <c r="H18" s="3">
        <v>8</v>
      </c>
      <c r="I18" s="6"/>
      <c r="J18" s="20"/>
      <c r="K18" s="26"/>
      <c r="L18" s="126">
        <v>55.834688346999997</v>
      </c>
      <c r="M18" s="127">
        <v>33.5008130079</v>
      </c>
      <c r="N18" s="127">
        <v>22.333875338599999</v>
      </c>
      <c r="O18" s="85"/>
      <c r="Q18" s="48"/>
    </row>
    <row r="19" spans="2:17" ht="21">
      <c r="B19" s="35" t="s">
        <v>65</v>
      </c>
      <c r="C19" s="14">
        <v>65</v>
      </c>
      <c r="D19" s="14">
        <v>65</v>
      </c>
      <c r="E19" s="14">
        <v>65</v>
      </c>
      <c r="G19" s="195"/>
      <c r="H19" s="25">
        <v>9</v>
      </c>
      <c r="I19" s="6"/>
      <c r="J19" s="20"/>
      <c r="K19" s="26"/>
      <c r="L19" s="126">
        <v>55.834688346999997</v>
      </c>
      <c r="M19" s="127">
        <v>33.5008130079</v>
      </c>
      <c r="N19" s="127">
        <v>22.333875338599999</v>
      </c>
      <c r="O19" s="85"/>
      <c r="Q19" s="48"/>
    </row>
    <row r="20" spans="2:17" ht="21">
      <c r="B20" s="35" t="s">
        <v>66</v>
      </c>
      <c r="C20" s="14">
        <v>65</v>
      </c>
      <c r="D20" s="14">
        <v>65</v>
      </c>
      <c r="E20" s="14">
        <v>70</v>
      </c>
      <c r="G20" s="195"/>
      <c r="H20" s="25">
        <v>10</v>
      </c>
      <c r="I20" s="6"/>
      <c r="J20" s="20"/>
      <c r="K20" s="26"/>
      <c r="L20" s="126">
        <v>55.834688346999997</v>
      </c>
      <c r="M20" s="127">
        <v>33.5008130079</v>
      </c>
      <c r="N20" s="127">
        <v>22.333875338599999</v>
      </c>
      <c r="O20" s="85"/>
      <c r="Q20" s="48"/>
    </row>
    <row r="21" spans="2:17" ht="21">
      <c r="B21" s="35" t="s">
        <v>51</v>
      </c>
      <c r="C21" s="42">
        <v>0</v>
      </c>
      <c r="D21" s="42">
        <v>0</v>
      </c>
      <c r="E21" s="46"/>
      <c r="G21" s="195"/>
      <c r="H21" s="25">
        <v>11</v>
      </c>
      <c r="I21" s="6"/>
      <c r="J21" s="20"/>
      <c r="K21" s="26"/>
      <c r="L21" s="126">
        <v>55.834688346999997</v>
      </c>
      <c r="M21" s="127">
        <v>33.5008130079</v>
      </c>
      <c r="N21" s="127">
        <v>22.333875338599999</v>
      </c>
      <c r="O21" s="85"/>
      <c r="Q21" s="48"/>
    </row>
    <row r="22" spans="2:17" ht="21">
      <c r="B22" s="35" t="s">
        <v>84</v>
      </c>
      <c r="C22" s="14">
        <v>0</v>
      </c>
      <c r="D22" s="14">
        <v>0</v>
      </c>
      <c r="E22" s="45"/>
      <c r="G22" s="195"/>
      <c r="H22" s="3">
        <v>12</v>
      </c>
      <c r="I22" s="6"/>
      <c r="J22" s="20"/>
      <c r="K22" s="26"/>
      <c r="L22" s="126">
        <v>55.834688346999997</v>
      </c>
      <c r="M22" s="127">
        <v>33.5008130079</v>
      </c>
      <c r="N22" s="127">
        <v>22.333875338599999</v>
      </c>
      <c r="O22" s="85"/>
      <c r="Q22" s="48"/>
    </row>
    <row r="23" spans="2:17" ht="21">
      <c r="B23" s="35" t="s">
        <v>85</v>
      </c>
      <c r="C23" s="14">
        <v>30</v>
      </c>
      <c r="D23" s="14">
        <v>30</v>
      </c>
      <c r="E23" s="45"/>
      <c r="G23" s="195"/>
      <c r="H23" s="3">
        <v>13</v>
      </c>
      <c r="I23" s="6"/>
      <c r="J23" s="20"/>
      <c r="K23" s="26"/>
      <c r="L23" s="126">
        <v>55.834688346999997</v>
      </c>
      <c r="M23" s="127">
        <v>33.5008130079</v>
      </c>
      <c r="N23" s="127">
        <v>22.333875338599999</v>
      </c>
      <c r="O23" s="85"/>
      <c r="Q23" s="48"/>
    </row>
    <row r="24" spans="2:17" ht="21">
      <c r="B24" s="35" t="s">
        <v>86</v>
      </c>
      <c r="C24" s="14">
        <v>70</v>
      </c>
      <c r="D24" s="14">
        <v>70</v>
      </c>
      <c r="E24" s="45"/>
      <c r="G24" s="195"/>
      <c r="H24" s="3">
        <v>14</v>
      </c>
      <c r="I24" s="6"/>
      <c r="J24" s="20"/>
      <c r="K24" s="26"/>
      <c r="L24" s="126">
        <v>55.834688346999997</v>
      </c>
      <c r="M24" s="127">
        <v>33.5008130079</v>
      </c>
      <c r="N24" s="127">
        <v>22.333875338599999</v>
      </c>
      <c r="O24" s="85"/>
      <c r="Q24" s="48"/>
    </row>
    <row r="25" spans="2:17" ht="21">
      <c r="B25" s="35" t="s">
        <v>87</v>
      </c>
      <c r="C25" s="14">
        <v>100</v>
      </c>
      <c r="D25" s="14">
        <v>100</v>
      </c>
      <c r="E25" s="45"/>
      <c r="G25" s="195"/>
      <c r="H25" s="3">
        <v>15</v>
      </c>
      <c r="I25" s="6"/>
      <c r="J25" s="20"/>
      <c r="K25" s="26"/>
      <c r="L25" s="126">
        <v>55.834688346999997</v>
      </c>
      <c r="M25" s="127">
        <v>33.5008130079</v>
      </c>
      <c r="N25" s="127">
        <v>22.333875338599999</v>
      </c>
      <c r="O25" s="85"/>
      <c r="Q25" s="48"/>
    </row>
    <row r="26" spans="2:17" ht="21">
      <c r="B26" s="35" t="s">
        <v>88</v>
      </c>
      <c r="C26" s="14">
        <v>100</v>
      </c>
      <c r="D26" s="14">
        <v>100</v>
      </c>
      <c r="E26" s="45"/>
      <c r="G26" s="195"/>
      <c r="H26" s="3">
        <v>16</v>
      </c>
      <c r="I26" s="6"/>
      <c r="J26" s="28"/>
      <c r="K26" s="48"/>
      <c r="L26" s="126">
        <v>55.834688346999997</v>
      </c>
      <c r="M26" s="127">
        <v>33.5008130079</v>
      </c>
      <c r="N26" s="127">
        <v>22.333875338599999</v>
      </c>
      <c r="O26" s="85"/>
    </row>
    <row r="27" spans="2:17" ht="21">
      <c r="B27" s="35" t="s">
        <v>89</v>
      </c>
      <c r="C27" s="14">
        <v>100</v>
      </c>
      <c r="D27" s="14">
        <v>100</v>
      </c>
      <c r="E27" s="45"/>
      <c r="G27" s="195"/>
      <c r="H27" s="3">
        <v>17</v>
      </c>
      <c r="I27" s="6"/>
      <c r="J27" s="20"/>
      <c r="K27" s="29"/>
      <c r="L27" s="126">
        <v>55.834688346999997</v>
      </c>
      <c r="M27" s="127">
        <v>33.5008130079</v>
      </c>
      <c r="N27" s="127">
        <v>22.333875338599999</v>
      </c>
    </row>
    <row r="28" spans="2:17" ht="21">
      <c r="B28" s="35" t="s">
        <v>51</v>
      </c>
      <c r="C28" s="14">
        <v>0</v>
      </c>
      <c r="D28" s="14">
        <v>0</v>
      </c>
      <c r="E28" s="45"/>
      <c r="G28" s="195"/>
      <c r="H28" s="3">
        <v>18</v>
      </c>
      <c r="I28" s="6"/>
      <c r="J28" s="20"/>
      <c r="K28" s="29"/>
      <c r="L28" s="126">
        <v>55.834688346999997</v>
      </c>
      <c r="M28" s="127">
        <v>33.5008130079</v>
      </c>
      <c r="N28" s="127">
        <v>22.333875338599999</v>
      </c>
    </row>
    <row r="29" spans="2:17" ht="21">
      <c r="B29" s="35" t="s">
        <v>84</v>
      </c>
      <c r="C29" s="14">
        <v>0</v>
      </c>
      <c r="D29" s="14">
        <v>0</v>
      </c>
      <c r="E29" s="45"/>
      <c r="G29" s="195"/>
      <c r="H29" s="3">
        <v>19</v>
      </c>
      <c r="I29" s="6"/>
      <c r="J29" s="20"/>
      <c r="K29" s="29"/>
      <c r="L29" s="126">
        <v>55.834688346999997</v>
      </c>
      <c r="M29" s="127">
        <v>33.5008130079</v>
      </c>
      <c r="N29" s="127">
        <v>22.333875338599999</v>
      </c>
    </row>
    <row r="30" spans="2:17" ht="21">
      <c r="B30" s="35" t="s">
        <v>85</v>
      </c>
      <c r="C30" s="14">
        <v>20</v>
      </c>
      <c r="D30" s="14">
        <v>20</v>
      </c>
      <c r="E30" s="45"/>
      <c r="G30" s="195"/>
      <c r="H30" s="3">
        <v>20</v>
      </c>
      <c r="I30" s="6"/>
      <c r="J30" s="20"/>
      <c r="K30" s="29"/>
      <c r="L30" s="126">
        <v>55.834688346999997</v>
      </c>
      <c r="M30" s="127">
        <v>33.5008130079</v>
      </c>
      <c r="N30" s="127">
        <v>22.333875338599999</v>
      </c>
    </row>
    <row r="31" spans="2:17" ht="21">
      <c r="B31" s="35" t="s">
        <v>86</v>
      </c>
      <c r="C31" s="14">
        <v>30</v>
      </c>
      <c r="D31" s="14">
        <v>30</v>
      </c>
      <c r="E31" s="45"/>
      <c r="G31" s="195"/>
      <c r="H31" s="3">
        <v>21</v>
      </c>
      <c r="I31" s="6"/>
      <c r="J31" s="20"/>
      <c r="K31" s="29"/>
      <c r="L31" s="126">
        <v>55.834688346999997</v>
      </c>
      <c r="M31" s="127">
        <v>33.5008130079</v>
      </c>
      <c r="N31" s="127">
        <v>22.333875338599999</v>
      </c>
    </row>
    <row r="32" spans="2:17" ht="21">
      <c r="B32" s="35" t="s">
        <v>87</v>
      </c>
      <c r="C32" s="14">
        <v>40</v>
      </c>
      <c r="D32" s="14">
        <v>40</v>
      </c>
      <c r="E32" s="45"/>
      <c r="G32" s="195"/>
      <c r="H32" s="3">
        <v>22</v>
      </c>
      <c r="I32" s="6"/>
      <c r="J32" s="20"/>
      <c r="K32" s="29"/>
      <c r="L32" s="126">
        <v>55.834688346999997</v>
      </c>
      <c r="M32" s="127">
        <v>33.5008130079</v>
      </c>
      <c r="N32" s="127">
        <v>22.333875338599999</v>
      </c>
    </row>
    <row r="33" spans="2:14" ht="21">
      <c r="B33" s="35" t="s">
        <v>88</v>
      </c>
      <c r="C33" s="14">
        <v>40</v>
      </c>
      <c r="D33" s="14">
        <v>40</v>
      </c>
      <c r="E33" s="45"/>
      <c r="G33" s="195"/>
      <c r="H33" s="3">
        <v>23</v>
      </c>
      <c r="I33" s="6"/>
      <c r="J33" s="20"/>
      <c r="K33" s="29"/>
      <c r="L33" s="126">
        <v>55.834688346999997</v>
      </c>
      <c r="M33" s="127">
        <v>33.5008130079</v>
      </c>
      <c r="N33" s="127">
        <v>22.333875338599999</v>
      </c>
    </row>
    <row r="34" spans="2:14" ht="21">
      <c r="B34" s="35" t="s">
        <v>89</v>
      </c>
      <c r="C34" s="14">
        <v>40</v>
      </c>
      <c r="D34" s="14">
        <v>40</v>
      </c>
      <c r="E34" s="45"/>
      <c r="G34" s="195"/>
      <c r="H34" s="3">
        <v>24</v>
      </c>
      <c r="I34" s="6"/>
      <c r="J34" s="20"/>
      <c r="K34" s="29"/>
      <c r="L34" s="126">
        <v>55.834688346999997</v>
      </c>
      <c r="M34" s="127">
        <v>33.5008130079</v>
      </c>
      <c r="N34" s="127">
        <v>22.333875338599999</v>
      </c>
    </row>
    <row r="35" spans="2:14" ht="21">
      <c r="B35" s="35" t="s">
        <v>51</v>
      </c>
      <c r="C35" s="14">
        <v>0</v>
      </c>
      <c r="D35" s="14">
        <v>0</v>
      </c>
      <c r="E35" s="45"/>
      <c r="G35" s="195"/>
      <c r="H35" s="3">
        <v>25</v>
      </c>
      <c r="I35" s="6"/>
      <c r="J35" s="20"/>
      <c r="K35" s="29"/>
      <c r="L35" s="126">
        <v>55.834688346999997</v>
      </c>
      <c r="M35" s="127">
        <v>33.5008130079</v>
      </c>
      <c r="N35" s="127">
        <v>22.333875338599999</v>
      </c>
    </row>
    <row r="36" spans="2:14" ht="21">
      <c r="B36" s="35" t="s">
        <v>84</v>
      </c>
      <c r="C36" s="14">
        <v>0</v>
      </c>
      <c r="D36" s="14">
        <v>0</v>
      </c>
      <c r="E36" s="45"/>
      <c r="G36" s="195"/>
      <c r="H36" s="3">
        <v>26</v>
      </c>
      <c r="I36" s="6"/>
      <c r="J36" s="20"/>
      <c r="K36" s="29"/>
      <c r="L36" s="126">
        <v>55.834688346999997</v>
      </c>
      <c r="M36" s="127">
        <v>33.5008130079</v>
      </c>
      <c r="N36" s="127">
        <v>22.333875338599999</v>
      </c>
    </row>
    <row r="37" spans="2:14" ht="21">
      <c r="B37" s="35" t="s">
        <v>85</v>
      </c>
      <c r="C37" s="14">
        <v>30</v>
      </c>
      <c r="D37" s="14">
        <v>30</v>
      </c>
      <c r="E37" s="45"/>
      <c r="G37" s="195"/>
      <c r="H37" s="3">
        <v>27</v>
      </c>
      <c r="I37" s="6"/>
      <c r="J37" s="28"/>
      <c r="L37" s="128">
        <v>85.525745256999997</v>
      </c>
      <c r="M37" s="129">
        <v>51.315447154200001</v>
      </c>
      <c r="N37" s="129">
        <v>34.210298102800003</v>
      </c>
    </row>
    <row r="38" spans="2:14" ht="21">
      <c r="B38" s="35" t="s">
        <v>86</v>
      </c>
      <c r="C38" s="14">
        <v>70</v>
      </c>
      <c r="D38" s="14">
        <v>70</v>
      </c>
      <c r="E38" s="45"/>
      <c r="G38" s="195"/>
      <c r="H38" s="3">
        <v>28</v>
      </c>
      <c r="I38" s="6"/>
      <c r="J38" s="20"/>
      <c r="K38" s="28"/>
      <c r="L38" s="128">
        <v>85.525745256999997</v>
      </c>
      <c r="M38" s="129">
        <v>51.315447154200001</v>
      </c>
      <c r="N38" s="129">
        <v>34.210298102800003</v>
      </c>
    </row>
    <row r="39" spans="2:14" ht="21">
      <c r="B39" s="35" t="s">
        <v>87</v>
      </c>
      <c r="C39" s="14">
        <v>100</v>
      </c>
      <c r="D39" s="14">
        <v>100</v>
      </c>
      <c r="E39" s="45"/>
      <c r="G39" s="195"/>
      <c r="H39" s="3">
        <v>29</v>
      </c>
      <c r="I39" s="6"/>
      <c r="J39" s="20"/>
      <c r="K39" s="28"/>
      <c r="L39" s="128">
        <v>85.525745256999997</v>
      </c>
      <c r="M39" s="129">
        <v>51.315447154200001</v>
      </c>
      <c r="N39" s="129">
        <v>34.210298102800003</v>
      </c>
    </row>
    <row r="40" spans="2:14" ht="21">
      <c r="B40" s="35" t="s">
        <v>88</v>
      </c>
      <c r="C40" s="14">
        <v>100</v>
      </c>
      <c r="D40" s="14">
        <v>100</v>
      </c>
      <c r="E40" s="45"/>
      <c r="G40" s="195"/>
      <c r="H40" s="3">
        <v>30</v>
      </c>
      <c r="I40" s="6"/>
      <c r="J40" s="20"/>
      <c r="K40" s="28"/>
      <c r="L40" s="128">
        <v>85.525745256999997</v>
      </c>
      <c r="M40" s="129">
        <v>51.315447154200001</v>
      </c>
      <c r="N40" s="129">
        <v>34.210298102800003</v>
      </c>
    </row>
    <row r="41" spans="2:14" ht="21">
      <c r="B41" s="35" t="s">
        <v>89</v>
      </c>
      <c r="C41" s="14">
        <v>100</v>
      </c>
      <c r="D41" s="14">
        <v>100</v>
      </c>
      <c r="E41" s="45"/>
      <c r="G41" s="195"/>
      <c r="H41" s="3">
        <v>31</v>
      </c>
      <c r="I41" s="6"/>
      <c r="J41" s="20"/>
      <c r="K41" s="28"/>
      <c r="L41" s="128">
        <v>85.525745256999997</v>
      </c>
      <c r="M41" s="129">
        <v>51.315447154200001</v>
      </c>
      <c r="N41" s="129">
        <v>34.210298102800003</v>
      </c>
    </row>
    <row r="42" spans="2:14" ht="21">
      <c r="G42" s="195"/>
      <c r="H42" s="3">
        <v>32</v>
      </c>
      <c r="I42" s="6"/>
      <c r="J42" s="20"/>
      <c r="K42" s="28"/>
      <c r="L42" s="128">
        <v>85.525745256999997</v>
      </c>
      <c r="M42" s="129">
        <v>51.315447154200001</v>
      </c>
      <c r="N42" s="129">
        <v>34.210298102800003</v>
      </c>
    </row>
    <row r="43" spans="2:14" ht="21">
      <c r="B43" s="201" t="s">
        <v>16</v>
      </c>
      <c r="C43" s="202"/>
      <c r="D43" s="203"/>
      <c r="E43" s="43"/>
      <c r="G43" s="195"/>
      <c r="H43" s="3">
        <v>33</v>
      </c>
      <c r="I43" s="6"/>
      <c r="J43" s="20"/>
      <c r="K43" s="28"/>
      <c r="L43" s="128">
        <v>85.525745256999997</v>
      </c>
      <c r="M43" s="129">
        <v>51.315447154200001</v>
      </c>
      <c r="N43" s="129">
        <v>34.210298102800003</v>
      </c>
    </row>
    <row r="44" spans="2:14" ht="21">
      <c r="B44" s="15" t="s">
        <v>0</v>
      </c>
      <c r="C44" s="198">
        <f>ثالث!D6*0.07%</f>
        <v>8400000.0000000019</v>
      </c>
      <c r="D44" s="198"/>
      <c r="E44" s="47"/>
      <c r="G44" s="195"/>
      <c r="H44" s="3">
        <v>34</v>
      </c>
      <c r="I44" s="6"/>
      <c r="J44" s="20"/>
      <c r="K44" s="28"/>
      <c r="L44" s="128">
        <v>85.525745256999997</v>
      </c>
      <c r="M44" s="129">
        <v>51.315447154200001</v>
      </c>
      <c r="N44" s="129">
        <v>34.210298102800003</v>
      </c>
    </row>
    <row r="45" spans="2:14" ht="21">
      <c r="B45" s="15" t="s">
        <v>19</v>
      </c>
      <c r="C45" s="198">
        <f>ثالث!D6*0.12%</f>
        <v>14399999.999999998</v>
      </c>
      <c r="D45" s="198"/>
      <c r="E45" s="47"/>
      <c r="G45" s="195"/>
      <c r="H45" s="3">
        <v>35</v>
      </c>
      <c r="I45" s="6"/>
      <c r="J45" s="20"/>
      <c r="K45" s="28"/>
      <c r="L45" s="128">
        <v>85.525745256999997</v>
      </c>
      <c r="M45" s="129">
        <v>51.315447154200001</v>
      </c>
      <c r="N45" s="129">
        <v>34.210298102800003</v>
      </c>
    </row>
    <row r="46" spans="2:14" ht="21">
      <c r="B46" s="15" t="s">
        <v>33</v>
      </c>
      <c r="C46" s="198">
        <f>ثالث!D6*0.1%</f>
        <v>12000000</v>
      </c>
      <c r="D46" s="198"/>
      <c r="E46" s="47"/>
      <c r="G46" s="195"/>
      <c r="H46" s="3">
        <v>36</v>
      </c>
      <c r="I46" s="6"/>
      <c r="J46" s="20"/>
      <c r="K46" s="28"/>
      <c r="L46" s="128">
        <v>85.525745256999997</v>
      </c>
      <c r="M46" s="129">
        <v>51.315447154200001</v>
      </c>
      <c r="N46" s="129">
        <v>34.210298102800003</v>
      </c>
    </row>
    <row r="47" spans="2:14" ht="21">
      <c r="B47" s="15" t="s">
        <v>32</v>
      </c>
      <c r="C47" s="199">
        <f>ثالث!D6*0.037%</f>
        <v>4440000</v>
      </c>
      <c r="D47" s="200"/>
      <c r="E47" s="47"/>
      <c r="G47" s="195"/>
      <c r="H47" s="3">
        <v>37</v>
      </c>
      <c r="I47" s="6"/>
      <c r="J47" s="20"/>
      <c r="K47" s="28"/>
      <c r="L47" s="128">
        <v>85.525745256999997</v>
      </c>
      <c r="M47" s="129">
        <v>51.315447154200001</v>
      </c>
      <c r="N47" s="129">
        <v>34.210298102800003</v>
      </c>
    </row>
    <row r="48" spans="2:14" ht="21">
      <c r="B48" s="109" t="s">
        <v>129</v>
      </c>
      <c r="C48" s="198">
        <f>ثالث!D6*0.1%</f>
        <v>12000000</v>
      </c>
      <c r="D48" s="198"/>
      <c r="E48" s="43"/>
      <c r="G48" s="195"/>
      <c r="H48" s="3">
        <v>38</v>
      </c>
      <c r="I48" s="6"/>
      <c r="J48" s="20"/>
      <c r="K48" s="28"/>
      <c r="L48" s="128">
        <v>85.525745256999997</v>
      </c>
      <c r="M48" s="129">
        <v>51.315447154200001</v>
      </c>
      <c r="N48" s="129">
        <v>34.210298102800003</v>
      </c>
    </row>
    <row r="49" spans="2:14" ht="21">
      <c r="B49" s="4" t="s">
        <v>205</v>
      </c>
      <c r="C49" s="204"/>
      <c r="D49" s="205"/>
      <c r="G49" s="195"/>
      <c r="H49" s="3">
        <v>39</v>
      </c>
      <c r="I49" s="6"/>
      <c r="J49" s="20"/>
      <c r="K49" s="28"/>
      <c r="L49" s="128">
        <v>85.525745256999997</v>
      </c>
      <c r="M49" s="129">
        <v>51.315447154200001</v>
      </c>
      <c r="N49" s="129">
        <v>34.210298102800003</v>
      </c>
    </row>
    <row r="50" spans="2:14" ht="21">
      <c r="G50" s="195"/>
      <c r="H50" s="3">
        <v>40</v>
      </c>
      <c r="I50" s="6"/>
      <c r="J50" s="20"/>
      <c r="K50" s="28"/>
      <c r="L50" s="128">
        <v>85.525745256999997</v>
      </c>
      <c r="M50" s="129">
        <v>51.315447154200001</v>
      </c>
      <c r="N50" s="129">
        <v>34.210298102800003</v>
      </c>
    </row>
    <row r="51" spans="2:14" ht="21">
      <c r="G51" s="195"/>
      <c r="H51" s="3">
        <v>41</v>
      </c>
      <c r="I51" s="6"/>
      <c r="J51" s="20"/>
      <c r="K51" s="28"/>
      <c r="L51" s="128">
        <v>85.525745256999997</v>
      </c>
      <c r="M51" s="129">
        <v>51.315447154200001</v>
      </c>
      <c r="N51" s="129">
        <v>34.210298102800003</v>
      </c>
    </row>
    <row r="52" spans="2:14" ht="21">
      <c r="G52" s="195"/>
      <c r="H52" s="3">
        <v>42</v>
      </c>
      <c r="I52" s="6"/>
      <c r="J52" s="20"/>
      <c r="K52" s="28"/>
      <c r="L52" s="128">
        <v>85.525745256999997</v>
      </c>
      <c r="M52" s="129">
        <v>51.315447154200001</v>
      </c>
      <c r="N52" s="129">
        <v>34.210298102800003</v>
      </c>
    </row>
    <row r="53" spans="2:14" ht="21">
      <c r="G53" s="195"/>
      <c r="H53" s="3">
        <v>43</v>
      </c>
      <c r="I53" s="6"/>
      <c r="J53" s="20"/>
      <c r="K53" s="28"/>
      <c r="L53" s="128">
        <v>85.525745256999997</v>
      </c>
      <c r="M53" s="129">
        <v>51.315447154200001</v>
      </c>
      <c r="N53" s="129">
        <v>34.210298102800003</v>
      </c>
    </row>
    <row r="54" spans="2:14" ht="21">
      <c r="G54" s="195"/>
      <c r="H54" s="3">
        <v>44</v>
      </c>
      <c r="I54" s="6"/>
      <c r="J54" s="20"/>
      <c r="K54" s="28"/>
      <c r="L54" s="128">
        <v>85.525745256999997</v>
      </c>
      <c r="M54" s="129">
        <v>51.315447154200001</v>
      </c>
      <c r="N54" s="129">
        <v>34.210298102800003</v>
      </c>
    </row>
    <row r="55" spans="2:14" ht="21">
      <c r="G55" s="195"/>
      <c r="H55" s="3">
        <v>45</v>
      </c>
      <c r="I55" s="6"/>
      <c r="J55" s="20"/>
      <c r="K55" s="28"/>
      <c r="L55" s="128">
        <v>85.525745256999997</v>
      </c>
      <c r="M55" s="129">
        <v>51.315447154200001</v>
      </c>
      <c r="N55" s="129">
        <v>34.210298102800003</v>
      </c>
    </row>
    <row r="56" spans="2:14" ht="21">
      <c r="G56" s="195"/>
      <c r="H56" s="3">
        <v>46</v>
      </c>
      <c r="I56" s="6"/>
      <c r="J56" s="20"/>
      <c r="K56" s="28"/>
      <c r="L56" s="128">
        <v>85.525745256999997</v>
      </c>
      <c r="M56" s="129">
        <v>51.315447154200001</v>
      </c>
      <c r="N56" s="129">
        <v>34.210298102800003</v>
      </c>
    </row>
    <row r="57" spans="2:14" ht="21">
      <c r="G57" s="195"/>
      <c r="H57" s="3">
        <v>47</v>
      </c>
      <c r="I57" s="6"/>
      <c r="J57" s="20"/>
      <c r="K57" s="28"/>
      <c r="L57" s="128">
        <v>85.525745256999997</v>
      </c>
      <c r="M57" s="129">
        <v>51.315447154200001</v>
      </c>
      <c r="N57" s="129">
        <v>34.210298102800003</v>
      </c>
    </row>
    <row r="58" spans="2:14" ht="21">
      <c r="G58" s="195"/>
      <c r="H58" s="3">
        <v>48</v>
      </c>
      <c r="I58" s="6"/>
      <c r="J58" s="20"/>
      <c r="K58" s="28"/>
      <c r="L58" s="128">
        <v>85.525745256999997</v>
      </c>
      <c r="M58" s="129">
        <v>51.315447154200001</v>
      </c>
      <c r="N58" s="129">
        <v>34.210298102800003</v>
      </c>
    </row>
    <row r="59" spans="2:14" ht="21">
      <c r="G59" s="195"/>
      <c r="H59" s="3">
        <v>49</v>
      </c>
      <c r="I59" s="6"/>
      <c r="J59" s="20"/>
      <c r="K59" s="28"/>
      <c r="L59" s="128">
        <v>85.525745256999997</v>
      </c>
      <c r="M59" s="129">
        <v>51.315447154200001</v>
      </c>
      <c r="N59" s="129">
        <v>34.210298102800003</v>
      </c>
    </row>
    <row r="60" spans="2:14" ht="21">
      <c r="G60" s="195"/>
      <c r="H60" s="3">
        <v>50</v>
      </c>
      <c r="I60" s="6"/>
      <c r="J60" s="20"/>
      <c r="K60" s="28"/>
      <c r="L60" s="128">
        <v>85.525745256999997</v>
      </c>
      <c r="M60" s="129">
        <v>51.315447154200001</v>
      </c>
      <c r="N60" s="129">
        <v>34.210298102800003</v>
      </c>
    </row>
    <row r="61" spans="2:14" ht="21">
      <c r="G61" s="195"/>
      <c r="H61" s="3">
        <v>51</v>
      </c>
      <c r="I61" s="6"/>
      <c r="J61" s="20"/>
      <c r="K61" s="28"/>
      <c r="L61" s="128">
        <v>85.525745256999997</v>
      </c>
      <c r="M61" s="129">
        <v>51.315447154200001</v>
      </c>
      <c r="N61" s="129">
        <v>34.210298102800003</v>
      </c>
    </row>
    <row r="62" spans="2:14" ht="21">
      <c r="G62" s="195"/>
      <c r="H62" s="3">
        <v>52</v>
      </c>
      <c r="I62" s="6"/>
      <c r="J62" s="20"/>
      <c r="K62" s="28"/>
      <c r="L62" s="128">
        <v>85.525745256999997</v>
      </c>
      <c r="M62" s="129">
        <v>51.315447154200001</v>
      </c>
      <c r="N62" s="129">
        <v>34.210298102800003</v>
      </c>
    </row>
    <row r="63" spans="2:14" ht="21">
      <c r="G63" s="195"/>
      <c r="H63" s="3">
        <v>53</v>
      </c>
      <c r="I63" s="6"/>
      <c r="J63" s="20"/>
      <c r="K63" s="28"/>
      <c r="L63" s="128">
        <v>85.525745256999997</v>
      </c>
      <c r="M63" s="129">
        <v>51.315447154200001</v>
      </c>
      <c r="N63" s="129">
        <v>34.210298102800003</v>
      </c>
    </row>
    <row r="64" spans="2:14" ht="21">
      <c r="G64" s="195"/>
      <c r="H64" s="3">
        <v>54</v>
      </c>
      <c r="I64" s="6"/>
      <c r="J64" s="20"/>
      <c r="K64" s="28"/>
      <c r="L64" s="128">
        <v>85.525745256999997</v>
      </c>
      <c r="M64" s="129">
        <v>51.315447154200001</v>
      </c>
      <c r="N64" s="129">
        <v>34.210298102800003</v>
      </c>
    </row>
    <row r="65" spans="7:14" ht="21">
      <c r="G65" s="195"/>
      <c r="H65" s="3">
        <v>55</v>
      </c>
      <c r="I65" s="6"/>
      <c r="J65" s="20"/>
      <c r="K65" s="28"/>
      <c r="L65" s="128">
        <v>85.525745256999997</v>
      </c>
      <c r="M65" s="129">
        <v>51.315447154200001</v>
      </c>
      <c r="N65" s="129">
        <v>34.210298102800003</v>
      </c>
    </row>
    <row r="66" spans="7:14" ht="21">
      <c r="G66" s="195"/>
      <c r="H66" s="3">
        <v>56</v>
      </c>
      <c r="I66" s="6"/>
      <c r="J66" s="20"/>
      <c r="K66" s="28"/>
      <c r="L66" s="128">
        <v>85.525745256999997</v>
      </c>
      <c r="M66" s="129">
        <v>51.315447154200001</v>
      </c>
      <c r="N66" s="129">
        <v>34.210298102800003</v>
      </c>
    </row>
    <row r="67" spans="7:14" ht="21">
      <c r="G67" s="195"/>
      <c r="H67" s="3">
        <v>57</v>
      </c>
      <c r="I67" s="6"/>
      <c r="J67" s="20"/>
      <c r="K67" s="28"/>
      <c r="L67" s="128">
        <v>85.525745256999997</v>
      </c>
      <c r="M67" s="129">
        <v>51.315447154200001</v>
      </c>
      <c r="N67" s="129">
        <v>34.210298102800003</v>
      </c>
    </row>
    <row r="68" spans="7:14" ht="21">
      <c r="G68" s="196"/>
      <c r="H68" s="3">
        <v>58</v>
      </c>
      <c r="I68" s="6"/>
      <c r="J68" s="20"/>
      <c r="K68" s="28"/>
      <c r="L68" s="128">
        <v>85.525745256999997</v>
      </c>
      <c r="M68" s="129">
        <v>51.315447154200001</v>
      </c>
      <c r="N68" s="129">
        <v>34.210298102800003</v>
      </c>
    </row>
    <row r="69" spans="7:14" ht="21">
      <c r="G69" s="197" t="s">
        <v>32</v>
      </c>
      <c r="H69" s="3">
        <v>59</v>
      </c>
      <c r="I69" s="6"/>
      <c r="J69" s="20"/>
      <c r="K69" s="28"/>
      <c r="L69" s="128">
        <v>85.525745256999997</v>
      </c>
      <c r="M69" s="129">
        <v>51.315447154200001</v>
      </c>
      <c r="N69" s="129">
        <v>34.210298102800003</v>
      </c>
    </row>
    <row r="70" spans="7:14" ht="21">
      <c r="G70" s="197"/>
      <c r="H70" s="3">
        <v>60</v>
      </c>
      <c r="I70" s="6"/>
      <c r="J70" s="20"/>
      <c r="K70" s="28"/>
      <c r="L70" s="128">
        <v>85.525745256999997</v>
      </c>
      <c r="M70" s="129">
        <v>51.315447154200001</v>
      </c>
      <c r="N70" s="129">
        <v>34.210298102800003</v>
      </c>
    </row>
    <row r="71" spans="7:14" ht="21">
      <c r="G71" s="197"/>
      <c r="H71" s="8" t="s">
        <v>26</v>
      </c>
      <c r="I71" s="138">
        <v>0.62512195120000003</v>
      </c>
      <c r="J71" s="26"/>
      <c r="L71" s="131">
        <v>2.4604878050000001</v>
      </c>
      <c r="M71" s="132">
        <v>1.230243902</v>
      </c>
      <c r="N71" s="132">
        <v>0.615121951</v>
      </c>
    </row>
    <row r="72" spans="7:14" ht="21">
      <c r="G72" s="197"/>
      <c r="H72" s="7" t="s">
        <v>27</v>
      </c>
      <c r="I72" s="138">
        <v>0.76365853650000004</v>
      </c>
      <c r="J72" s="27"/>
      <c r="L72" s="131">
        <v>3.0058536579999999</v>
      </c>
      <c r="M72" s="132">
        <v>1.502926829</v>
      </c>
      <c r="N72" s="132">
        <v>0.75146341500000002</v>
      </c>
    </row>
    <row r="73" spans="7:14" ht="21">
      <c r="H73" s="7" t="s">
        <v>28</v>
      </c>
      <c r="I73" s="138">
        <v>0.83884146339999999</v>
      </c>
      <c r="J73" s="27"/>
      <c r="L73" s="131">
        <v>3.3017886179999998</v>
      </c>
      <c r="M73" s="132">
        <v>1.6508943089999999</v>
      </c>
      <c r="N73" s="132">
        <v>0.82544715400000002</v>
      </c>
    </row>
    <row r="74" spans="7:14" ht="21">
      <c r="H74" s="7" t="s">
        <v>29</v>
      </c>
      <c r="I74" s="138">
        <v>0.90225609750000002</v>
      </c>
      <c r="J74" s="27"/>
      <c r="L74" s="131">
        <v>3.5512195119999999</v>
      </c>
      <c r="M74" s="132">
        <v>1.7756097559999999</v>
      </c>
      <c r="N74" s="132">
        <v>0.88780487799999996</v>
      </c>
    </row>
    <row r="75" spans="7:14">
      <c r="H75" s="7" t="s">
        <v>104</v>
      </c>
      <c r="I75" s="138">
        <v>7.8118466898000003</v>
      </c>
      <c r="J75" s="100"/>
      <c r="L75" s="131">
        <v>31.247386760000001</v>
      </c>
      <c r="M75" s="132">
        <v>15.623693380000001</v>
      </c>
      <c r="N75" s="132">
        <v>7.8118466900000003</v>
      </c>
    </row>
    <row r="76" spans="7:14">
      <c r="H76" s="101"/>
      <c r="I76" s="6"/>
      <c r="J76" s="102"/>
      <c r="K76" s="84"/>
      <c r="L76" s="124"/>
      <c r="M76" s="125"/>
      <c r="N76" s="125"/>
    </row>
    <row r="77" spans="7:14">
      <c r="H77" s="4"/>
      <c r="J77" s="4"/>
      <c r="K77" s="4"/>
    </row>
    <row r="78" spans="7:14">
      <c r="H78" s="4"/>
      <c r="J78" s="4"/>
      <c r="K78" s="4"/>
    </row>
    <row r="79" spans="7:14">
      <c r="H79" s="4"/>
      <c r="J79" s="4"/>
      <c r="K79" s="4"/>
    </row>
    <row r="80" spans="7:14">
      <c r="H80" s="4"/>
      <c r="J80" s="4"/>
      <c r="K80" s="4"/>
    </row>
    <row r="81" spans="8:11">
      <c r="H81" s="4"/>
      <c r="J81" s="4"/>
      <c r="K81" s="4"/>
    </row>
  </sheetData>
  <mergeCells count="16">
    <mergeCell ref="B2:B3"/>
    <mergeCell ref="G2:H2"/>
    <mergeCell ref="G4:G7"/>
    <mergeCell ref="D2:D3"/>
    <mergeCell ref="G69:G72"/>
    <mergeCell ref="G8:G14"/>
    <mergeCell ref="G15:G68"/>
    <mergeCell ref="C2:C3"/>
    <mergeCell ref="C44:D44"/>
    <mergeCell ref="C45:D45"/>
    <mergeCell ref="C47:D47"/>
    <mergeCell ref="C46:D46"/>
    <mergeCell ref="B43:D43"/>
    <mergeCell ref="C48:D48"/>
    <mergeCell ref="E2:E3"/>
    <mergeCell ref="C49:D49"/>
  </mergeCells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rightToLeft="1" workbookViewId="0">
      <selection activeCell="E9" sqref="E9"/>
    </sheetView>
  </sheetViews>
  <sheetFormatPr defaultRowHeight="15"/>
  <cols>
    <col min="1" max="1" width="35.7109375" customWidth="1"/>
    <col min="2" max="2" width="28.7109375" customWidth="1"/>
    <col min="3" max="3" width="10.7109375" bestFit="1" customWidth="1"/>
    <col min="4" max="4" width="11.85546875" customWidth="1"/>
    <col min="5" max="5" width="18.140625" customWidth="1"/>
    <col min="6" max="6" width="15.42578125" bestFit="1" customWidth="1"/>
    <col min="7" max="7" width="22.140625" bestFit="1" customWidth="1"/>
    <col min="8" max="8" width="15.7109375" bestFit="1" customWidth="1"/>
    <col min="9" max="9" width="16.7109375" bestFit="1" customWidth="1"/>
    <col min="10" max="10" width="15.85546875" bestFit="1" customWidth="1"/>
  </cols>
  <sheetData>
    <row r="1" spans="1:10" ht="13.5" customHeight="1">
      <c r="A1" s="87" t="s">
        <v>175</v>
      </c>
      <c r="B1" s="87" t="s">
        <v>106</v>
      </c>
      <c r="C1" s="87" t="s">
        <v>176</v>
      </c>
      <c r="D1" s="87" t="s">
        <v>177</v>
      </c>
      <c r="E1" s="87" t="s">
        <v>178</v>
      </c>
      <c r="F1" s="87" t="s">
        <v>179</v>
      </c>
    </row>
    <row r="2" spans="1:10">
      <c r="A2" s="87" t="s">
        <v>104</v>
      </c>
      <c r="B2" s="87" t="s">
        <v>136</v>
      </c>
      <c r="C2" s="87" t="s">
        <v>193</v>
      </c>
      <c r="D2" s="87">
        <v>0</v>
      </c>
      <c r="E2" s="87">
        <v>0</v>
      </c>
      <c r="F2" s="87">
        <v>0</v>
      </c>
    </row>
    <row r="3" spans="1:10">
      <c r="A3" s="87" t="s">
        <v>19</v>
      </c>
      <c r="B3" s="87" t="s">
        <v>151</v>
      </c>
      <c r="C3" s="87" t="s">
        <v>198</v>
      </c>
      <c r="D3" s="87">
        <v>0</v>
      </c>
      <c r="E3" s="87">
        <v>0</v>
      </c>
      <c r="F3" s="87">
        <v>0</v>
      </c>
    </row>
    <row r="4" spans="1:10">
      <c r="A4" s="87" t="s">
        <v>128</v>
      </c>
      <c r="B4" s="87" t="s">
        <v>134</v>
      </c>
      <c r="C4" s="87" t="s">
        <v>181</v>
      </c>
      <c r="D4" s="87">
        <v>30</v>
      </c>
      <c r="E4" s="87">
        <v>30</v>
      </c>
      <c r="F4" s="87">
        <v>30</v>
      </c>
    </row>
    <row r="5" spans="1:10">
      <c r="A5" s="87" t="s">
        <v>19</v>
      </c>
      <c r="B5" s="87" t="s">
        <v>133</v>
      </c>
      <c r="C5" s="87" t="s">
        <v>191</v>
      </c>
      <c r="D5" s="87">
        <v>0</v>
      </c>
      <c r="E5" s="87">
        <v>0</v>
      </c>
      <c r="F5" s="87">
        <v>0</v>
      </c>
    </row>
    <row r="6" spans="1:10">
      <c r="A6" s="87" t="s">
        <v>104</v>
      </c>
      <c r="B6" s="87" t="s">
        <v>144</v>
      </c>
      <c r="C6" s="87" t="s">
        <v>193</v>
      </c>
      <c r="D6" s="87">
        <v>0</v>
      </c>
      <c r="E6" s="87">
        <v>0</v>
      </c>
      <c r="F6" s="87">
        <v>0</v>
      </c>
    </row>
    <row r="7" spans="1:10">
      <c r="A7" s="87" t="s">
        <v>129</v>
      </c>
      <c r="B7" s="87" t="s">
        <v>152</v>
      </c>
      <c r="C7" s="87" t="s">
        <v>199</v>
      </c>
      <c r="D7" s="87">
        <v>0</v>
      </c>
      <c r="E7" s="87">
        <v>0</v>
      </c>
      <c r="F7" s="87">
        <v>0</v>
      </c>
    </row>
    <row r="8" spans="1:10">
      <c r="A8" s="87" t="s">
        <v>129</v>
      </c>
      <c r="B8" s="87" t="s">
        <v>114</v>
      </c>
      <c r="C8" s="87" t="s">
        <v>187</v>
      </c>
      <c r="D8" s="87">
        <v>0</v>
      </c>
      <c r="E8" s="87">
        <v>0</v>
      </c>
      <c r="F8" s="87">
        <v>0</v>
      </c>
    </row>
    <row r="9" spans="1:10">
      <c r="A9" s="87" t="s">
        <v>107</v>
      </c>
      <c r="B9" s="87" t="s">
        <v>109</v>
      </c>
      <c r="C9" s="87" t="s">
        <v>181</v>
      </c>
      <c r="D9" s="87">
        <v>20</v>
      </c>
      <c r="E9" s="87">
        <v>20</v>
      </c>
      <c r="F9" s="87">
        <v>0</v>
      </c>
    </row>
    <row r="10" spans="1:10">
      <c r="A10" s="87" t="s">
        <v>107</v>
      </c>
      <c r="B10" s="87" t="s">
        <v>135</v>
      </c>
      <c r="C10" s="87" t="s">
        <v>181</v>
      </c>
      <c r="D10" s="87">
        <v>35</v>
      </c>
      <c r="E10" s="87">
        <v>35</v>
      </c>
      <c r="F10" s="87">
        <v>30</v>
      </c>
    </row>
    <row r="11" spans="1:10">
      <c r="A11" s="87" t="s">
        <v>19</v>
      </c>
      <c r="B11" s="87" t="s">
        <v>108</v>
      </c>
      <c r="C11" s="87" t="s">
        <v>180</v>
      </c>
      <c r="D11" s="87">
        <v>0</v>
      </c>
      <c r="E11" s="87">
        <v>0</v>
      </c>
      <c r="F11" s="87">
        <v>0</v>
      </c>
    </row>
    <row r="12" spans="1:10">
      <c r="A12" s="87" t="s">
        <v>107</v>
      </c>
      <c r="B12" s="87" t="s">
        <v>115</v>
      </c>
      <c r="C12" s="87" t="s">
        <v>184</v>
      </c>
      <c r="D12" s="87">
        <v>0</v>
      </c>
      <c r="E12" s="87">
        <v>0</v>
      </c>
      <c r="F12" s="87">
        <v>0</v>
      </c>
    </row>
    <row r="13" spans="1:10">
      <c r="A13" s="87" t="s">
        <v>33</v>
      </c>
      <c r="B13" s="87" t="s">
        <v>120</v>
      </c>
      <c r="C13" s="87" t="s">
        <v>181</v>
      </c>
      <c r="D13" s="87">
        <v>-20</v>
      </c>
      <c r="E13" s="87">
        <v>-20</v>
      </c>
      <c r="F13" s="87">
        <v>0</v>
      </c>
    </row>
    <row r="14" spans="1:10">
      <c r="A14" s="87" t="s">
        <v>33</v>
      </c>
      <c r="B14" s="87" t="s">
        <v>121</v>
      </c>
      <c r="C14" s="87" t="s">
        <v>180</v>
      </c>
      <c r="D14" s="87">
        <v>-20</v>
      </c>
      <c r="E14" s="87">
        <v>-20</v>
      </c>
      <c r="F14" s="87">
        <v>0</v>
      </c>
    </row>
    <row r="15" spans="1:10">
      <c r="A15" s="87" t="s">
        <v>33</v>
      </c>
      <c r="B15" s="87" t="s">
        <v>149</v>
      </c>
      <c r="C15" s="87" t="s">
        <v>195</v>
      </c>
      <c r="D15" s="87">
        <v>-30</v>
      </c>
      <c r="E15" s="87">
        <v>-30</v>
      </c>
      <c r="F15" s="87">
        <v>0</v>
      </c>
    </row>
    <row r="16" spans="1:10" ht="21">
      <c r="A16" s="87" t="s">
        <v>129</v>
      </c>
      <c r="B16" s="104" t="s">
        <v>130</v>
      </c>
      <c r="C16" s="104" t="s">
        <v>187</v>
      </c>
      <c r="D16" s="104">
        <v>0</v>
      </c>
      <c r="E16" s="104">
        <v>0</v>
      </c>
      <c r="F16" s="104">
        <v>-50</v>
      </c>
      <c r="G16" s="107"/>
      <c r="H16" s="85"/>
      <c r="I16" s="82"/>
      <c r="J16" s="82"/>
    </row>
    <row r="17" spans="1:10" ht="18.75">
      <c r="A17" s="87" t="s">
        <v>107</v>
      </c>
      <c r="B17" s="104" t="s">
        <v>203</v>
      </c>
      <c r="C17" s="104" t="s">
        <v>184</v>
      </c>
      <c r="D17" s="104">
        <v>0</v>
      </c>
      <c r="E17" s="104">
        <v>0</v>
      </c>
      <c r="F17" s="104">
        <v>-50</v>
      </c>
      <c r="G17" s="104"/>
      <c r="H17" s="85"/>
      <c r="I17" s="82"/>
      <c r="J17" s="82"/>
    </row>
    <row r="18" spans="1:10" ht="18.75">
      <c r="A18" s="87" t="s">
        <v>33</v>
      </c>
      <c r="B18" s="104" t="s">
        <v>118</v>
      </c>
      <c r="C18" s="104" t="s">
        <v>185</v>
      </c>
      <c r="D18" s="104">
        <v>-0.17399999999999999</v>
      </c>
      <c r="E18" s="104">
        <v>-0.17399999999999999</v>
      </c>
      <c r="F18" s="104">
        <v>0</v>
      </c>
      <c r="G18" s="104">
        <v>3.7370288249999999</v>
      </c>
      <c r="H18" s="85">
        <v>18.144986450000001</v>
      </c>
      <c r="I18" s="82">
        <v>10.886991869699999</v>
      </c>
      <c r="J18" s="82">
        <v>7.2579945798000001</v>
      </c>
    </row>
    <row r="19" spans="1:10" ht="18.75">
      <c r="A19" s="105" t="s">
        <v>33</v>
      </c>
      <c r="B19" s="104" t="s">
        <v>123</v>
      </c>
      <c r="C19" s="104" t="s">
        <v>185</v>
      </c>
      <c r="D19" s="104">
        <v>0</v>
      </c>
      <c r="E19" s="104">
        <v>0</v>
      </c>
      <c r="F19" s="104">
        <v>0</v>
      </c>
      <c r="G19" s="104">
        <v>3.7370288249999999</v>
      </c>
      <c r="H19" s="85">
        <v>18.144986450000001</v>
      </c>
      <c r="I19" s="82">
        <v>10.886991869699999</v>
      </c>
      <c r="J19" s="82">
        <v>7.2579945798000001</v>
      </c>
    </row>
    <row r="20" spans="1:10">
      <c r="A20" s="87" t="s">
        <v>19</v>
      </c>
      <c r="B20" s="87" t="s">
        <v>125</v>
      </c>
      <c r="C20" s="87" t="s">
        <v>183</v>
      </c>
      <c r="D20" s="87">
        <v>50</v>
      </c>
      <c r="E20" s="87">
        <v>50</v>
      </c>
      <c r="F20" s="87">
        <v>50</v>
      </c>
    </row>
    <row r="21" spans="1:10">
      <c r="A21" s="87" t="s">
        <v>19</v>
      </c>
      <c r="B21" s="87" t="s">
        <v>127</v>
      </c>
      <c r="C21" s="87" t="s">
        <v>183</v>
      </c>
      <c r="D21" s="87">
        <v>25</v>
      </c>
      <c r="E21" s="87">
        <v>25</v>
      </c>
      <c r="F21" s="87">
        <v>25</v>
      </c>
    </row>
    <row r="22" spans="1:10" ht="18.75">
      <c r="A22" s="87" t="s">
        <v>19</v>
      </c>
      <c r="B22" s="87" t="s">
        <v>124</v>
      </c>
      <c r="C22" s="87" t="s">
        <v>183</v>
      </c>
      <c r="D22" s="87">
        <v>50</v>
      </c>
      <c r="E22" s="87">
        <v>50</v>
      </c>
      <c r="F22" s="87">
        <v>50</v>
      </c>
      <c r="G22" s="84"/>
      <c r="H22" s="85"/>
      <c r="I22" s="82"/>
      <c r="J22" s="82"/>
    </row>
    <row r="23" spans="1:10" ht="18.75">
      <c r="A23" s="87" t="s">
        <v>19</v>
      </c>
      <c r="B23" s="87" t="s">
        <v>126</v>
      </c>
      <c r="C23" s="87" t="s">
        <v>183</v>
      </c>
      <c r="D23" s="87">
        <v>50</v>
      </c>
      <c r="E23" s="87">
        <v>50</v>
      </c>
      <c r="F23" s="87">
        <v>50</v>
      </c>
      <c r="G23" s="84"/>
      <c r="H23" s="85"/>
      <c r="I23" s="82"/>
      <c r="J23" s="82"/>
    </row>
    <row r="24" spans="1:10" ht="18.75">
      <c r="A24" s="87" t="s">
        <v>33</v>
      </c>
      <c r="B24" s="87" t="s">
        <v>122</v>
      </c>
      <c r="C24" s="87" t="s">
        <v>186</v>
      </c>
      <c r="D24" s="87">
        <v>-50</v>
      </c>
      <c r="E24" s="87">
        <v>0</v>
      </c>
      <c r="F24" s="87">
        <v>-50</v>
      </c>
      <c r="G24" s="84"/>
      <c r="H24" s="85"/>
      <c r="I24" s="82"/>
      <c r="J24" s="82"/>
    </row>
    <row r="25" spans="1:10" ht="18.75">
      <c r="A25" s="87" t="s">
        <v>19</v>
      </c>
      <c r="B25" s="87" t="s">
        <v>150</v>
      </c>
      <c r="C25" s="87" t="s">
        <v>196</v>
      </c>
      <c r="D25" s="87">
        <v>0</v>
      </c>
      <c r="E25" s="87">
        <v>0</v>
      </c>
      <c r="F25" s="87">
        <v>0</v>
      </c>
      <c r="G25" s="84"/>
      <c r="H25" s="85"/>
      <c r="I25" s="82"/>
      <c r="J25" s="82"/>
    </row>
    <row r="26" spans="1:10">
      <c r="A26" s="87" t="s">
        <v>19</v>
      </c>
      <c r="B26" s="87" t="s">
        <v>116</v>
      </c>
      <c r="C26" s="87" t="s">
        <v>181</v>
      </c>
      <c r="D26" s="87">
        <v>0</v>
      </c>
      <c r="E26" s="87">
        <v>0</v>
      </c>
      <c r="F26" s="87">
        <v>0</v>
      </c>
    </row>
    <row r="27" spans="1:10">
      <c r="A27" s="87" t="s">
        <v>19</v>
      </c>
      <c r="B27" s="87" t="s">
        <v>131</v>
      </c>
      <c r="C27" s="87" t="s">
        <v>189</v>
      </c>
      <c r="D27" s="87">
        <v>50</v>
      </c>
      <c r="E27" s="87">
        <v>50</v>
      </c>
      <c r="F27" s="87">
        <v>50</v>
      </c>
    </row>
    <row r="28" spans="1:10">
      <c r="A28" s="87" t="s">
        <v>19</v>
      </c>
      <c r="B28" s="87" t="s">
        <v>132</v>
      </c>
      <c r="C28" s="87" t="s">
        <v>190</v>
      </c>
      <c r="D28" s="87">
        <v>0</v>
      </c>
      <c r="E28" s="87">
        <v>0</v>
      </c>
      <c r="F28" s="87">
        <v>0</v>
      </c>
    </row>
    <row r="29" spans="1:10">
      <c r="A29" s="87" t="s">
        <v>107</v>
      </c>
      <c r="B29" s="87" t="s">
        <v>112</v>
      </c>
      <c r="C29" s="87" t="s">
        <v>183</v>
      </c>
      <c r="D29" s="87">
        <v>15</v>
      </c>
      <c r="E29" s="87">
        <v>15</v>
      </c>
      <c r="F29" s="87">
        <v>15</v>
      </c>
    </row>
    <row r="30" spans="1:10">
      <c r="A30" s="87" t="s">
        <v>104</v>
      </c>
      <c r="B30" s="87" t="s">
        <v>146</v>
      </c>
      <c r="C30" s="87" t="s">
        <v>193</v>
      </c>
      <c r="D30" s="87">
        <v>0</v>
      </c>
      <c r="E30" s="87">
        <v>0</v>
      </c>
      <c r="F30" s="87">
        <v>0</v>
      </c>
    </row>
    <row r="31" spans="1:10">
      <c r="A31" s="87" t="s">
        <v>19</v>
      </c>
      <c r="B31" s="87" t="s">
        <v>140</v>
      </c>
      <c r="C31" s="87" t="s">
        <v>197</v>
      </c>
      <c r="D31" s="87">
        <v>0</v>
      </c>
      <c r="E31" s="87">
        <v>0</v>
      </c>
      <c r="F31" s="87">
        <v>0</v>
      </c>
    </row>
    <row r="32" spans="1:10">
      <c r="A32" s="87" t="s">
        <v>104</v>
      </c>
      <c r="B32" s="87" t="s">
        <v>143</v>
      </c>
      <c r="C32" s="87" t="s">
        <v>194</v>
      </c>
      <c r="D32" s="87">
        <v>0</v>
      </c>
      <c r="E32" s="87">
        <v>0</v>
      </c>
      <c r="F32" s="87">
        <v>0</v>
      </c>
    </row>
    <row r="33" spans="1:6">
      <c r="A33" s="87" t="s">
        <v>104</v>
      </c>
      <c r="B33" s="87" t="s">
        <v>142</v>
      </c>
      <c r="C33" s="87" t="s">
        <v>193</v>
      </c>
      <c r="D33" s="87">
        <v>0</v>
      </c>
      <c r="E33" s="87">
        <v>0</v>
      </c>
      <c r="F33" s="87">
        <v>0</v>
      </c>
    </row>
    <row r="34" spans="1:6">
      <c r="A34" s="87" t="s">
        <v>104</v>
      </c>
      <c r="B34" s="87" t="s">
        <v>148</v>
      </c>
      <c r="C34" s="87" t="s">
        <v>193</v>
      </c>
      <c r="D34" s="87">
        <v>0</v>
      </c>
      <c r="E34" s="87">
        <v>0</v>
      </c>
      <c r="F34" s="87">
        <v>0</v>
      </c>
    </row>
    <row r="35" spans="1:6">
      <c r="A35" s="87" t="s">
        <v>19</v>
      </c>
      <c r="B35" s="87" t="s">
        <v>137</v>
      </c>
      <c r="C35" s="87" t="s">
        <v>192</v>
      </c>
      <c r="D35" s="87">
        <v>15</v>
      </c>
      <c r="E35" s="87">
        <v>15</v>
      </c>
      <c r="F35" s="87">
        <v>0</v>
      </c>
    </row>
    <row r="36" spans="1:6">
      <c r="A36" s="87" t="s">
        <v>104</v>
      </c>
      <c r="B36" s="87" t="s">
        <v>147</v>
      </c>
      <c r="C36" s="87" t="s">
        <v>193</v>
      </c>
      <c r="D36" s="87">
        <v>0</v>
      </c>
      <c r="E36" s="87">
        <v>0</v>
      </c>
      <c r="F36" s="87">
        <v>0</v>
      </c>
    </row>
    <row r="37" spans="1:6">
      <c r="A37" s="87" t="s">
        <v>104</v>
      </c>
      <c r="B37" s="87" t="s">
        <v>141</v>
      </c>
      <c r="C37" s="87" t="s">
        <v>193</v>
      </c>
      <c r="D37" s="87">
        <v>0</v>
      </c>
      <c r="E37" s="87">
        <v>0</v>
      </c>
      <c r="F37" s="87">
        <v>0</v>
      </c>
    </row>
    <row r="38" spans="1:6">
      <c r="A38" s="87" t="s">
        <v>107</v>
      </c>
      <c r="B38" s="87" t="s">
        <v>110</v>
      </c>
      <c r="C38" s="87" t="s">
        <v>182</v>
      </c>
      <c r="D38" s="87">
        <v>0</v>
      </c>
      <c r="E38" s="87">
        <v>0</v>
      </c>
      <c r="F38" s="87">
        <v>0</v>
      </c>
    </row>
    <row r="39" spans="1:6">
      <c r="A39" s="87" t="s">
        <v>19</v>
      </c>
      <c r="B39" s="87" t="s">
        <v>139</v>
      </c>
      <c r="C39" s="87" t="s">
        <v>190</v>
      </c>
      <c r="D39" s="87">
        <v>15</v>
      </c>
      <c r="E39" s="87">
        <v>15</v>
      </c>
      <c r="F39" s="87">
        <v>15</v>
      </c>
    </row>
    <row r="40" spans="1:6">
      <c r="A40" s="87" t="s">
        <v>104</v>
      </c>
      <c r="B40" s="87" t="s">
        <v>145</v>
      </c>
      <c r="C40" s="87" t="s">
        <v>193</v>
      </c>
      <c r="D40" s="87">
        <v>0</v>
      </c>
      <c r="E40" s="87">
        <v>0</v>
      </c>
      <c r="F40" s="87">
        <v>0</v>
      </c>
    </row>
    <row r="41" spans="1:6">
      <c r="A41" s="87" t="s">
        <v>104</v>
      </c>
      <c r="B41" s="87" t="s">
        <v>138</v>
      </c>
      <c r="C41" s="87" t="s">
        <v>193</v>
      </c>
      <c r="D41" s="87">
        <v>0</v>
      </c>
      <c r="E41" s="87">
        <v>0</v>
      </c>
      <c r="F41" s="87">
        <v>0</v>
      </c>
    </row>
    <row r="42" spans="1:6">
      <c r="A42" s="87" t="s">
        <v>107</v>
      </c>
      <c r="B42" s="87" t="s">
        <v>119</v>
      </c>
      <c r="C42" s="87" t="s">
        <v>181</v>
      </c>
      <c r="D42" s="87">
        <v>0</v>
      </c>
      <c r="E42" s="87">
        <v>0</v>
      </c>
      <c r="F42" s="87">
        <v>0</v>
      </c>
    </row>
    <row r="43" spans="1:6">
      <c r="A43" s="87" t="s">
        <v>107</v>
      </c>
      <c r="B43" s="87" t="s">
        <v>111</v>
      </c>
      <c r="C43" s="87" t="s">
        <v>180</v>
      </c>
      <c r="D43" s="87">
        <v>20</v>
      </c>
      <c r="E43" s="87">
        <v>20</v>
      </c>
      <c r="F43" s="87">
        <v>0</v>
      </c>
    </row>
    <row r="44" spans="1:6" ht="14.25" customHeight="1">
      <c r="A44" s="87" t="s">
        <v>107</v>
      </c>
      <c r="B44" s="87" t="s">
        <v>117</v>
      </c>
      <c r="C44" s="87" t="s">
        <v>181</v>
      </c>
      <c r="D44" s="87">
        <v>0</v>
      </c>
      <c r="E44" s="87">
        <v>0</v>
      </c>
      <c r="F44" s="87">
        <v>0</v>
      </c>
    </row>
    <row r="45" spans="1:6">
      <c r="A45" s="87" t="s">
        <v>107</v>
      </c>
      <c r="B45" s="87" t="s">
        <v>113</v>
      </c>
      <c r="C45" s="87" t="s">
        <v>184</v>
      </c>
      <c r="D45" s="87">
        <v>0</v>
      </c>
      <c r="E45" s="87">
        <v>0</v>
      </c>
      <c r="F45" s="87">
        <v>0</v>
      </c>
    </row>
    <row r="46" spans="1:6">
      <c r="A46" s="105" t="s">
        <v>33</v>
      </c>
      <c r="B46" s="105" t="s">
        <v>220</v>
      </c>
      <c r="C46" s="115" t="s">
        <v>181</v>
      </c>
      <c r="D46" s="115">
        <v>0</v>
      </c>
      <c r="E46" s="115">
        <v>0</v>
      </c>
      <c r="F46" s="115">
        <v>0</v>
      </c>
    </row>
    <row r="47" spans="1:6">
      <c r="A47" s="105" t="s">
        <v>19</v>
      </c>
      <c r="B47" s="105" t="s">
        <v>19</v>
      </c>
      <c r="C47" s="115" t="s">
        <v>222</v>
      </c>
      <c r="D47" s="115">
        <v>0</v>
      </c>
      <c r="E47" s="115">
        <v>0</v>
      </c>
      <c r="F47" s="115">
        <v>0</v>
      </c>
    </row>
    <row r="48" spans="1:6">
      <c r="A48" s="117" t="s">
        <v>223</v>
      </c>
      <c r="B48" s="105" t="s">
        <v>225</v>
      </c>
      <c r="C48" s="115" t="s">
        <v>224</v>
      </c>
      <c r="D48" s="115">
        <v>0</v>
      </c>
      <c r="E48" s="115">
        <v>0</v>
      </c>
      <c r="F48" s="115">
        <v>0</v>
      </c>
    </row>
    <row r="49" spans="1:6">
      <c r="A49" s="105" t="s">
        <v>129</v>
      </c>
      <c r="B49" s="121" t="s">
        <v>226</v>
      </c>
      <c r="C49" s="122" t="s">
        <v>188</v>
      </c>
      <c r="D49" s="122">
        <v>0</v>
      </c>
      <c r="E49" s="122">
        <v>0</v>
      </c>
      <c r="F49" s="122">
        <v>-50</v>
      </c>
    </row>
  </sheetData>
  <sortState xmlns:xlrd2="http://schemas.microsoft.com/office/spreadsheetml/2017/richdata2" ref="A2:F105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:O19"/>
  <sheetViews>
    <sheetView rightToLeft="1" workbookViewId="0">
      <selection activeCell="O19" sqref="O19"/>
    </sheetView>
  </sheetViews>
  <sheetFormatPr defaultRowHeight="15"/>
  <cols>
    <col min="7" max="7" width="9.140625" style="116"/>
  </cols>
  <sheetData>
    <row r="1" spans="7:14">
      <c r="G1" s="116">
        <v>1</v>
      </c>
      <c r="N1">
        <v>1</v>
      </c>
    </row>
    <row r="2" spans="7:14">
      <c r="G2" s="116">
        <v>9.9000000000000005E-2</v>
      </c>
      <c r="N2">
        <v>9.9000000000000005E-2</v>
      </c>
    </row>
    <row r="3" spans="7:14">
      <c r="G3" s="116">
        <v>1</v>
      </c>
      <c r="N3">
        <v>1</v>
      </c>
    </row>
    <row r="4" spans="7:14">
      <c r="G4" s="116">
        <v>0.26600000000000001</v>
      </c>
      <c r="N4">
        <v>0.26600000000000001</v>
      </c>
    </row>
    <row r="5" spans="7:14">
      <c r="G5" s="116">
        <v>1</v>
      </c>
      <c r="N5">
        <v>1</v>
      </c>
    </row>
    <row r="6" spans="7:14">
      <c r="G6" s="116">
        <v>0.1</v>
      </c>
      <c r="N6">
        <v>10</v>
      </c>
    </row>
    <row r="7" spans="7:14">
      <c r="G7" s="116">
        <v>1</v>
      </c>
      <c r="N7">
        <v>1</v>
      </c>
    </row>
    <row r="8" spans="7:14">
      <c r="G8" s="116">
        <v>0.3</v>
      </c>
      <c r="N8">
        <v>0.3</v>
      </c>
    </row>
    <row r="9" spans="7:14">
      <c r="G9" s="116">
        <v>0.2</v>
      </c>
      <c r="N9">
        <v>1.5</v>
      </c>
    </row>
    <row r="10" spans="7:14">
      <c r="G10" s="116">
        <v>0.3</v>
      </c>
      <c r="N10">
        <v>0.3</v>
      </c>
    </row>
    <row r="11" spans="7:14">
      <c r="G11" s="116">
        <v>8</v>
      </c>
      <c r="N11">
        <v>8</v>
      </c>
    </row>
    <row r="12" spans="7:14">
      <c r="G12" s="116">
        <v>0.3</v>
      </c>
      <c r="N12">
        <v>0.3</v>
      </c>
    </row>
    <row r="13" spans="7:14">
      <c r="G13" s="116">
        <v>2</v>
      </c>
      <c r="N13">
        <v>2</v>
      </c>
    </row>
    <row r="14" spans="7:14">
      <c r="G14" s="116">
        <v>5</v>
      </c>
      <c r="N14">
        <v>5</v>
      </c>
    </row>
    <row r="15" spans="7:14">
      <c r="G15" s="116">
        <v>0.3</v>
      </c>
      <c r="N15">
        <v>0.3</v>
      </c>
    </row>
    <row r="16" spans="7:14">
      <c r="G16" s="116">
        <f>SUM(G1:G15)</f>
        <v>20.865000000000002</v>
      </c>
      <c r="N16">
        <f>SUM(N1:N15)</f>
        <v>32.064999999999998</v>
      </c>
    </row>
    <row r="18" spans="12:15">
      <c r="O18">
        <f>N16*O19</f>
        <v>349187.85</v>
      </c>
    </row>
    <row r="19" spans="12:15">
      <c r="L19">
        <v>33</v>
      </c>
      <c r="O19">
        <f>L19*330</f>
        <v>10890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F24"/>
  <sheetViews>
    <sheetView rightToLeft="1" workbookViewId="0">
      <selection activeCell="D10" sqref="D10"/>
    </sheetView>
  </sheetViews>
  <sheetFormatPr defaultRowHeight="15"/>
  <cols>
    <col min="3" max="3" width="54.7109375" bestFit="1" customWidth="1"/>
    <col min="4" max="4" width="19.7109375" bestFit="1" customWidth="1"/>
    <col min="5" max="5" width="30.5703125" bestFit="1" customWidth="1"/>
    <col min="6" max="6" width="23.5703125" bestFit="1" customWidth="1"/>
  </cols>
  <sheetData>
    <row r="2" spans="3:6">
      <c r="C2" t="s">
        <v>227</v>
      </c>
      <c r="D2" t="s">
        <v>228</v>
      </c>
      <c r="E2" t="s">
        <v>229</v>
      </c>
      <c r="F2" t="s">
        <v>230</v>
      </c>
    </row>
    <row r="3" spans="3:6">
      <c r="C3" t="s">
        <v>231</v>
      </c>
      <c r="D3">
        <v>9.9095934959999994</v>
      </c>
      <c r="E3">
        <v>4.9547967479999997</v>
      </c>
      <c r="F3">
        <v>2.4773983739999998</v>
      </c>
    </row>
    <row r="4" spans="3:6">
      <c r="C4" t="s">
        <v>232</v>
      </c>
      <c r="D4">
        <v>11.73593496</v>
      </c>
      <c r="E4">
        <v>5.8679674799999999</v>
      </c>
      <c r="F4">
        <v>2.93398374</v>
      </c>
    </row>
    <row r="5" spans="3:6">
      <c r="C5" t="s">
        <v>233</v>
      </c>
      <c r="D5">
        <v>13.79479675</v>
      </c>
      <c r="E5">
        <v>6.8973983739999998</v>
      </c>
      <c r="F5">
        <v>3.4486991869999999</v>
      </c>
    </row>
    <row r="6" spans="3:6">
      <c r="C6" t="s">
        <v>234</v>
      </c>
      <c r="D6">
        <v>15.439349590000001</v>
      </c>
      <c r="E6">
        <v>7.7196747969999997</v>
      </c>
      <c r="F6">
        <v>3.8598373979999998</v>
      </c>
    </row>
    <row r="7" spans="3:6">
      <c r="C7" t="s">
        <v>20</v>
      </c>
      <c r="D7">
        <v>12.14178862</v>
      </c>
      <c r="E7">
        <v>6.0708943089999998</v>
      </c>
      <c r="F7">
        <v>3.0354471539999999</v>
      </c>
    </row>
    <row r="8" spans="3:6">
      <c r="C8" t="s">
        <v>235</v>
      </c>
      <c r="D8">
        <v>14.619186989999999</v>
      </c>
      <c r="E8">
        <v>7.3095934959999997</v>
      </c>
      <c r="F8">
        <v>3.6547967479999999</v>
      </c>
    </row>
    <row r="9" spans="3:6">
      <c r="C9" t="s">
        <v>236</v>
      </c>
      <c r="D9">
        <v>18.504390239999999</v>
      </c>
      <c r="E9">
        <v>9.2521951219999998</v>
      </c>
      <c r="F9">
        <v>4.6260975609999999</v>
      </c>
    </row>
    <row r="10" spans="3:6">
      <c r="C10" t="s">
        <v>237</v>
      </c>
      <c r="D10">
        <v>23.708617889999999</v>
      </c>
      <c r="E10">
        <v>11.854308939999999</v>
      </c>
      <c r="F10">
        <v>5.9271544719999998</v>
      </c>
    </row>
    <row r="11" spans="3:6">
      <c r="C11" t="s">
        <v>238</v>
      </c>
      <c r="D11">
        <v>27.589593499999999</v>
      </c>
      <c r="E11">
        <v>13.79479675</v>
      </c>
      <c r="F11">
        <v>6.8973983739999998</v>
      </c>
    </row>
    <row r="12" spans="3:6">
      <c r="C12" t="s">
        <v>239</v>
      </c>
      <c r="D12">
        <v>29.238373979999999</v>
      </c>
      <c r="E12">
        <v>14.619186989999999</v>
      </c>
      <c r="F12">
        <v>7.3095934959999997</v>
      </c>
    </row>
    <row r="13" spans="3:6">
      <c r="C13" t="s">
        <v>123</v>
      </c>
      <c r="D13">
        <v>11.812032520000001</v>
      </c>
      <c r="E13">
        <v>5.9060162600000004</v>
      </c>
      <c r="F13">
        <v>2.9530081300000002</v>
      </c>
    </row>
    <row r="14" spans="3:6">
      <c r="C14" t="s">
        <v>240</v>
      </c>
      <c r="D14">
        <v>2.4604878050000001</v>
      </c>
      <c r="E14">
        <v>1.230243902</v>
      </c>
      <c r="F14">
        <v>0.615121951</v>
      </c>
    </row>
    <row r="15" spans="3:6">
      <c r="C15" t="s">
        <v>241</v>
      </c>
      <c r="D15">
        <v>3.5512195119999999</v>
      </c>
      <c r="E15">
        <v>1.7756097559999999</v>
      </c>
      <c r="F15">
        <v>0.88780487799999996</v>
      </c>
    </row>
    <row r="16" spans="3:6">
      <c r="C16" t="s">
        <v>242</v>
      </c>
      <c r="D16">
        <v>3.0058536579999999</v>
      </c>
      <c r="E16">
        <v>1.502926829</v>
      </c>
      <c r="F16">
        <v>0.75146341500000002</v>
      </c>
    </row>
    <row r="17" spans="3:6">
      <c r="C17" t="s">
        <v>243</v>
      </c>
      <c r="D17">
        <v>3.3017886179999998</v>
      </c>
      <c r="E17">
        <v>1.6508943089999999</v>
      </c>
      <c r="F17">
        <v>0.82544715400000002</v>
      </c>
    </row>
    <row r="18" spans="3:6">
      <c r="C18" t="s">
        <v>205</v>
      </c>
      <c r="D18">
        <v>31.247386760000001</v>
      </c>
      <c r="E18">
        <v>15.623693380000001</v>
      </c>
      <c r="F18">
        <v>7.8118466900000003</v>
      </c>
    </row>
    <row r="19" spans="3:6">
      <c r="C19" t="s">
        <v>244</v>
      </c>
      <c r="D19">
        <v>28.418211379999999</v>
      </c>
      <c r="E19">
        <v>14.209105689999999</v>
      </c>
      <c r="F19">
        <v>7.1045528459999998</v>
      </c>
    </row>
    <row r="20" spans="3:6">
      <c r="C20" t="s">
        <v>245</v>
      </c>
      <c r="D20">
        <v>36.349268289999998</v>
      </c>
      <c r="E20">
        <v>18.174634149999999</v>
      </c>
      <c r="F20">
        <v>9.0873170729999995</v>
      </c>
    </row>
    <row r="21" spans="3:6">
      <c r="C21" t="s">
        <v>246</v>
      </c>
      <c r="D21">
        <v>55.673821140000001</v>
      </c>
      <c r="E21">
        <v>27.836910570000001</v>
      </c>
      <c r="F21">
        <v>13.91845528</v>
      </c>
    </row>
    <row r="22" spans="3:6">
      <c r="C22" t="s">
        <v>247</v>
      </c>
      <c r="D22">
        <v>4.1079674800000001</v>
      </c>
      <c r="E22">
        <v>2.0539837400000001</v>
      </c>
      <c r="F22">
        <v>1.02699187</v>
      </c>
    </row>
    <row r="23" spans="3:6">
      <c r="C23" t="s">
        <v>248</v>
      </c>
      <c r="D23">
        <v>7.2673170730000001</v>
      </c>
      <c r="E23">
        <v>3.633658536</v>
      </c>
      <c r="F23">
        <v>1.816829268</v>
      </c>
    </row>
    <row r="24" spans="3:6">
      <c r="C24" t="s">
        <v>249</v>
      </c>
      <c r="D24">
        <v>7.2673170730000001</v>
      </c>
      <c r="E24">
        <v>3.633658536</v>
      </c>
      <c r="F24">
        <v>1.816829268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ثالث</vt:lpstr>
      <vt:lpstr>نرخ پایه</vt:lpstr>
      <vt:lpstr>Sheet1</vt:lpstr>
      <vt:lpstr>Sheet2</vt:lpstr>
      <vt:lpstr>مازاد</vt:lpstr>
      <vt:lpstr>daita4</vt:lpstr>
      <vt:lpstr>DATA01</vt:lpstr>
      <vt:lpstr>DATA02</vt:lpstr>
      <vt:lpstr>DATA03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مجتبی قاسمیان</dc:creator>
  <cp:lastModifiedBy>Hadiseh nateghi</cp:lastModifiedBy>
  <cp:lastPrinted>2013-04-20T06:08:36Z</cp:lastPrinted>
  <dcterms:created xsi:type="dcterms:W3CDTF">2013-03-13T09:42:03Z</dcterms:created>
  <dcterms:modified xsi:type="dcterms:W3CDTF">2025-01-21T11:48:05Z</dcterms:modified>
</cp:coreProperties>
</file>