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n\Documents\UAV\"/>
    </mc:Choice>
  </mc:AlternateContent>
  <xr:revisionPtr revIDLastSave="0" documentId="8_{02510F8C-ABC6-4829-BBA9-57F39E3DD370}" xr6:coauthVersionLast="47" xr6:coauthVersionMax="47" xr10:uidLastSave="{00000000-0000-0000-0000-000000000000}"/>
  <bookViews>
    <workbookView xWindow="-19180" yWindow="110" windowWidth="19180" windowHeight="10060" activeTab="2" xr2:uid="{48E7F2E8-0598-4845-A540-FEB671DEC293}"/>
  </bookViews>
  <sheets>
    <sheet name="CFAR (2)" sheetId="11" r:id="rId1"/>
    <sheet name="radarcube" sheetId="2" r:id="rId2"/>
    <sheet name="Chirp" sheetId="3" r:id="rId3"/>
    <sheet name="Antennas" sheetId="9" r:id="rId4"/>
    <sheet name="CFAR" sheetId="6" r:id="rId5"/>
    <sheet name="Sheet2" sheetId="5" r:id="rId6"/>
    <sheet name="Sheet4" sheetId="7" r:id="rId7"/>
    <sheet name="EDMA" sheetId="8" r:id="rId8"/>
    <sheet name="BitWidth" sheetId="12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3" l="1"/>
  <c r="E9" i="3"/>
  <c r="F17" i="9" l="1"/>
  <c r="F16" i="9"/>
  <c r="C22" i="3" l="1"/>
  <c r="C37" i="3"/>
  <c r="C36" i="3"/>
  <c r="C35" i="3"/>
  <c r="C20" i="6"/>
  <c r="C13" i="6"/>
  <c r="C12" i="6"/>
  <c r="C36" i="11"/>
  <c r="C38" i="11" s="1"/>
  <c r="D38" i="11" s="1"/>
  <c r="C35" i="11"/>
  <c r="C39" i="11" s="1"/>
  <c r="D39" i="11" s="1"/>
  <c r="C33" i="11"/>
  <c r="C30" i="11"/>
  <c r="C25" i="11"/>
  <c r="C24" i="11"/>
  <c r="D13" i="11"/>
  <c r="D14" i="11" s="1"/>
  <c r="C13" i="11"/>
  <c r="C14" i="11" s="1"/>
  <c r="D12" i="11"/>
  <c r="C12" i="11"/>
  <c r="D10" i="11"/>
  <c r="C10" i="11"/>
  <c r="C18" i="11" s="1"/>
  <c r="D8" i="11"/>
  <c r="C8" i="11"/>
  <c r="D5" i="11"/>
  <c r="C5" i="11"/>
  <c r="D10" i="6"/>
  <c r="D16" i="6" s="1"/>
  <c r="D8" i="6"/>
  <c r="D15" i="6" s="1"/>
  <c r="D5" i="6"/>
  <c r="C10" i="6"/>
  <c r="C16" i="6" s="1"/>
  <c r="C8" i="6"/>
  <c r="C15" i="6" s="1"/>
  <c r="C5" i="6"/>
  <c r="F13" i="8"/>
  <c r="J8" i="9"/>
  <c r="H10" i="9"/>
  <c r="H9" i="9"/>
  <c r="H8" i="9"/>
  <c r="H7" i="9"/>
  <c r="G10" i="9"/>
  <c r="G9" i="9"/>
  <c r="G8" i="9"/>
  <c r="G7" i="9"/>
  <c r="G2" i="9"/>
  <c r="G3" i="9" s="1"/>
  <c r="F10" i="9" s="1"/>
  <c r="G1" i="9"/>
  <c r="C30" i="3"/>
  <c r="C29" i="3"/>
  <c r="B6" i="9"/>
  <c r="B3" i="9"/>
  <c r="C11" i="3"/>
  <c r="E16" i="8"/>
  <c r="E15" i="8"/>
  <c r="E14" i="8"/>
  <c r="D16" i="8"/>
  <c r="D14" i="8"/>
  <c r="D13" i="8"/>
  <c r="C14" i="8"/>
  <c r="C15" i="8"/>
  <c r="C13" i="8"/>
  <c r="B19" i="8"/>
  <c r="B18" i="8"/>
  <c r="B17" i="8"/>
  <c r="B14" i="8"/>
  <c r="B16" i="8"/>
  <c r="B13" i="8"/>
  <c r="C37" i="7"/>
  <c r="D37" i="7"/>
  <c r="E37" i="7"/>
  <c r="F37" i="7"/>
  <c r="G37" i="7" s="1"/>
  <c r="H37" i="7" s="1"/>
  <c r="E6" i="7"/>
  <c r="G19" i="7"/>
  <c r="G18" i="7"/>
  <c r="H18" i="7" s="1"/>
  <c r="G17" i="7"/>
  <c r="G16" i="7"/>
  <c r="G15" i="7"/>
  <c r="G14" i="7"/>
  <c r="G13" i="7"/>
  <c r="G12" i="7"/>
  <c r="G11" i="7"/>
  <c r="G10" i="7"/>
  <c r="G9" i="7"/>
  <c r="G8" i="7"/>
  <c r="G7" i="7"/>
  <c r="G6" i="7"/>
  <c r="D26" i="7"/>
  <c r="E26" i="7" s="1"/>
  <c r="D21" i="7"/>
  <c r="E21" i="7" s="1"/>
  <c r="D19" i="7"/>
  <c r="D18" i="7"/>
  <c r="D17" i="7"/>
  <c r="E17" i="7" s="1"/>
  <c r="D16" i="7"/>
  <c r="D15" i="7"/>
  <c r="D14" i="7"/>
  <c r="E14" i="7" s="1"/>
  <c r="D13" i="7"/>
  <c r="D12" i="7"/>
  <c r="D11" i="7"/>
  <c r="D10" i="7"/>
  <c r="E10" i="7" s="1"/>
  <c r="D9" i="7"/>
  <c r="E9" i="7" s="1"/>
  <c r="D8" i="7"/>
  <c r="D7" i="7"/>
  <c r="D6" i="7"/>
  <c r="F36" i="7"/>
  <c r="G36" i="7" s="1"/>
  <c r="H36" i="7" s="1"/>
  <c r="F35" i="7"/>
  <c r="G35" i="7" s="1"/>
  <c r="H35" i="7" s="1"/>
  <c r="F34" i="7"/>
  <c r="G34" i="7" s="1"/>
  <c r="H34" i="7" s="1"/>
  <c r="F33" i="7"/>
  <c r="G33" i="7" s="1"/>
  <c r="F32" i="7"/>
  <c r="G32" i="7" s="1"/>
  <c r="F31" i="7"/>
  <c r="G31" i="7" s="1"/>
  <c r="H31" i="7" s="1"/>
  <c r="F30" i="7"/>
  <c r="G30" i="7" s="1"/>
  <c r="F29" i="7"/>
  <c r="G29" i="7" s="1"/>
  <c r="F28" i="7"/>
  <c r="G28" i="7" s="1"/>
  <c r="H28" i="7" s="1"/>
  <c r="F27" i="7"/>
  <c r="G27" i="7" s="1"/>
  <c r="H27" i="7" s="1"/>
  <c r="F26" i="7"/>
  <c r="G26" i="7" s="1"/>
  <c r="H26" i="7" s="1"/>
  <c r="F25" i="7"/>
  <c r="G25" i="7" s="1"/>
  <c r="H25" i="7" s="1"/>
  <c r="F24" i="7"/>
  <c r="G24" i="7" s="1"/>
  <c r="F23" i="7"/>
  <c r="G23" i="7" s="1"/>
  <c r="H23" i="7" s="1"/>
  <c r="F22" i="7"/>
  <c r="G22" i="7" s="1"/>
  <c r="F21" i="7"/>
  <c r="G21" i="7" s="1"/>
  <c r="H21" i="7" s="1"/>
  <c r="F20" i="7"/>
  <c r="G20" i="7" s="1"/>
  <c r="H20" i="7" s="1"/>
  <c r="F19" i="7"/>
  <c r="F18" i="7"/>
  <c r="F17" i="7"/>
  <c r="F16" i="7"/>
  <c r="F15" i="7"/>
  <c r="F14" i="7"/>
  <c r="H14" i="7" s="1"/>
  <c r="F13" i="7"/>
  <c r="F12" i="7"/>
  <c r="F11" i="7"/>
  <c r="F10" i="7"/>
  <c r="F9" i="7"/>
  <c r="F8" i="7"/>
  <c r="F7" i="7"/>
  <c r="F6" i="7"/>
  <c r="H19" i="7"/>
  <c r="H11" i="7"/>
  <c r="C36" i="7"/>
  <c r="C35" i="7"/>
  <c r="D35" i="7" s="1"/>
  <c r="C34" i="7"/>
  <c r="D34" i="7" s="1"/>
  <c r="E34" i="7" s="1"/>
  <c r="C33" i="7"/>
  <c r="D33" i="7" s="1"/>
  <c r="E33" i="7" s="1"/>
  <c r="C32" i="7"/>
  <c r="D32" i="7" s="1"/>
  <c r="E32" i="7" s="1"/>
  <c r="C31" i="7"/>
  <c r="C30" i="7"/>
  <c r="D30" i="7" s="1"/>
  <c r="C29" i="7"/>
  <c r="D29" i="7" s="1"/>
  <c r="E29" i="7" s="1"/>
  <c r="C28" i="7"/>
  <c r="D28" i="7" s="1"/>
  <c r="C27" i="7"/>
  <c r="D27" i="7" s="1"/>
  <c r="C26" i="7"/>
  <c r="C25" i="7"/>
  <c r="D25" i="7" s="1"/>
  <c r="E25" i="7" s="1"/>
  <c r="C24" i="7"/>
  <c r="D24" i="7" s="1"/>
  <c r="C23" i="7"/>
  <c r="C22" i="7"/>
  <c r="D22" i="7" s="1"/>
  <c r="C21" i="7"/>
  <c r="C20" i="7"/>
  <c r="C19" i="7"/>
  <c r="E19" i="7"/>
  <c r="C18" i="7"/>
  <c r="C17" i="7"/>
  <c r="H17" i="7"/>
  <c r="C16" i="7"/>
  <c r="E16" i="7"/>
  <c r="C15" i="7"/>
  <c r="E15" i="7"/>
  <c r="H15" i="7"/>
  <c r="C14" i="7"/>
  <c r="C13" i="7"/>
  <c r="H13" i="7"/>
  <c r="C12" i="7"/>
  <c r="E12" i="7"/>
  <c r="H12" i="7"/>
  <c r="C11" i="7"/>
  <c r="E11" i="7" s="1"/>
  <c r="E8" i="7"/>
  <c r="E7" i="7"/>
  <c r="C10" i="7"/>
  <c r="C8" i="7"/>
  <c r="C7" i="7"/>
  <c r="C6" i="7"/>
  <c r="C9" i="7"/>
  <c r="H7" i="7"/>
  <c r="H6" i="7"/>
  <c r="E32" i="5"/>
  <c r="L32" i="5"/>
  <c r="H32" i="5"/>
  <c r="K32" i="5" s="1"/>
  <c r="G32" i="5"/>
  <c r="I32" i="5" s="1"/>
  <c r="J32" i="5" s="1"/>
  <c r="L31" i="5"/>
  <c r="K31" i="5"/>
  <c r="I31" i="5"/>
  <c r="J31" i="5" s="1"/>
  <c r="H31" i="5"/>
  <c r="G31" i="5"/>
  <c r="L30" i="5"/>
  <c r="K30" i="5"/>
  <c r="H30" i="5"/>
  <c r="G30" i="5"/>
  <c r="I30" i="5" s="1"/>
  <c r="J30" i="5" s="1"/>
  <c r="L29" i="5"/>
  <c r="I29" i="5"/>
  <c r="J29" i="5" s="1"/>
  <c r="H29" i="5"/>
  <c r="K29" i="5" s="1"/>
  <c r="G29" i="5"/>
  <c r="L28" i="5"/>
  <c r="H28" i="5"/>
  <c r="K28" i="5" s="1"/>
  <c r="G28" i="5"/>
  <c r="I28" i="5" s="1"/>
  <c r="J28" i="5" s="1"/>
  <c r="L27" i="5"/>
  <c r="H27" i="5"/>
  <c r="K27" i="5" s="1"/>
  <c r="G27" i="5"/>
  <c r="I27" i="5" s="1"/>
  <c r="J27" i="5" s="1"/>
  <c r="K26" i="5"/>
  <c r="J26" i="5"/>
  <c r="I26" i="5"/>
  <c r="H26" i="5"/>
  <c r="G26" i="5"/>
  <c r="I25" i="5"/>
  <c r="J25" i="5" s="1"/>
  <c r="H25" i="5"/>
  <c r="K25" i="5" s="1"/>
  <c r="L25" i="5" s="1"/>
  <c r="G25" i="5"/>
  <c r="K24" i="5"/>
  <c r="L24" i="5" s="1"/>
  <c r="H24" i="5"/>
  <c r="G24" i="5"/>
  <c r="I24" i="5" s="1"/>
  <c r="J24" i="5" s="1"/>
  <c r="H23" i="5"/>
  <c r="K23" i="5" s="1"/>
  <c r="L23" i="5" s="1"/>
  <c r="G23" i="5"/>
  <c r="I23" i="5" s="1"/>
  <c r="J23" i="5" s="1"/>
  <c r="H22" i="5"/>
  <c r="K22" i="5" s="1"/>
  <c r="L22" i="5" s="1"/>
  <c r="G22" i="5"/>
  <c r="I22" i="5" s="1"/>
  <c r="J22" i="5" s="1"/>
  <c r="H21" i="5"/>
  <c r="K21" i="5" s="1"/>
  <c r="L21" i="5" s="1"/>
  <c r="G21" i="5"/>
  <c r="I21" i="5" s="1"/>
  <c r="J21" i="5" s="1"/>
  <c r="H20" i="5"/>
  <c r="K20" i="5" s="1"/>
  <c r="L20" i="5" s="1"/>
  <c r="G20" i="5"/>
  <c r="I20" i="5" s="1"/>
  <c r="J20" i="5" s="1"/>
  <c r="H19" i="5"/>
  <c r="K19" i="5" s="1"/>
  <c r="L19" i="5" s="1"/>
  <c r="G19" i="5"/>
  <c r="I19" i="5" s="1"/>
  <c r="J19" i="5" s="1"/>
  <c r="J18" i="5"/>
  <c r="L18" i="5"/>
  <c r="K18" i="5"/>
  <c r="I18" i="5"/>
  <c r="H18" i="5"/>
  <c r="G18" i="5"/>
  <c r="J17" i="5"/>
  <c r="H17" i="5"/>
  <c r="K17" i="5" s="1"/>
  <c r="L17" i="5" s="1"/>
  <c r="G17" i="5"/>
  <c r="I17" i="5" s="1"/>
  <c r="J16" i="5"/>
  <c r="H16" i="5"/>
  <c r="K16" i="5" s="1"/>
  <c r="L16" i="5" s="1"/>
  <c r="G16" i="5"/>
  <c r="I16" i="5" s="1"/>
  <c r="K15" i="5"/>
  <c r="L15" i="5" s="1"/>
  <c r="J15" i="5"/>
  <c r="H15" i="5"/>
  <c r="G15" i="5"/>
  <c r="I15" i="5" s="1"/>
  <c r="J14" i="5"/>
  <c r="H14" i="5"/>
  <c r="K14" i="5" s="1"/>
  <c r="L14" i="5" s="1"/>
  <c r="G14" i="5"/>
  <c r="I14" i="5" s="1"/>
  <c r="J13" i="5"/>
  <c r="H13" i="5"/>
  <c r="K13" i="5" s="1"/>
  <c r="L13" i="5" s="1"/>
  <c r="G13" i="5"/>
  <c r="I13" i="5" s="1"/>
  <c r="J12" i="5"/>
  <c r="I12" i="5"/>
  <c r="H12" i="5"/>
  <c r="K12" i="5" s="1"/>
  <c r="L12" i="5" s="1"/>
  <c r="G12" i="5"/>
  <c r="L11" i="5"/>
  <c r="K11" i="5"/>
  <c r="J11" i="5"/>
  <c r="H11" i="5"/>
  <c r="H10" i="5"/>
  <c r="K10" i="5"/>
  <c r="L10" i="5" s="1"/>
  <c r="J10" i="5"/>
  <c r="I9" i="5"/>
  <c r="J9" i="5" s="1"/>
  <c r="H9" i="5"/>
  <c r="K9" i="5" s="1"/>
  <c r="L9" i="5" s="1"/>
  <c r="G9" i="5"/>
  <c r="I8" i="5"/>
  <c r="J8" i="5" s="1"/>
  <c r="H8" i="5"/>
  <c r="K8" i="5" s="1"/>
  <c r="L8" i="5" s="1"/>
  <c r="G8" i="5"/>
  <c r="G7" i="5"/>
  <c r="K7" i="5"/>
  <c r="L7" i="5" s="1"/>
  <c r="I7" i="5"/>
  <c r="J7" i="5" s="1"/>
  <c r="L6" i="5"/>
  <c r="J6" i="5"/>
  <c r="I6" i="5"/>
  <c r="H7" i="5"/>
  <c r="K6" i="5"/>
  <c r="C18" i="5"/>
  <c r="C19" i="5" s="1"/>
  <c r="C16" i="5"/>
  <c r="C17" i="5" s="1"/>
  <c r="C13" i="5"/>
  <c r="C12" i="5"/>
  <c r="C11" i="5"/>
  <c r="C10" i="5"/>
  <c r="C9" i="5"/>
  <c r="C8" i="5"/>
  <c r="C7" i="5"/>
  <c r="C6" i="5"/>
  <c r="B13" i="5"/>
  <c r="B12" i="5"/>
  <c r="B11" i="5"/>
  <c r="B10" i="5"/>
  <c r="B9" i="5"/>
  <c r="B8" i="5"/>
  <c r="B7" i="5"/>
  <c r="B6" i="5"/>
  <c r="C17" i="6" l="1"/>
  <c r="D17" i="6"/>
  <c r="C11" i="6"/>
  <c r="D11" i="6"/>
  <c r="C19" i="11"/>
  <c r="C20" i="11" s="1"/>
  <c r="C21" i="11" s="1"/>
  <c r="C26" i="11"/>
  <c r="F7" i="9"/>
  <c r="F8" i="9"/>
  <c r="F9" i="9"/>
  <c r="D36" i="7"/>
  <c r="E36" i="7" s="1"/>
  <c r="E27" i="7"/>
  <c r="E28" i="7"/>
  <c r="D31" i="7"/>
  <c r="E31" i="7" s="1"/>
  <c r="H22" i="7"/>
  <c r="H30" i="7"/>
  <c r="E35" i="7"/>
  <c r="E24" i="7"/>
  <c r="D23" i="7"/>
  <c r="E23" i="7" s="1"/>
  <c r="D20" i="7"/>
  <c r="E20" i="7" s="1"/>
  <c r="H29" i="7"/>
  <c r="H16" i="7"/>
  <c r="H32" i="7"/>
  <c r="H9" i="7"/>
  <c r="H33" i="7"/>
  <c r="H8" i="7"/>
  <c r="H24" i="7"/>
  <c r="H10" i="7"/>
  <c r="E13" i="7"/>
  <c r="E18" i="7"/>
  <c r="E22" i="7"/>
  <c r="E30" i="7"/>
  <c r="C28" i="11" l="1"/>
  <c r="C27" i="11"/>
  <c r="C23" i="3"/>
  <c r="C17" i="3"/>
  <c r="C18" i="3" s="1"/>
  <c r="C19" i="3" s="1"/>
  <c r="C13" i="3"/>
  <c r="C14" i="3" s="1"/>
  <c r="C8" i="3"/>
  <c r="C9" i="3" s="1"/>
  <c r="C21" i="3" l="1"/>
  <c r="C20" i="3"/>
  <c r="C3" i="3"/>
  <c r="E13" i="2"/>
  <c r="X12" i="2"/>
  <c r="AE12" i="2" s="1"/>
  <c r="AL12" i="2" s="1"/>
  <c r="AS12" i="2" s="1"/>
  <c r="AZ12" i="2" s="1"/>
  <c r="BG12" i="2" s="1"/>
  <c r="D13" i="2" s="1"/>
  <c r="D14" i="2" s="1"/>
  <c r="D15" i="2" s="1"/>
  <c r="Q12" i="2"/>
  <c r="C7" i="3" l="1"/>
  <c r="C10" i="3" s="1"/>
  <c r="C6" i="3"/>
</calcChain>
</file>

<file path=xl/sharedStrings.xml><?xml version="1.0" encoding="utf-8"?>
<sst xmlns="http://schemas.openxmlformats.org/spreadsheetml/2006/main" count="318" uniqueCount="214">
  <si>
    <t>:</t>
  </si>
  <si>
    <t>Rangebins</t>
  </si>
  <si>
    <t>..</t>
  </si>
  <si>
    <t>Doppler Bins (Fast)</t>
  </si>
  <si>
    <t>Doppler Bins (Slow)</t>
  </si>
  <si>
    <t>Rx Ant #1</t>
  </si>
  <si>
    <t>Rx Ant #2</t>
  </si>
  <si>
    <t>Rx Ant #3</t>
  </si>
  <si>
    <t>Rx Ant #4</t>
  </si>
  <si>
    <t>Memory</t>
  </si>
  <si>
    <t>Chirp</t>
  </si>
  <si>
    <t>Type</t>
  </si>
  <si>
    <t>Ant</t>
  </si>
  <si>
    <t>Bin</t>
  </si>
  <si>
    <t>ADC Sampling Rate</t>
  </si>
  <si>
    <t>Value</t>
  </si>
  <si>
    <t>Parameter</t>
  </si>
  <si>
    <t>Unit</t>
  </si>
  <si>
    <t>Hz</t>
  </si>
  <si>
    <t>c</t>
  </si>
  <si>
    <t>Slope</t>
  </si>
  <si>
    <t>MHz/usec</t>
  </si>
  <si>
    <t>m/usec</t>
  </si>
  <si>
    <t>NumOfSamples</t>
  </si>
  <si>
    <t>Hz per Bin</t>
  </si>
  <si>
    <t>1 meter roundtrip</t>
  </si>
  <si>
    <t>usec</t>
  </si>
  <si>
    <t>meter per Bin</t>
  </si>
  <si>
    <t>meters</t>
  </si>
  <si>
    <t>NumberOfChirps</t>
  </si>
  <si>
    <t>Start Freq</t>
  </si>
  <si>
    <t>GHz</t>
  </si>
  <si>
    <t>Lamda</t>
  </si>
  <si>
    <t>mm</t>
  </si>
  <si>
    <t>m</t>
  </si>
  <si>
    <t>Ramp Duration</t>
  </si>
  <si>
    <t>m/s</t>
  </si>
  <si>
    <t>Comment</t>
  </si>
  <si>
    <t>Fs_2DFFT</t>
  </si>
  <si>
    <t>a.k.a sampling time of 2D FFT
Note: This is longer than the ramp time computed using sampling rate and number of ADC samples</t>
  </si>
  <si>
    <t>Tc (#Fast)</t>
  </si>
  <si>
    <t>1/Tc</t>
  </si>
  <si>
    <t>NumberOfChirps/Fs_2DFFT</t>
  </si>
  <si>
    <t>c/StartFreq</t>
  </si>
  <si>
    <t>Vel_per_2DBin</t>
  </si>
  <si>
    <t>Hz_per_2DBin</t>
  </si>
  <si>
    <t>(Fdop*Lamda)/2</t>
  </si>
  <si>
    <t>Delta Phase</t>
  </si>
  <si>
    <t>radians</t>
  </si>
  <si>
    <t>(4*PI*vel*Tc)/Lamda</t>
  </si>
  <si>
    <t>Max Vel</t>
  </si>
  <si>
    <t>Vel_per_2DBin*(NumberOfChirps)*(1/2)</t>
  </si>
  <si>
    <t>From MRR SW</t>
  </si>
  <si>
    <t>NumOfSamples*ADCSamplingRate -&gt; convert to usec</t>
  </si>
  <si>
    <t>From MRR SW (fs)</t>
  </si>
  <si>
    <t>NumOfSamples/fs</t>
  </si>
  <si>
    <t>Bandwidth</t>
  </si>
  <si>
    <t>MHz</t>
  </si>
  <si>
    <t>Slope*Ramp Duration</t>
  </si>
  <si>
    <t>1DFFT</t>
  </si>
  <si>
    <t>C1</t>
  </si>
  <si>
    <t>C2</t>
  </si>
  <si>
    <t>ADC</t>
  </si>
  <si>
    <t>idx</t>
  </si>
  <si>
    <t>len</t>
  </si>
  <si>
    <t>guardLen</t>
  </si>
  <si>
    <t>len-guardLen-idx</t>
  </si>
  <si>
    <t>noiseLen</t>
  </si>
  <si>
    <t>idx+guardLen</t>
  </si>
  <si>
    <t>idxLeftPrev</t>
  </si>
  <si>
    <t>idxLeftNext</t>
  </si>
  <si>
    <t>idxRightPrev</t>
  </si>
  <si>
    <t>idxRightNext</t>
  </si>
  <si>
    <t>idxCUT</t>
  </si>
  <si>
    <t>CUT Idx</t>
  </si>
  <si>
    <t>GuardLeftIdx</t>
  </si>
  <si>
    <t>NoiseLftStart</t>
  </si>
  <si>
    <t>NoiseLftEnd</t>
  </si>
  <si>
    <t>NoiseRightSt</t>
  </si>
  <si>
    <t>NoiseRightEnd</t>
  </si>
  <si>
    <t>GuardRhtIdx</t>
  </si>
  <si>
    <t>1DFFT-&gt;radarcube</t>
  </si>
  <si>
    <t>srcBuffer</t>
  </si>
  <si>
    <t>dstBuffer</t>
  </si>
  <si>
    <t>chID</t>
  </si>
  <si>
    <t>aCount</t>
  </si>
  <si>
    <t>bCount</t>
  </si>
  <si>
    <t>dstBIdx</t>
  </si>
  <si>
    <t>numRangeBins</t>
  </si>
  <si>
    <t>numDopplerBins</t>
  </si>
  <si>
    <t>numChirpTypes</t>
  </si>
  <si>
    <t>numRxAnt</t>
  </si>
  <si>
    <t>numTxAnt</t>
  </si>
  <si>
    <t>sampleLenInBytes</t>
  </si>
  <si>
    <t>cCount</t>
  </si>
  <si>
    <t>srcCIndex</t>
  </si>
  <si>
    <t>dstCIndex</t>
  </si>
  <si>
    <t>fftOut1D</t>
  </si>
  <si>
    <t>radarCube</t>
  </si>
  <si>
    <t>MRR_SF0_EDMA_CH_1D_OUT_PING</t>
  </si>
  <si>
    <t>MRR_SF0_EDMA_CH_2D_IN_PING</t>
  </si>
  <si>
    <t>EDMA Type</t>
  </si>
  <si>
    <t>Type1</t>
  </si>
  <si>
    <t>radarcube-&gt;dstPingPong</t>
  </si>
  <si>
    <t>radarcube</t>
  </si>
  <si>
    <t>dstPingPong</t>
  </si>
  <si>
    <t>scrBIdx</t>
  </si>
  <si>
    <t>sumAbs-&gt;detMatrix</t>
  </si>
  <si>
    <t>sumAbs</t>
  </si>
  <si>
    <t>detMatrix</t>
  </si>
  <si>
    <t>MRR_SF0_EDMA_CH_DET_MATRIX</t>
  </si>
  <si>
    <t>MRR_SF0_EDMA_CH_DET_MATRIX2</t>
  </si>
  <si>
    <t>detMatrix-&gt;sumAbsRange</t>
  </si>
  <si>
    <t>Type3</t>
  </si>
  <si>
    <t>Max Range</t>
  </si>
  <si>
    <t>Peak Gain</t>
  </si>
  <si>
    <t>dBi</t>
  </si>
  <si>
    <t>Az 3dB</t>
  </si>
  <si>
    <t>degrees</t>
  </si>
  <si>
    <t>El 3dB</t>
  </si>
  <si>
    <t>NumOfTxAnt</t>
  </si>
  <si>
    <t>NumOfRxAnt</t>
  </si>
  <si>
    <t>RxAntSeparation</t>
  </si>
  <si>
    <t>FOV (Az)</t>
  </si>
  <si>
    <t>degree</t>
  </si>
  <si>
    <t>rad</t>
  </si>
  <si>
    <t>Rx Ant#</t>
  </si>
  <si>
    <t>Freq</t>
  </si>
  <si>
    <t>C</t>
  </si>
  <si>
    <t>Lamda/2</t>
  </si>
  <si>
    <t>x-pos</t>
  </si>
  <si>
    <t>Degrees</t>
  </si>
  <si>
    <t>Phase</t>
  </si>
  <si>
    <t>d*sin(theta)</t>
  </si>
  <si>
    <t>MRR_SF0_EDMA_CH_3D_IN_PING</t>
  </si>
  <si>
    <t>x</t>
  </si>
  <si>
    <t>CFAR Parameters</t>
  </si>
  <si>
    <t>winLen</t>
  </si>
  <si>
    <t>numInteg</t>
  </si>
  <si>
    <t>SNR_dB</t>
  </si>
  <si>
    <t>Frac</t>
  </si>
  <si>
    <t>Thld</t>
  </si>
  <si>
    <t>scaleFac</t>
  </si>
  <si>
    <t>SNR_Lin</t>
  </si>
  <si>
    <t>SNR_2dB</t>
  </si>
  <si>
    <t>SNR_Lin (10^(dB/20))</t>
  </si>
  <si>
    <t>Range (In SW)</t>
  </si>
  <si>
    <t>Analysis</t>
  </si>
  <si>
    <t>noiseDivShift (log2(2*winlen))</t>
  </si>
  <si>
    <t>const1</t>
  </si>
  <si>
    <t>const2</t>
  </si>
  <si>
    <t>noiselen</t>
  </si>
  <si>
    <t>Noise amplitude</t>
  </si>
  <si>
    <t>Signal Amplitude</t>
  </si>
  <si>
    <t>Noise variance</t>
  </si>
  <si>
    <t>FFT size</t>
  </si>
  <si>
    <t>Noise power per FFT bin</t>
  </si>
  <si>
    <t>Signal Power</t>
  </si>
  <si>
    <t>Signal Amp</t>
  </si>
  <si>
    <t xml:space="preserve">SNR </t>
  </si>
  <si>
    <t>NoisePower</t>
  </si>
  <si>
    <t>NoiseAmp</t>
  </si>
  <si>
    <t>Noise Amplitude per FFT bin</t>
  </si>
  <si>
    <t>dB</t>
  </si>
  <si>
    <t>dB log2</t>
  </si>
  <si>
    <t>SNR_Lin (amp)</t>
  </si>
  <si>
    <t>SNR_Lin(power)</t>
  </si>
  <si>
    <t>Comments</t>
  </si>
  <si>
    <t>Always expressed
as power ratio</t>
  </si>
  <si>
    <t>SNR dB</t>
  </si>
  <si>
    <t>SNR dB in Log2 scale</t>
  </si>
  <si>
    <t>Number of Fractional Bits</t>
  </si>
  <si>
    <t>scaleFactor</t>
  </si>
  <si>
    <t>Signal to Noise Density</t>
  </si>
  <si>
    <t>SNR Linear (Amp ratio)</t>
  </si>
  <si>
    <t>Ti SW Max and Min Range</t>
  </si>
  <si>
    <t>Min Range</t>
  </si>
  <si>
    <t>Range Offset</t>
  </si>
  <si>
    <t>km/s</t>
  </si>
  <si>
    <t>Tx Ant#</t>
  </si>
  <si>
    <t>Freq Band</t>
  </si>
  <si>
    <t>76 to 81</t>
  </si>
  <si>
    <t>Az 3 dB</t>
  </si>
  <si>
    <t>+/- 28</t>
  </si>
  <si>
    <t>Elve 3 dB</t>
  </si>
  <si>
    <t>+/- 14</t>
  </si>
  <si>
    <t>Rx</t>
  </si>
  <si>
    <t>ADC Bitwidth</t>
  </si>
  <si>
    <t>#bits</t>
  </si>
  <si>
    <t>I 12 bit and Q bit. How much is 0 dBFS in dBm?</t>
  </si>
  <si>
    <t>adcDataIn</t>
  </si>
  <si>
    <t>ADC data into the DSP subsystem. Complex</t>
  </si>
  <si>
    <t>Complex</t>
  </si>
  <si>
    <t>1DWindow</t>
  </si>
  <si>
    <t>2DWindow</t>
  </si>
  <si>
    <t>2DFFT</t>
  </si>
  <si>
    <t>log2(abs(x))</t>
  </si>
  <si>
    <t>real with 8 fractional bit q8</t>
  </si>
  <si>
    <t>Complex, multiplied by 128</t>
  </si>
  <si>
    <t>Fixed Point notation</t>
  </si>
  <si>
    <t>s(15,0)</t>
  </si>
  <si>
    <t>s(11,0)</t>
  </si>
  <si>
    <t>s(31,0)</t>
  </si>
  <si>
    <t>q(8,8)</t>
  </si>
  <si>
    <r>
      <t xml:space="preserve">Window is s(31,0)
s(15,0) x s(31,0)=s(47,0)
Right shift by 15 to get s(32,0)???
</t>
    </r>
    <r>
      <rPr>
        <sz val="11"/>
        <color rgb="FFFF0000"/>
        <rFont val="Calibri"/>
        <family val="2"/>
        <scheme val="minor"/>
      </rPr>
      <t>This does not seem right.. We should right shift by 16 bits</t>
    </r>
  </si>
  <si>
    <t>14.3 bits max</t>
  </si>
  <si>
    <t>sumAbsRange</t>
  </si>
  <si>
    <t>~23 bits for power</t>
  </si>
  <si>
    <t>63 Meter data
~ -88 dBm</t>
  </si>
  <si>
    <t>28 meters data
~ - 82.35 dBm</t>
  </si>
  <si>
    <t>~21 bits for power</t>
  </si>
  <si>
    <t>FS Power bits
~ -61 dBm
~ 2 meters</t>
  </si>
  <si>
    <t>Complex (scaled by 8)</t>
  </si>
  <si>
    <t>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</si>
</sst>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12" xfId="0" applyBorder="1"/>
    <xf numFmtId="0" fontId="0" fillId="0" borderId="13" xfId="0" applyBorder="1"/>
    <xf numFmtId="0" fontId="4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  <xf numFmtId="11" fontId="0" fillId="0" borderId="0" xfId="0" applyNumberFormat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0" borderId="14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center" vertical="center" textRotation="90"/>
    </xf>
    <xf numFmtId="0" fontId="1" fillId="0" borderId="15" xfId="0" applyFont="1" applyBorder="1" applyAlignment="1">
      <alignment horizontal="center" vertical="center" textRotation="90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317500</xdr:colOff>
      <xdr:row>4</xdr:row>
      <xdr:rowOff>161925</xdr:rowOff>
    </xdr:from>
    <xdr:to>
      <xdr:col>20</xdr:col>
      <xdr:colOff>477122</xdr:colOff>
      <xdr:row>33</xdr:row>
      <xdr:rowOff>51555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C9F2D3-5230-0896-8B32-0408A1315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525" y="923925"/>
          <a:ext cx="6255622" cy="5410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62340-961C-45F8-9560-4577177AE6AB}">
  <dimension ref="A2:D39"/>
  <sheetViews>
    <sheetView topLeftCell="A16" workbookViewId="0">
      <selection activeCell="H28" sqref="H28"/>
    </sheetView>
  </sheetViews>
  <sheetFormatPr defaultRowHeight="14.5" x14ac:dyDescent="0.35"/>
  <cols>
    <col min="2" max="2" width="28.54296875" bestFit="1" customWidth="1"/>
    <col min="3" max="3" width="14.453125" customWidth="1"/>
    <col min="4" max="4" width="13.54296875" customWidth="1"/>
  </cols>
  <sheetData>
    <row r="2" spans="1:4" x14ac:dyDescent="0.35">
      <c r="B2" t="s">
        <v>136</v>
      </c>
      <c r="C2" t="s">
        <v>146</v>
      </c>
      <c r="D2" t="s">
        <v>147</v>
      </c>
    </row>
    <row r="3" spans="1:4" x14ac:dyDescent="0.35">
      <c r="B3" t="s">
        <v>91</v>
      </c>
      <c r="C3">
        <v>4</v>
      </c>
      <c r="D3">
        <v>1</v>
      </c>
    </row>
    <row r="4" spans="1:4" x14ac:dyDescent="0.35">
      <c r="B4" t="s">
        <v>92</v>
      </c>
      <c r="C4">
        <v>1</v>
      </c>
      <c r="D4">
        <v>1</v>
      </c>
    </row>
    <row r="5" spans="1:4" x14ac:dyDescent="0.35">
      <c r="A5" t="s">
        <v>150</v>
      </c>
      <c r="B5" t="s">
        <v>148</v>
      </c>
      <c r="C5">
        <f>LOG(2*C7,2)</f>
        <v>4</v>
      </c>
      <c r="D5">
        <f>LOG(2*D7,2)</f>
        <v>4</v>
      </c>
    </row>
    <row r="6" spans="1:4" x14ac:dyDescent="0.35">
      <c r="B6" t="s">
        <v>65</v>
      </c>
      <c r="C6">
        <v>4</v>
      </c>
      <c r="D6">
        <v>4</v>
      </c>
    </row>
    <row r="7" spans="1:4" x14ac:dyDescent="0.35">
      <c r="A7" t="s">
        <v>151</v>
      </c>
      <c r="B7" t="s">
        <v>137</v>
      </c>
      <c r="C7">
        <v>8</v>
      </c>
      <c r="D7">
        <v>8</v>
      </c>
    </row>
    <row r="8" spans="1:4" x14ac:dyDescent="0.35">
      <c r="B8" t="s">
        <v>138</v>
      </c>
      <c r="C8">
        <f>C3*C4</f>
        <v>4</v>
      </c>
      <c r="D8">
        <f>D3*D4</f>
        <v>1</v>
      </c>
    </row>
    <row r="9" spans="1:4" x14ac:dyDescent="0.35">
      <c r="B9" t="s">
        <v>139</v>
      </c>
      <c r="C9">
        <v>14</v>
      </c>
      <c r="D9">
        <v>14</v>
      </c>
    </row>
    <row r="10" spans="1:4" x14ac:dyDescent="0.35">
      <c r="B10" t="s">
        <v>145</v>
      </c>
      <c r="C10">
        <f>10^(C9/20)</f>
        <v>5.0118723362727229</v>
      </c>
      <c r="D10">
        <f>10^(D9/20)</f>
        <v>5.0118723362727229</v>
      </c>
    </row>
    <row r="11" spans="1:4" x14ac:dyDescent="0.35">
      <c r="B11" t="s">
        <v>140</v>
      </c>
      <c r="C11">
        <v>8</v>
      </c>
      <c r="D11">
        <v>0</v>
      </c>
    </row>
    <row r="12" spans="1:4" x14ac:dyDescent="0.35">
      <c r="B12" t="s">
        <v>142</v>
      </c>
      <c r="C12">
        <f>(2^C11)*C8</f>
        <v>1024</v>
      </c>
      <c r="D12">
        <f>(2^D11)*D8</f>
        <v>1</v>
      </c>
    </row>
    <row r="13" spans="1:4" x14ac:dyDescent="0.35">
      <c r="B13" t="s">
        <v>144</v>
      </c>
      <c r="C13">
        <f>LOG(C10,2)</f>
        <v>2.3253496664211535</v>
      </c>
      <c r="D13">
        <f>LOG(D10,2)</f>
        <v>2.3253496664211535</v>
      </c>
    </row>
    <row r="14" spans="1:4" x14ac:dyDescent="0.35">
      <c r="A14" t="s">
        <v>149</v>
      </c>
      <c r="B14" t="s">
        <v>141</v>
      </c>
      <c r="C14">
        <f>C13*C12</f>
        <v>2381.1580584152612</v>
      </c>
      <c r="D14">
        <f>D13*D12</f>
        <v>2.3253496664211535</v>
      </c>
    </row>
    <row r="16" spans="1:4" x14ac:dyDescent="0.35">
      <c r="B16" t="s">
        <v>155</v>
      </c>
      <c r="C16">
        <v>4096</v>
      </c>
    </row>
    <row r="17" spans="2:4" x14ac:dyDescent="0.35">
      <c r="B17" t="s">
        <v>153</v>
      </c>
      <c r="C17">
        <v>1</v>
      </c>
    </row>
    <row r="18" spans="2:4" x14ac:dyDescent="0.35">
      <c r="B18" t="s">
        <v>152</v>
      </c>
      <c r="C18">
        <f>1/C10</f>
        <v>0.19952623149688795</v>
      </c>
    </row>
    <row r="19" spans="2:4" x14ac:dyDescent="0.35">
      <c r="B19" t="s">
        <v>154</v>
      </c>
      <c r="C19">
        <f>C18^2</f>
        <v>3.981071705534972E-2</v>
      </c>
    </row>
    <row r="20" spans="2:4" x14ac:dyDescent="0.35">
      <c r="B20" t="s">
        <v>156</v>
      </c>
      <c r="C20">
        <f>C19/C16</f>
        <v>9.7194133435912403E-6</v>
      </c>
    </row>
    <row r="21" spans="2:4" x14ac:dyDescent="0.35">
      <c r="C21">
        <f>10*LOG10(C20)</f>
        <v>-50.123599479677743</v>
      </c>
      <c r="D21" t="s">
        <v>163</v>
      </c>
    </row>
    <row r="24" spans="2:4" x14ac:dyDescent="0.35">
      <c r="B24" t="s">
        <v>157</v>
      </c>
      <c r="C24">
        <f>20*LOG10(C17)</f>
        <v>0</v>
      </c>
      <c r="D24" t="s">
        <v>163</v>
      </c>
    </row>
    <row r="25" spans="2:4" x14ac:dyDescent="0.35">
      <c r="B25" t="s">
        <v>153</v>
      </c>
      <c r="C25">
        <f>10*LOG10(C17)</f>
        <v>0</v>
      </c>
      <c r="D25" t="s">
        <v>163</v>
      </c>
    </row>
    <row r="26" spans="2:4" x14ac:dyDescent="0.35">
      <c r="B26" t="s">
        <v>162</v>
      </c>
      <c r="C26">
        <f>C18/C16</f>
        <v>4.8712458861544909E-5</v>
      </c>
    </row>
    <row r="27" spans="2:4" x14ac:dyDescent="0.35">
      <c r="C27">
        <f>10*LOG10(C26)</f>
        <v>-43.123599479677743</v>
      </c>
      <c r="D27" t="s">
        <v>163</v>
      </c>
    </row>
    <row r="28" spans="2:4" x14ac:dyDescent="0.35">
      <c r="C28">
        <f>LOG(C26,2)</f>
        <v>-14.325349666421154</v>
      </c>
      <c r="D28" t="s">
        <v>164</v>
      </c>
    </row>
    <row r="29" spans="2:4" x14ac:dyDescent="0.35">
      <c r="B29" t="s">
        <v>157</v>
      </c>
      <c r="C29">
        <v>10</v>
      </c>
    </row>
    <row r="30" spans="2:4" x14ac:dyDescent="0.35">
      <c r="B30" t="s">
        <v>158</v>
      </c>
      <c r="C30">
        <f>SQRT(C29)</f>
        <v>3.1622776601683795</v>
      </c>
    </row>
    <row r="32" spans="2:4" x14ac:dyDescent="0.35">
      <c r="B32" t="s">
        <v>159</v>
      </c>
      <c r="C32">
        <v>3</v>
      </c>
    </row>
    <row r="33" spans="2:4" x14ac:dyDescent="0.35">
      <c r="B33" t="s">
        <v>143</v>
      </c>
      <c r="C33">
        <f>10^(C32/10)</f>
        <v>1.9952623149688797</v>
      </c>
    </row>
    <row r="35" spans="2:4" x14ac:dyDescent="0.35">
      <c r="B35" t="s">
        <v>160</v>
      </c>
      <c r="C35">
        <f>C29/C33</f>
        <v>5.0118723362727229</v>
      </c>
    </row>
    <row r="36" spans="2:4" x14ac:dyDescent="0.35">
      <c r="B36" t="s">
        <v>161</v>
      </c>
      <c r="C36">
        <f>SQRT(C35)</f>
        <v>2.2387211385683394</v>
      </c>
    </row>
    <row r="38" spans="2:4" x14ac:dyDescent="0.35">
      <c r="B38" t="s">
        <v>165</v>
      </c>
      <c r="C38">
        <f>C30/C36</f>
        <v>1.4125375446227546</v>
      </c>
      <c r="D38">
        <f>20*LOG10(C38)</f>
        <v>3.0000000000000022</v>
      </c>
    </row>
    <row r="39" spans="2:4" x14ac:dyDescent="0.35">
      <c r="B39" t="s">
        <v>166</v>
      </c>
      <c r="C39">
        <f>C29/C35</f>
        <v>1.9952623149688795</v>
      </c>
      <c r="D39">
        <f>10*LOG10(C39)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78E6-7B4A-4637-83D5-D84BFA585E6A}">
  <dimension ref="C2:BG24"/>
  <sheetViews>
    <sheetView zoomScale="80" zoomScaleNormal="80" workbookViewId="0">
      <selection activeCell="E30" sqref="E30:E32"/>
    </sheetView>
  </sheetViews>
  <sheetFormatPr defaultRowHeight="14.5" x14ac:dyDescent="0.35"/>
  <cols>
    <col min="3" max="3" width="8.1796875" bestFit="1" customWidth="1"/>
    <col min="4" max="59" width="6" customWidth="1"/>
  </cols>
  <sheetData>
    <row r="2" spans="3:59" ht="15" thickBot="1" x14ac:dyDescent="0.4"/>
    <row r="3" spans="3:59" x14ac:dyDescent="0.35">
      <c r="C3" s="9"/>
      <c r="D3" s="29" t="s">
        <v>5</v>
      </c>
      <c r="E3" s="30"/>
      <c r="F3" s="30"/>
      <c r="G3" s="30"/>
      <c r="H3" s="30"/>
      <c r="I3" s="30"/>
      <c r="J3" s="31"/>
      <c r="K3" s="26" t="s">
        <v>6</v>
      </c>
      <c r="L3" s="27"/>
      <c r="M3" s="27"/>
      <c r="N3" s="27"/>
      <c r="O3" s="27"/>
      <c r="P3" s="27"/>
      <c r="Q3" s="28"/>
      <c r="R3" s="17" t="s">
        <v>7</v>
      </c>
      <c r="S3" s="18"/>
      <c r="T3" s="18"/>
      <c r="U3" s="18"/>
      <c r="V3" s="18"/>
      <c r="W3" s="18"/>
      <c r="X3" s="19"/>
      <c r="Y3" s="20" t="s">
        <v>8</v>
      </c>
      <c r="Z3" s="21"/>
      <c r="AA3" s="21"/>
      <c r="AB3" s="21"/>
      <c r="AC3" s="21"/>
      <c r="AD3" s="21"/>
      <c r="AE3" s="22"/>
      <c r="AF3" s="29" t="s">
        <v>5</v>
      </c>
      <c r="AG3" s="30"/>
      <c r="AH3" s="30"/>
      <c r="AI3" s="30"/>
      <c r="AJ3" s="30"/>
      <c r="AK3" s="30"/>
      <c r="AL3" s="31"/>
      <c r="AM3" s="26" t="s">
        <v>6</v>
      </c>
      <c r="AN3" s="27"/>
      <c r="AO3" s="27"/>
      <c r="AP3" s="27"/>
      <c r="AQ3" s="27"/>
      <c r="AR3" s="27"/>
      <c r="AS3" s="28"/>
      <c r="AT3" s="17" t="s">
        <v>7</v>
      </c>
      <c r="AU3" s="18"/>
      <c r="AV3" s="18"/>
      <c r="AW3" s="18"/>
      <c r="AX3" s="18"/>
      <c r="AY3" s="18"/>
      <c r="AZ3" s="19"/>
      <c r="BA3" s="20" t="s">
        <v>8</v>
      </c>
      <c r="BB3" s="21"/>
      <c r="BC3" s="21"/>
      <c r="BD3" s="21"/>
      <c r="BE3" s="21"/>
      <c r="BF3" s="21"/>
      <c r="BG3" s="22"/>
    </row>
    <row r="4" spans="3:59" x14ac:dyDescent="0.35">
      <c r="C4" s="10"/>
      <c r="D4" s="35" t="s">
        <v>3</v>
      </c>
      <c r="E4" s="36"/>
      <c r="F4" s="36"/>
      <c r="G4" s="36"/>
      <c r="H4" s="36"/>
      <c r="I4" s="36"/>
      <c r="J4" s="37"/>
      <c r="K4" s="35" t="s">
        <v>3</v>
      </c>
      <c r="L4" s="36"/>
      <c r="M4" s="36"/>
      <c r="N4" s="36"/>
      <c r="O4" s="36"/>
      <c r="P4" s="36"/>
      <c r="Q4" s="37"/>
      <c r="R4" s="35" t="s">
        <v>3</v>
      </c>
      <c r="S4" s="36"/>
      <c r="T4" s="36"/>
      <c r="U4" s="36"/>
      <c r="V4" s="36"/>
      <c r="W4" s="36"/>
      <c r="X4" s="37"/>
      <c r="Y4" s="35" t="s">
        <v>3</v>
      </c>
      <c r="Z4" s="36"/>
      <c r="AA4" s="36"/>
      <c r="AB4" s="36"/>
      <c r="AC4" s="36"/>
      <c r="AD4" s="36"/>
      <c r="AE4" s="37"/>
      <c r="AF4" s="23" t="s">
        <v>4</v>
      </c>
      <c r="AG4" s="24"/>
      <c r="AH4" s="24"/>
      <c r="AI4" s="24"/>
      <c r="AJ4" s="24"/>
      <c r="AK4" s="24"/>
      <c r="AL4" s="25"/>
      <c r="AM4" s="23" t="s">
        <v>4</v>
      </c>
      <c r="AN4" s="24"/>
      <c r="AO4" s="24"/>
      <c r="AP4" s="24"/>
      <c r="AQ4" s="24"/>
      <c r="AR4" s="24"/>
      <c r="AS4" s="25"/>
      <c r="AT4" s="23" t="s">
        <v>4</v>
      </c>
      <c r="AU4" s="24"/>
      <c r="AV4" s="24"/>
      <c r="AW4" s="24"/>
      <c r="AX4" s="24"/>
      <c r="AY4" s="24"/>
      <c r="AZ4" s="25"/>
      <c r="BA4" s="23" t="s">
        <v>4</v>
      </c>
      <c r="BB4" s="24"/>
      <c r="BC4" s="24"/>
      <c r="BD4" s="24"/>
      <c r="BE4" s="24"/>
      <c r="BF4" s="24"/>
      <c r="BG4" s="25"/>
    </row>
    <row r="5" spans="3:59" ht="15" customHeight="1" x14ac:dyDescent="0.35">
      <c r="C5" s="32" t="s">
        <v>1</v>
      </c>
      <c r="D5" s="6">
        <v>1</v>
      </c>
      <c r="E5" s="2">
        <v>2</v>
      </c>
      <c r="F5">
        <v>3</v>
      </c>
      <c r="G5">
        <v>4</v>
      </c>
      <c r="H5" t="s">
        <v>2</v>
      </c>
      <c r="I5" t="s">
        <v>2</v>
      </c>
      <c r="J5" s="3">
        <v>128</v>
      </c>
      <c r="K5" s="6">
        <v>1</v>
      </c>
      <c r="L5" s="2">
        <v>2</v>
      </c>
      <c r="M5">
        <v>3</v>
      </c>
      <c r="N5">
        <v>4</v>
      </c>
      <c r="O5" t="s">
        <v>2</v>
      </c>
      <c r="P5" t="s">
        <v>2</v>
      </c>
      <c r="Q5" s="3">
        <v>128</v>
      </c>
      <c r="R5" s="6">
        <v>1</v>
      </c>
      <c r="S5" s="2">
        <v>2</v>
      </c>
      <c r="T5">
        <v>3</v>
      </c>
      <c r="U5">
        <v>4</v>
      </c>
      <c r="V5" t="s">
        <v>2</v>
      </c>
      <c r="W5" t="s">
        <v>2</v>
      </c>
      <c r="X5" s="3">
        <v>128</v>
      </c>
      <c r="Y5" s="6">
        <v>1</v>
      </c>
      <c r="Z5" s="2">
        <v>2</v>
      </c>
      <c r="AA5">
        <v>3</v>
      </c>
      <c r="AB5">
        <v>4</v>
      </c>
      <c r="AC5" t="s">
        <v>2</v>
      </c>
      <c r="AD5" t="s">
        <v>2</v>
      </c>
      <c r="AE5" s="3">
        <v>128</v>
      </c>
      <c r="AF5" s="6">
        <v>129</v>
      </c>
      <c r="AG5" s="2">
        <v>130</v>
      </c>
      <c r="AH5">
        <v>131</v>
      </c>
      <c r="AI5">
        <v>132</v>
      </c>
      <c r="AJ5" t="s">
        <v>2</v>
      </c>
      <c r="AK5" t="s">
        <v>2</v>
      </c>
      <c r="AL5" s="3">
        <v>256</v>
      </c>
      <c r="AM5" s="6">
        <v>129</v>
      </c>
      <c r="AN5" s="2">
        <v>130</v>
      </c>
      <c r="AO5">
        <v>131</v>
      </c>
      <c r="AP5">
        <v>132</v>
      </c>
      <c r="AQ5" t="s">
        <v>2</v>
      </c>
      <c r="AR5" t="s">
        <v>2</v>
      </c>
      <c r="AS5" s="3">
        <v>256</v>
      </c>
      <c r="AT5" s="6">
        <v>129</v>
      </c>
      <c r="AU5" s="2">
        <v>130</v>
      </c>
      <c r="AV5">
        <v>131</v>
      </c>
      <c r="AW5">
        <v>132</v>
      </c>
      <c r="AX5" t="s">
        <v>2</v>
      </c>
      <c r="AY5" t="s">
        <v>2</v>
      </c>
      <c r="AZ5" s="3">
        <v>256</v>
      </c>
      <c r="BA5" s="6">
        <v>129</v>
      </c>
      <c r="BB5" s="2">
        <v>130</v>
      </c>
      <c r="BC5">
        <v>131</v>
      </c>
      <c r="BD5">
        <v>132</v>
      </c>
      <c r="BE5" t="s">
        <v>2</v>
      </c>
      <c r="BF5" t="s">
        <v>2</v>
      </c>
      <c r="BG5" s="3">
        <v>256</v>
      </c>
    </row>
    <row r="6" spans="3:59" x14ac:dyDescent="0.35">
      <c r="C6" s="33"/>
      <c r="D6" s="6">
        <v>2</v>
      </c>
      <c r="J6" s="3"/>
      <c r="K6" s="1"/>
      <c r="Q6" s="3"/>
      <c r="R6" s="1"/>
      <c r="X6" s="3"/>
      <c r="Y6" s="1"/>
      <c r="AE6" s="3"/>
      <c r="AF6" s="1"/>
      <c r="AL6" s="3"/>
      <c r="AM6" s="1"/>
      <c r="AS6" s="3"/>
      <c r="AT6" s="1"/>
      <c r="AZ6" s="3"/>
      <c r="BA6" s="1"/>
      <c r="BG6" s="3"/>
    </row>
    <row r="7" spans="3:59" ht="53.25" customHeight="1" x14ac:dyDescent="0.35">
      <c r="C7" s="33"/>
      <c r="D7" s="6">
        <v>3</v>
      </c>
      <c r="J7" s="3"/>
      <c r="K7" s="1"/>
      <c r="Q7" s="3"/>
      <c r="R7" s="1"/>
      <c r="X7" s="3"/>
      <c r="Y7" s="1"/>
      <c r="AE7" s="3"/>
      <c r="AF7" s="1"/>
      <c r="AL7" s="3"/>
      <c r="AM7" s="1"/>
      <c r="AS7" s="3"/>
      <c r="AT7" s="1"/>
      <c r="AZ7" s="3"/>
      <c r="BA7" s="1"/>
      <c r="BG7" s="3"/>
    </row>
    <row r="8" spans="3:59" x14ac:dyDescent="0.35">
      <c r="C8" s="33"/>
      <c r="D8" s="6" t="s">
        <v>0</v>
      </c>
      <c r="G8" t="s">
        <v>135</v>
      </c>
      <c r="J8" s="3"/>
      <c r="K8" s="1"/>
      <c r="N8" t="s">
        <v>135</v>
      </c>
      <c r="Q8" s="3"/>
      <c r="R8" s="1"/>
      <c r="U8" t="s">
        <v>135</v>
      </c>
      <c r="X8" s="3"/>
      <c r="Y8" s="1"/>
      <c r="AB8" t="s">
        <v>135</v>
      </c>
      <c r="AE8" s="3"/>
      <c r="AF8" s="1"/>
      <c r="AL8" s="3"/>
      <c r="AM8" s="1"/>
      <c r="AS8" s="3"/>
      <c r="AT8" s="1"/>
      <c r="AZ8" s="3"/>
      <c r="BA8" s="1"/>
      <c r="BG8" s="3"/>
    </row>
    <row r="9" spans="3:59" x14ac:dyDescent="0.35">
      <c r="C9" s="33"/>
      <c r="D9" s="6" t="s">
        <v>0</v>
      </c>
      <c r="J9" s="3"/>
      <c r="K9" s="1"/>
      <c r="Q9" s="3"/>
      <c r="R9" s="1"/>
      <c r="X9" s="3"/>
      <c r="Y9" s="1"/>
      <c r="AE9" s="3"/>
      <c r="AF9" s="1"/>
      <c r="AL9" s="3"/>
      <c r="AM9" s="1"/>
      <c r="AS9" s="3"/>
      <c r="AT9" s="1"/>
      <c r="AZ9" s="3"/>
      <c r="BA9" s="1"/>
      <c r="BG9" s="3"/>
    </row>
    <row r="10" spans="3:59" ht="15" thickBot="1" x14ac:dyDescent="0.4">
      <c r="C10" s="34"/>
      <c r="D10" s="7">
        <v>256</v>
      </c>
      <c r="E10" s="4"/>
      <c r="F10" s="4"/>
      <c r="G10" s="4"/>
      <c r="H10" s="4"/>
      <c r="I10" s="4"/>
      <c r="J10" s="5"/>
      <c r="K10" s="8"/>
      <c r="L10" s="4"/>
      <c r="M10" s="4"/>
      <c r="N10" s="4"/>
      <c r="O10" s="4"/>
      <c r="P10" s="4"/>
      <c r="Q10" s="5"/>
      <c r="R10" s="8"/>
      <c r="S10" s="4"/>
      <c r="T10" s="4"/>
      <c r="U10" s="4"/>
      <c r="V10" s="4"/>
      <c r="W10" s="4"/>
      <c r="X10" s="5"/>
      <c r="Y10" s="8"/>
      <c r="Z10" s="4"/>
      <c r="AA10" s="4"/>
      <c r="AB10" s="4"/>
      <c r="AC10" s="4"/>
      <c r="AD10" s="4"/>
      <c r="AE10" s="5"/>
      <c r="AF10" s="8"/>
      <c r="AG10" s="4"/>
      <c r="AH10" s="4"/>
      <c r="AI10" s="4"/>
      <c r="AJ10" s="4"/>
      <c r="AK10" s="4"/>
      <c r="AL10" s="5"/>
      <c r="AM10" s="8"/>
      <c r="AN10" s="4"/>
      <c r="AO10" s="4"/>
      <c r="AP10" s="4"/>
      <c r="AQ10" s="4"/>
      <c r="AR10" s="4"/>
      <c r="AS10" s="5"/>
      <c r="AT10" s="8"/>
      <c r="AU10" s="4"/>
      <c r="AV10" s="4"/>
      <c r="AW10" s="4"/>
      <c r="AX10" s="4"/>
      <c r="AY10" s="4"/>
      <c r="AZ10" s="5"/>
      <c r="BA10" s="8"/>
      <c r="BB10" s="4"/>
      <c r="BC10" s="4"/>
      <c r="BD10" s="4"/>
      <c r="BE10" s="4"/>
      <c r="BF10" s="4"/>
      <c r="BG10" s="5"/>
    </row>
    <row r="12" spans="3:59" x14ac:dyDescent="0.35">
      <c r="C12" s="11" t="s">
        <v>9</v>
      </c>
      <c r="D12">
        <v>0</v>
      </c>
      <c r="E12">
        <v>1</v>
      </c>
      <c r="J12">
        <v>127</v>
      </c>
      <c r="Q12">
        <f>J12+128</f>
        <v>255</v>
      </c>
      <c r="X12">
        <f>Q12+128</f>
        <v>383</v>
      </c>
      <c r="AE12">
        <f>X12+128</f>
        <v>511</v>
      </c>
      <c r="AL12">
        <f>AE12+128</f>
        <v>639</v>
      </c>
      <c r="AS12">
        <f>AL12+128</f>
        <v>767</v>
      </c>
      <c r="AZ12">
        <f>AS12+128</f>
        <v>895</v>
      </c>
      <c r="BG12">
        <f>AZ12+128</f>
        <v>1023</v>
      </c>
    </row>
    <row r="13" spans="3:59" x14ac:dyDescent="0.35">
      <c r="D13">
        <f>BG12+1</f>
        <v>1024</v>
      </c>
      <c r="E13">
        <f>E12+1024</f>
        <v>1025</v>
      </c>
    </row>
    <row r="14" spans="3:59" x14ac:dyDescent="0.35">
      <c r="D14">
        <f>D13+1024</f>
        <v>2048</v>
      </c>
    </row>
    <row r="15" spans="3:59" x14ac:dyDescent="0.35">
      <c r="D15">
        <f>D14+1024</f>
        <v>3072</v>
      </c>
    </row>
    <row r="18" spans="3:22" x14ac:dyDescent="0.35">
      <c r="C18" t="s">
        <v>10</v>
      </c>
      <c r="D18">
        <v>0</v>
      </c>
    </row>
    <row r="19" spans="3:22" x14ac:dyDescent="0.35">
      <c r="C19" t="s">
        <v>11</v>
      </c>
      <c r="D19">
        <v>0</v>
      </c>
      <c r="N19" t="s">
        <v>59</v>
      </c>
      <c r="O19" t="s">
        <v>60</v>
      </c>
      <c r="S19" t="s">
        <v>61</v>
      </c>
    </row>
    <row r="20" spans="3:22" x14ac:dyDescent="0.35">
      <c r="C20" t="s">
        <v>12</v>
      </c>
      <c r="D20">
        <v>1</v>
      </c>
      <c r="O20">
        <v>1</v>
      </c>
      <c r="P20">
        <v>2</v>
      </c>
      <c r="Q20">
        <v>3</v>
      </c>
      <c r="R20">
        <v>4</v>
      </c>
      <c r="S20">
        <v>1</v>
      </c>
      <c r="T20">
        <v>2</v>
      </c>
      <c r="U20">
        <v>3</v>
      </c>
      <c r="V20">
        <v>4</v>
      </c>
    </row>
    <row r="22" spans="3:22" x14ac:dyDescent="0.35">
      <c r="C22" t="s">
        <v>13</v>
      </c>
    </row>
    <row r="23" spans="3:22" x14ac:dyDescent="0.35">
      <c r="C23">
        <v>0</v>
      </c>
      <c r="N23" t="s">
        <v>62</v>
      </c>
    </row>
    <row r="24" spans="3:22" x14ac:dyDescent="0.35">
      <c r="C24">
        <v>1</v>
      </c>
      <c r="O24">
        <v>1</v>
      </c>
      <c r="P24">
        <v>2</v>
      </c>
    </row>
  </sheetData>
  <mergeCells count="17">
    <mergeCell ref="C5:C10"/>
    <mergeCell ref="D4:J4"/>
    <mergeCell ref="K4:Q4"/>
    <mergeCell ref="R4:X4"/>
    <mergeCell ref="Y4:AE4"/>
    <mergeCell ref="D3:J3"/>
    <mergeCell ref="K3:Q3"/>
    <mergeCell ref="R3:X3"/>
    <mergeCell ref="Y3:AE3"/>
    <mergeCell ref="AF3:AL3"/>
    <mergeCell ref="AT3:AZ3"/>
    <mergeCell ref="BA3:BG3"/>
    <mergeCell ref="AF4:AL4"/>
    <mergeCell ref="AM4:AS4"/>
    <mergeCell ref="AT4:AZ4"/>
    <mergeCell ref="BA4:BG4"/>
    <mergeCell ref="AM3:AS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447C-FA9C-41CD-9E8B-896F73F683AE}">
  <dimension ref="B1:E37"/>
  <sheetViews>
    <sheetView tabSelected="1" workbookViewId="0">
      <selection activeCell="E11" sqref="E11"/>
    </sheetView>
  </sheetViews>
  <sheetFormatPr defaultRowHeight="14.5" x14ac:dyDescent="0.35"/>
  <cols>
    <col min="2" max="2" width="16.54296875" bestFit="1" customWidth="1"/>
    <col min="3" max="3" width="14.81640625" customWidth="1"/>
    <col min="4" max="4" width="10.453125" bestFit="1" customWidth="1"/>
    <col min="5" max="5" width="49.1796875" customWidth="1"/>
  </cols>
  <sheetData>
    <row r="1" spans="2:5" x14ac:dyDescent="0.35">
      <c r="B1" t="s">
        <v>16</v>
      </c>
      <c r="C1" t="s">
        <v>15</v>
      </c>
      <c r="D1" t="s">
        <v>17</v>
      </c>
      <c r="E1" t="s">
        <v>37</v>
      </c>
    </row>
    <row r="2" spans="2:5" x14ac:dyDescent="0.35">
      <c r="B2" t="s">
        <v>19</v>
      </c>
      <c r="C2">
        <v>300</v>
      </c>
      <c r="D2" t="s">
        <v>22</v>
      </c>
    </row>
    <row r="3" spans="2:5" ht="29" x14ac:dyDescent="0.35">
      <c r="B3" s="14" t="s">
        <v>14</v>
      </c>
      <c r="C3">
        <f>4652000</f>
        <v>4652000</v>
      </c>
      <c r="D3" t="s">
        <v>18</v>
      </c>
      <c r="E3" t="s">
        <v>54</v>
      </c>
    </row>
    <row r="4" spans="2:5" x14ac:dyDescent="0.35">
      <c r="B4" t="s">
        <v>20</v>
      </c>
      <c r="C4">
        <v>4</v>
      </c>
      <c r="D4" t="s">
        <v>21</v>
      </c>
      <c r="E4" t="s">
        <v>52</v>
      </c>
    </row>
    <row r="5" spans="2:5" x14ac:dyDescent="0.35">
      <c r="B5" t="s">
        <v>23</v>
      </c>
      <c r="C5">
        <v>256</v>
      </c>
      <c r="E5" t="s">
        <v>52</v>
      </c>
    </row>
    <row r="6" spans="2:5" x14ac:dyDescent="0.35">
      <c r="B6" t="s">
        <v>35</v>
      </c>
      <c r="C6" s="13">
        <f>(C5*(1/C3))*1000000</f>
        <v>55.030094582975067</v>
      </c>
      <c r="D6" t="s">
        <v>26</v>
      </c>
      <c r="E6" t="s">
        <v>53</v>
      </c>
    </row>
    <row r="7" spans="2:5" x14ac:dyDescent="0.35">
      <c r="B7" t="s">
        <v>24</v>
      </c>
      <c r="C7">
        <f>(C3/C5)</f>
        <v>18171.875</v>
      </c>
      <c r="D7" t="s">
        <v>18</v>
      </c>
      <c r="E7" t="s">
        <v>55</v>
      </c>
    </row>
    <row r="8" spans="2:5" x14ac:dyDescent="0.35">
      <c r="B8" t="s">
        <v>25</v>
      </c>
      <c r="C8">
        <f>2/C2</f>
        <v>6.6666666666666671E-3</v>
      </c>
      <c r="D8" t="s">
        <v>26</v>
      </c>
    </row>
    <row r="9" spans="2:5" x14ac:dyDescent="0.35">
      <c r="B9" t="s">
        <v>25</v>
      </c>
      <c r="C9" s="16">
        <f>(C8*C4)*1000000</f>
        <v>26666.666666666668</v>
      </c>
      <c r="D9" t="s">
        <v>18</v>
      </c>
      <c r="E9">
        <f>175/27</f>
        <v>6.4814814814814818</v>
      </c>
    </row>
    <row r="10" spans="2:5" x14ac:dyDescent="0.35">
      <c r="B10" t="s">
        <v>27</v>
      </c>
      <c r="C10">
        <f>C7/C9</f>
        <v>0.68144531249999996</v>
      </c>
      <c r="D10" t="s">
        <v>28</v>
      </c>
      <c r="E10">
        <f>E9/C10</f>
        <v>9.5113743723660615</v>
      </c>
    </row>
    <row r="11" spans="2:5" x14ac:dyDescent="0.35">
      <c r="B11" t="s">
        <v>114</v>
      </c>
      <c r="C11">
        <f>C10*C5</f>
        <v>174.45</v>
      </c>
      <c r="D11" t="s">
        <v>28</v>
      </c>
    </row>
    <row r="12" spans="2:5" x14ac:dyDescent="0.35">
      <c r="B12" t="s">
        <v>30</v>
      </c>
      <c r="C12">
        <v>76.010000000000005</v>
      </c>
      <c r="D12" t="s">
        <v>31</v>
      </c>
      <c r="E12" t="s">
        <v>52</v>
      </c>
    </row>
    <row r="13" spans="2:5" x14ac:dyDescent="0.35">
      <c r="B13" t="s">
        <v>32</v>
      </c>
      <c r="C13">
        <f>C2/C12</f>
        <v>3.9468490988027889</v>
      </c>
      <c r="D13" t="s">
        <v>33</v>
      </c>
      <c r="E13" t="s">
        <v>43</v>
      </c>
    </row>
    <row r="14" spans="2:5" x14ac:dyDescent="0.35">
      <c r="C14">
        <f>C13/1000</f>
        <v>3.9468490988027885E-3</v>
      </c>
      <c r="D14" t="s">
        <v>34</v>
      </c>
    </row>
    <row r="15" spans="2:5" x14ac:dyDescent="0.35">
      <c r="B15" t="s">
        <v>29</v>
      </c>
      <c r="C15">
        <v>128</v>
      </c>
    </row>
    <row r="16" spans="2:5" ht="43.5" x14ac:dyDescent="0.35">
      <c r="B16" t="s">
        <v>40</v>
      </c>
      <c r="C16">
        <v>65</v>
      </c>
      <c r="D16" t="s">
        <v>26</v>
      </c>
      <c r="E16" s="14" t="s">
        <v>39</v>
      </c>
    </row>
    <row r="17" spans="2:5" x14ac:dyDescent="0.35">
      <c r="B17" t="s">
        <v>38</v>
      </c>
      <c r="C17" s="13">
        <f>1/(C16*0.000001)</f>
        <v>15384.615384615387</v>
      </c>
      <c r="D17" t="s">
        <v>18</v>
      </c>
      <c r="E17" t="s">
        <v>41</v>
      </c>
    </row>
    <row r="18" spans="2:5" x14ac:dyDescent="0.35">
      <c r="B18" t="s">
        <v>45</v>
      </c>
      <c r="C18" s="13">
        <f>C17/C15</f>
        <v>120.19230769230771</v>
      </c>
      <c r="D18" t="s">
        <v>18</v>
      </c>
      <c r="E18" t="s">
        <v>42</v>
      </c>
    </row>
    <row r="19" spans="2:5" x14ac:dyDescent="0.35">
      <c r="B19" t="s">
        <v>44</v>
      </c>
      <c r="C19">
        <f>(C18*C14)/2</f>
        <v>0.23719045064920607</v>
      </c>
      <c r="D19" t="s">
        <v>36</v>
      </c>
      <c r="E19" t="s">
        <v>46</v>
      </c>
    </row>
    <row r="20" spans="2:5" x14ac:dyDescent="0.35">
      <c r="B20" t="s">
        <v>47</v>
      </c>
      <c r="C20">
        <f>(4*PI()*C19*C16*0.000001)/C14</f>
        <v>4.9087385212340517E-2</v>
      </c>
      <c r="D20" t="s">
        <v>48</v>
      </c>
      <c r="E20" t="s">
        <v>49</v>
      </c>
    </row>
    <row r="21" spans="2:5" x14ac:dyDescent="0.35">
      <c r="B21" t="s">
        <v>50</v>
      </c>
      <c r="C21" s="13">
        <f>C19*(C15/2)</f>
        <v>15.180188841549189</v>
      </c>
      <c r="D21" t="s">
        <v>36</v>
      </c>
      <c r="E21" t="s">
        <v>51</v>
      </c>
    </row>
    <row r="22" spans="2:5" x14ac:dyDescent="0.35">
      <c r="C22" s="13">
        <f>(C21*1000)/3600</f>
        <v>4.2167191226525524</v>
      </c>
      <c r="D22" t="s">
        <v>178</v>
      </c>
    </row>
    <row r="23" spans="2:5" x14ac:dyDescent="0.35">
      <c r="B23" t="s">
        <v>56</v>
      </c>
      <c r="C23" s="12">
        <f>C4*C6</f>
        <v>220.12037833190027</v>
      </c>
      <c r="D23" t="s">
        <v>57</v>
      </c>
      <c r="E23" t="s">
        <v>58</v>
      </c>
    </row>
    <row r="27" spans="2:5" x14ac:dyDescent="0.35">
      <c r="B27" t="s">
        <v>120</v>
      </c>
      <c r="C27">
        <v>1</v>
      </c>
    </row>
    <row r="28" spans="2:5" x14ac:dyDescent="0.35">
      <c r="B28" t="s">
        <v>121</v>
      </c>
      <c r="C28">
        <v>4</v>
      </c>
    </row>
    <row r="29" spans="2:5" x14ac:dyDescent="0.35">
      <c r="B29" t="s">
        <v>122</v>
      </c>
      <c r="C29">
        <f>C14/2</f>
        <v>1.9734245494013943E-3</v>
      </c>
      <c r="D29" t="s">
        <v>34</v>
      </c>
    </row>
    <row r="30" spans="2:5" x14ac:dyDescent="0.35">
      <c r="B30" t="s">
        <v>123</v>
      </c>
      <c r="C30">
        <f>((ASIN(C14/(2*C29)))*180)/PI()</f>
        <v>90</v>
      </c>
      <c r="D30" t="s">
        <v>124</v>
      </c>
    </row>
    <row r="34" spans="2:4" x14ac:dyDescent="0.35">
      <c r="B34" t="s">
        <v>175</v>
      </c>
    </row>
    <row r="35" spans="2:4" x14ac:dyDescent="0.35">
      <c r="B35" t="s">
        <v>176</v>
      </c>
      <c r="C35">
        <f>0.3</f>
        <v>0.3</v>
      </c>
      <c r="D35" t="s">
        <v>34</v>
      </c>
    </row>
    <row r="36" spans="2:4" x14ac:dyDescent="0.35">
      <c r="B36" t="s">
        <v>114</v>
      </c>
      <c r="C36">
        <f>C10*C5*(0.9)</f>
        <v>157.005</v>
      </c>
      <c r="D36" t="s">
        <v>34</v>
      </c>
    </row>
    <row r="37" spans="2:4" x14ac:dyDescent="0.35">
      <c r="B37" t="s">
        <v>177</v>
      </c>
      <c r="C37">
        <f>0.075</f>
        <v>7.4999999999999997E-2</v>
      </c>
      <c r="D37" t="s">
        <v>34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2A36-77BD-4390-93E4-4D43FC0EF49C}">
  <dimension ref="A1:J24"/>
  <sheetViews>
    <sheetView topLeftCell="D7" workbookViewId="0">
      <selection activeCell="G25" sqref="G25"/>
    </sheetView>
  </sheetViews>
  <sheetFormatPr defaultRowHeight="14.5" x14ac:dyDescent="0.35"/>
  <cols>
    <col min="1" max="1" width="17.81640625" customWidth="1"/>
    <col min="7" max="7" width="12" bestFit="1" customWidth="1"/>
    <col min="10" max="10" width="12" bestFit="1" customWidth="1"/>
  </cols>
  <sheetData>
    <row r="1" spans="1:10" x14ac:dyDescent="0.35">
      <c r="F1" t="s">
        <v>127</v>
      </c>
      <c r="G1">
        <f>7600000000</f>
        <v>7600000000</v>
      </c>
      <c r="H1" t="s">
        <v>18</v>
      </c>
    </row>
    <row r="2" spans="1:10" x14ac:dyDescent="0.35">
      <c r="A2" t="s">
        <v>115</v>
      </c>
      <c r="B2">
        <v>10.5</v>
      </c>
      <c r="C2" t="s">
        <v>116</v>
      </c>
      <c r="F2" t="s">
        <v>128</v>
      </c>
      <c r="G2">
        <f>300000000</f>
        <v>300000000</v>
      </c>
      <c r="H2" t="s">
        <v>36</v>
      </c>
    </row>
    <row r="3" spans="1:10" x14ac:dyDescent="0.35">
      <c r="A3" t="s">
        <v>117</v>
      </c>
      <c r="B3">
        <f>28*2</f>
        <v>56</v>
      </c>
      <c r="C3" t="s">
        <v>118</v>
      </c>
      <c r="F3" t="s">
        <v>129</v>
      </c>
      <c r="G3">
        <f>(G2/G1)/2</f>
        <v>1.9736842105263157E-2</v>
      </c>
      <c r="H3" t="s">
        <v>34</v>
      </c>
    </row>
    <row r="4" spans="1:10" x14ac:dyDescent="0.35">
      <c r="F4" t="s">
        <v>131</v>
      </c>
      <c r="G4">
        <v>0.52359999999999995</v>
      </c>
      <c r="H4" t="s">
        <v>125</v>
      </c>
    </row>
    <row r="6" spans="1:10" x14ac:dyDescent="0.35">
      <c r="A6" t="s">
        <v>119</v>
      </c>
      <c r="B6">
        <f>2*14</f>
        <v>28</v>
      </c>
      <c r="C6" t="s">
        <v>118</v>
      </c>
      <c r="E6" t="s">
        <v>126</v>
      </c>
      <c r="F6" t="s">
        <v>130</v>
      </c>
      <c r="G6" t="s">
        <v>132</v>
      </c>
      <c r="H6" t="s">
        <v>133</v>
      </c>
    </row>
    <row r="7" spans="1:10" x14ac:dyDescent="0.35">
      <c r="E7">
        <v>0</v>
      </c>
      <c r="F7">
        <f>E7*$G$3</f>
        <v>0</v>
      </c>
      <c r="G7">
        <f>SIN($G$4)*(2*PI()/($G$3*2))*F7</f>
        <v>0</v>
      </c>
      <c r="H7">
        <f>F7*SIN($G$4)</f>
        <v>0</v>
      </c>
    </row>
    <row r="8" spans="1:10" x14ac:dyDescent="0.35">
      <c r="E8">
        <v>1</v>
      </c>
      <c r="F8">
        <f>E8*$G$3</f>
        <v>1.9736842105263157E-2</v>
      </c>
      <c r="G8">
        <f>SIN($G$4)*(2*PI()/($G$3*2))*F8</f>
        <v>1.5707996580222598</v>
      </c>
      <c r="H8">
        <f>F8*SIN($G$4)</f>
        <v>9.8684419808408447E-3</v>
      </c>
      <c r="J8">
        <f>G3/H8</f>
        <v>1.9999957585585837</v>
      </c>
    </row>
    <row r="9" spans="1:10" x14ac:dyDescent="0.35">
      <c r="E9">
        <v>2</v>
      </c>
      <c r="F9">
        <f>E9*$G$3</f>
        <v>3.9473684210526314E-2</v>
      </c>
      <c r="G9">
        <f>SIN($G$4)*(2*PI()/($G$3*2))*F9</f>
        <v>3.1415993160445197</v>
      </c>
      <c r="H9">
        <f>F9*SIN($G$4)</f>
        <v>1.9736883961681689E-2</v>
      </c>
    </row>
    <row r="10" spans="1:10" x14ac:dyDescent="0.35">
      <c r="E10">
        <v>3</v>
      </c>
      <c r="F10">
        <f>E10*$G$3</f>
        <v>5.921052631578947E-2</v>
      </c>
      <c r="G10">
        <f>SIN($G$4)*(2*PI()/($G$3*2))*F10</f>
        <v>4.7123989740667795</v>
      </c>
      <c r="H10">
        <f>F10*SIN($G$4)</f>
        <v>2.9605325942522534E-2</v>
      </c>
    </row>
    <row r="14" spans="1:10" x14ac:dyDescent="0.35">
      <c r="E14" t="s">
        <v>179</v>
      </c>
      <c r="F14" t="s">
        <v>130</v>
      </c>
    </row>
    <row r="15" spans="1:10" x14ac:dyDescent="0.35">
      <c r="E15">
        <v>0</v>
      </c>
      <c r="F15">
        <v>0</v>
      </c>
    </row>
    <row r="16" spans="1:10" x14ac:dyDescent="0.35">
      <c r="E16">
        <v>1</v>
      </c>
      <c r="F16">
        <f>E16*(2*$G$3)</f>
        <v>3.9473684210526314E-2</v>
      </c>
    </row>
    <row r="17" spans="5:7" x14ac:dyDescent="0.35">
      <c r="E17">
        <v>2</v>
      </c>
      <c r="F17">
        <f>E17*(2*$G$3)</f>
        <v>7.8947368421052627E-2</v>
      </c>
    </row>
    <row r="21" spans="5:7" x14ac:dyDescent="0.35">
      <c r="E21" t="s">
        <v>115</v>
      </c>
      <c r="F21">
        <v>10.5</v>
      </c>
      <c r="G21" t="s">
        <v>116</v>
      </c>
    </row>
    <row r="22" spans="5:7" x14ac:dyDescent="0.35">
      <c r="E22" t="s">
        <v>180</v>
      </c>
      <c r="F22" t="s">
        <v>181</v>
      </c>
      <c r="G22" t="s">
        <v>31</v>
      </c>
    </row>
    <row r="23" spans="5:7" x14ac:dyDescent="0.35">
      <c r="E23" t="s">
        <v>182</v>
      </c>
      <c r="F23" s="15" t="s">
        <v>183</v>
      </c>
      <c r="G23" t="s">
        <v>118</v>
      </c>
    </row>
    <row r="24" spans="5:7" x14ac:dyDescent="0.35">
      <c r="E24" t="s">
        <v>184</v>
      </c>
      <c r="F24" s="15" t="s">
        <v>185</v>
      </c>
      <c r="G24" t="s">
        <v>118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8CFF-DCA9-49C7-A3FA-BE5ECE33D8CE}">
  <dimension ref="A2:D20"/>
  <sheetViews>
    <sheetView workbookViewId="0">
      <selection activeCell="C15" sqref="C15"/>
    </sheetView>
  </sheetViews>
  <sheetFormatPr defaultRowHeight="14.5" x14ac:dyDescent="0.35"/>
  <cols>
    <col min="1" max="1" width="18.1796875" customWidth="1"/>
    <col min="2" max="2" width="28.54296875" bestFit="1" customWidth="1"/>
    <col min="3" max="3" width="14.453125" customWidth="1"/>
    <col min="4" max="4" width="13.54296875" customWidth="1"/>
  </cols>
  <sheetData>
    <row r="2" spans="1:4" x14ac:dyDescent="0.35">
      <c r="A2" t="s">
        <v>167</v>
      </c>
      <c r="B2" t="s">
        <v>136</v>
      </c>
      <c r="C2" t="s">
        <v>146</v>
      </c>
      <c r="D2" t="s">
        <v>147</v>
      </c>
    </row>
    <row r="3" spans="1:4" x14ac:dyDescent="0.35">
      <c r="B3" t="s">
        <v>91</v>
      </c>
      <c r="C3">
        <v>4</v>
      </c>
      <c r="D3">
        <v>1</v>
      </c>
    </row>
    <row r="4" spans="1:4" x14ac:dyDescent="0.35">
      <c r="B4" t="s">
        <v>92</v>
      </c>
      <c r="C4">
        <v>1</v>
      </c>
      <c r="D4">
        <v>1</v>
      </c>
    </row>
    <row r="5" spans="1:4" x14ac:dyDescent="0.35">
      <c r="A5" t="s">
        <v>150</v>
      </c>
      <c r="B5" t="s">
        <v>148</v>
      </c>
      <c r="C5">
        <f>LOG(2*C7,2)</f>
        <v>4</v>
      </c>
      <c r="D5">
        <f>LOG(2*D7,2)</f>
        <v>4</v>
      </c>
    </row>
    <row r="6" spans="1:4" x14ac:dyDescent="0.35">
      <c r="B6" t="s">
        <v>65</v>
      </c>
      <c r="C6">
        <v>4</v>
      </c>
      <c r="D6">
        <v>4</v>
      </c>
    </row>
    <row r="7" spans="1:4" x14ac:dyDescent="0.35">
      <c r="A7" t="s">
        <v>151</v>
      </c>
      <c r="B7" t="s">
        <v>137</v>
      </c>
      <c r="C7">
        <v>8</v>
      </c>
      <c r="D7">
        <v>8</v>
      </c>
    </row>
    <row r="8" spans="1:4" x14ac:dyDescent="0.35">
      <c r="B8" t="s">
        <v>138</v>
      </c>
      <c r="C8">
        <f>C3*C4</f>
        <v>4</v>
      </c>
      <c r="D8">
        <f>D3*D4</f>
        <v>1</v>
      </c>
    </row>
    <row r="9" spans="1:4" ht="29" x14ac:dyDescent="0.35">
      <c r="A9" s="14" t="s">
        <v>168</v>
      </c>
      <c r="B9" t="s">
        <v>169</v>
      </c>
      <c r="C9">
        <v>14</v>
      </c>
      <c r="D9">
        <v>14</v>
      </c>
    </row>
    <row r="10" spans="1:4" x14ac:dyDescent="0.35">
      <c r="B10" t="s">
        <v>174</v>
      </c>
      <c r="C10">
        <f>10^(C9/20)</f>
        <v>5.0118723362727229</v>
      </c>
      <c r="D10">
        <f>10^(D9/20)</f>
        <v>5.0118723362727229</v>
      </c>
    </row>
    <row r="11" spans="1:4" x14ac:dyDescent="0.35">
      <c r="B11" t="s">
        <v>170</v>
      </c>
      <c r="C11">
        <f>LOG(C10,2)</f>
        <v>2.3253496664211535</v>
      </c>
      <c r="D11">
        <f>LOG(D10,2)</f>
        <v>2.3253496664211535</v>
      </c>
    </row>
    <row r="12" spans="1:4" x14ac:dyDescent="0.35">
      <c r="B12" t="s">
        <v>173</v>
      </c>
      <c r="C12">
        <f>C10*256</f>
        <v>1283.0393180858171</v>
      </c>
    </row>
    <row r="13" spans="1:4" x14ac:dyDescent="0.35">
      <c r="C13">
        <f>LOG(C12,2)</f>
        <v>10.325349666421154</v>
      </c>
    </row>
    <row r="14" spans="1:4" x14ac:dyDescent="0.35">
      <c r="B14" t="s">
        <v>171</v>
      </c>
      <c r="C14">
        <v>8</v>
      </c>
      <c r="D14">
        <v>0</v>
      </c>
    </row>
    <row r="15" spans="1:4" x14ac:dyDescent="0.35">
      <c r="B15" t="s">
        <v>172</v>
      </c>
      <c r="C15">
        <f>(2^C14)*C8</f>
        <v>1024</v>
      </c>
      <c r="D15">
        <f>(2^D14)*D8</f>
        <v>1</v>
      </c>
    </row>
    <row r="16" spans="1:4" x14ac:dyDescent="0.35">
      <c r="B16" t="s">
        <v>144</v>
      </c>
      <c r="C16">
        <f>LOG(C10,2)</f>
        <v>2.3253496664211535</v>
      </c>
      <c r="D16">
        <f>LOG(D10,2)</f>
        <v>2.3253496664211535</v>
      </c>
    </row>
    <row r="17" spans="1:4" x14ac:dyDescent="0.35">
      <c r="A17" t="s">
        <v>149</v>
      </c>
      <c r="B17" t="s">
        <v>141</v>
      </c>
      <c r="C17">
        <f>C16*C15</f>
        <v>2381.1580584152612</v>
      </c>
      <c r="D17">
        <f>D16*D15</f>
        <v>2.3253496664211535</v>
      </c>
    </row>
    <row r="20" spans="1:4" x14ac:dyDescent="0.35">
      <c r="C20">
        <f>C13-LOG(256,2)</f>
        <v>2.3253496664211539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F99C-7CA0-46B7-BA44-7CC7350651CF}">
  <dimension ref="A1:L37"/>
  <sheetViews>
    <sheetView topLeftCell="D4" workbookViewId="0">
      <selection activeCell="I6" sqref="I6"/>
    </sheetView>
  </sheetViews>
  <sheetFormatPr defaultRowHeight="14.5" x14ac:dyDescent="0.35"/>
  <cols>
    <col min="2" max="2" width="16.26953125" bestFit="1" customWidth="1"/>
    <col min="3" max="3" width="26.7265625" customWidth="1"/>
    <col min="7" max="7" width="18.54296875" customWidth="1"/>
    <col min="8" max="8" width="12.453125" bestFit="1" customWidth="1"/>
    <col min="9" max="11" width="12.54296875" bestFit="1" customWidth="1"/>
    <col min="12" max="12" width="14.1796875" bestFit="1" customWidth="1"/>
  </cols>
  <sheetData>
    <row r="1" spans="1:12" x14ac:dyDescent="0.35">
      <c r="F1" t="s">
        <v>64</v>
      </c>
      <c r="G1">
        <v>32</v>
      </c>
    </row>
    <row r="2" spans="1:12" x14ac:dyDescent="0.35">
      <c r="F2" t="s">
        <v>65</v>
      </c>
      <c r="G2">
        <v>4</v>
      </c>
    </row>
    <row r="3" spans="1:12" x14ac:dyDescent="0.35">
      <c r="F3" t="s">
        <v>67</v>
      </c>
      <c r="G3">
        <v>8</v>
      </c>
    </row>
    <row r="5" spans="1:12" x14ac:dyDescent="0.35">
      <c r="A5" t="s">
        <v>63</v>
      </c>
      <c r="B5" t="s">
        <v>66</v>
      </c>
      <c r="C5" t="s">
        <v>68</v>
      </c>
      <c r="F5" t="s">
        <v>74</v>
      </c>
      <c r="G5" t="s">
        <v>75</v>
      </c>
      <c r="H5" t="s">
        <v>80</v>
      </c>
      <c r="I5" t="s">
        <v>76</v>
      </c>
      <c r="J5" t="s">
        <v>77</v>
      </c>
      <c r="K5" t="s">
        <v>78</v>
      </c>
      <c r="L5" t="s">
        <v>79</v>
      </c>
    </row>
    <row r="6" spans="1:12" x14ac:dyDescent="0.35">
      <c r="A6">
        <v>1</v>
      </c>
      <c r="B6">
        <f t="shared" ref="B6:B13" si="0">$G$1-$G$2-A6</f>
        <v>27</v>
      </c>
      <c r="C6">
        <f t="shared" ref="C6:C13" si="1">A6+$G$2</f>
        <v>5</v>
      </c>
      <c r="F6">
        <v>1</v>
      </c>
      <c r="G6">
        <v>29</v>
      </c>
      <c r="H6">
        <v>5</v>
      </c>
      <c r="I6">
        <f>G6-1</f>
        <v>28</v>
      </c>
      <c r="J6">
        <f>I6-$G$3+1</f>
        <v>21</v>
      </c>
      <c r="K6">
        <f t="shared" ref="K6:K32" si="2">H6+1</f>
        <v>6</v>
      </c>
      <c r="L6">
        <f t="shared" ref="L6:L25" si="3">K6+$G$3-1</f>
        <v>13</v>
      </c>
    </row>
    <row r="7" spans="1:12" x14ac:dyDescent="0.35">
      <c r="A7">
        <v>2</v>
      </c>
      <c r="B7">
        <f t="shared" si="0"/>
        <v>26</v>
      </c>
      <c r="C7">
        <f t="shared" si="1"/>
        <v>6</v>
      </c>
      <c r="F7">
        <v>2</v>
      </c>
      <c r="G7">
        <f t="shared" ref="G7:H9" si="4">G6+1</f>
        <v>30</v>
      </c>
      <c r="H7">
        <f t="shared" si="4"/>
        <v>6</v>
      </c>
      <c r="I7">
        <f>G7-1</f>
        <v>29</v>
      </c>
      <c r="J7">
        <f>I7-$G$3+1</f>
        <v>22</v>
      </c>
      <c r="K7">
        <f t="shared" si="2"/>
        <v>7</v>
      </c>
      <c r="L7">
        <f t="shared" si="3"/>
        <v>14</v>
      </c>
    </row>
    <row r="8" spans="1:12" x14ac:dyDescent="0.35">
      <c r="A8">
        <v>3</v>
      </c>
      <c r="B8">
        <f t="shared" si="0"/>
        <v>25</v>
      </c>
      <c r="C8">
        <f t="shared" si="1"/>
        <v>7</v>
      </c>
      <c r="F8">
        <v>3</v>
      </c>
      <c r="G8">
        <f t="shared" si="4"/>
        <v>31</v>
      </c>
      <c r="H8">
        <f t="shared" si="4"/>
        <v>7</v>
      </c>
      <c r="I8">
        <f>G8-1</f>
        <v>30</v>
      </c>
      <c r="J8">
        <f>I8-$G$3+1</f>
        <v>23</v>
      </c>
      <c r="K8">
        <f t="shared" si="2"/>
        <v>8</v>
      </c>
      <c r="L8">
        <f t="shared" si="3"/>
        <v>15</v>
      </c>
    </row>
    <row r="9" spans="1:12" x14ac:dyDescent="0.35">
      <c r="A9">
        <v>4</v>
      </c>
      <c r="B9">
        <f t="shared" si="0"/>
        <v>24</v>
      </c>
      <c r="C9">
        <f t="shared" si="1"/>
        <v>8</v>
      </c>
      <c r="F9">
        <v>4</v>
      </c>
      <c r="G9">
        <f t="shared" si="4"/>
        <v>32</v>
      </c>
      <c r="H9">
        <f t="shared" si="4"/>
        <v>8</v>
      </c>
      <c r="I9">
        <f>G9-1</f>
        <v>31</v>
      </c>
      <c r="J9">
        <f>I9-$G$3+1</f>
        <v>24</v>
      </c>
      <c r="K9">
        <f t="shared" si="2"/>
        <v>9</v>
      </c>
      <c r="L9">
        <f t="shared" si="3"/>
        <v>16</v>
      </c>
    </row>
    <row r="10" spans="1:12" x14ac:dyDescent="0.35">
      <c r="A10">
        <v>5</v>
      </c>
      <c r="B10">
        <f t="shared" si="0"/>
        <v>23</v>
      </c>
      <c r="C10">
        <f t="shared" si="1"/>
        <v>9</v>
      </c>
      <c r="F10">
        <v>5</v>
      </c>
      <c r="G10">
        <v>1</v>
      </c>
      <c r="H10">
        <f t="shared" ref="H10:H32" si="5">H9+1</f>
        <v>9</v>
      </c>
      <c r="I10">
        <v>32</v>
      </c>
      <c r="J10">
        <f>I10-$G$3+1</f>
        <v>25</v>
      </c>
      <c r="K10">
        <f t="shared" si="2"/>
        <v>10</v>
      </c>
      <c r="L10">
        <f t="shared" si="3"/>
        <v>17</v>
      </c>
    </row>
    <row r="11" spans="1:12" x14ac:dyDescent="0.35">
      <c r="A11">
        <v>6</v>
      </c>
      <c r="B11">
        <f t="shared" si="0"/>
        <v>22</v>
      </c>
      <c r="C11">
        <f t="shared" si="1"/>
        <v>10</v>
      </c>
      <c r="F11">
        <v>6</v>
      </c>
      <c r="G11">
        <v>2</v>
      </c>
      <c r="H11">
        <f t="shared" si="5"/>
        <v>10</v>
      </c>
      <c r="I11">
        <v>1</v>
      </c>
      <c r="J11">
        <f t="shared" ref="J11:J17" si="6">J10+1</f>
        <v>26</v>
      </c>
      <c r="K11">
        <f t="shared" si="2"/>
        <v>11</v>
      </c>
      <c r="L11">
        <f t="shared" si="3"/>
        <v>18</v>
      </c>
    </row>
    <row r="12" spans="1:12" x14ac:dyDescent="0.35">
      <c r="A12">
        <v>7</v>
      </c>
      <c r="B12">
        <f t="shared" si="0"/>
        <v>21</v>
      </c>
      <c r="C12">
        <f t="shared" si="1"/>
        <v>11</v>
      </c>
      <c r="F12">
        <v>7</v>
      </c>
      <c r="G12">
        <f t="shared" ref="G12:G32" si="7">G11+1</f>
        <v>3</v>
      </c>
      <c r="H12">
        <f t="shared" si="5"/>
        <v>11</v>
      </c>
      <c r="I12">
        <f t="shared" ref="I12:I32" si="8">G12-1</f>
        <v>2</v>
      </c>
      <c r="J12">
        <f t="shared" si="6"/>
        <v>27</v>
      </c>
      <c r="K12">
        <f t="shared" si="2"/>
        <v>12</v>
      </c>
      <c r="L12">
        <f t="shared" si="3"/>
        <v>19</v>
      </c>
    </row>
    <row r="13" spans="1:12" x14ac:dyDescent="0.35">
      <c r="A13">
        <v>8</v>
      </c>
      <c r="B13">
        <f t="shared" si="0"/>
        <v>20</v>
      </c>
      <c r="C13">
        <f t="shared" si="1"/>
        <v>12</v>
      </c>
      <c r="F13">
        <v>8</v>
      </c>
      <c r="G13">
        <f t="shared" si="7"/>
        <v>4</v>
      </c>
      <c r="H13">
        <f t="shared" si="5"/>
        <v>12</v>
      </c>
      <c r="I13">
        <f t="shared" si="8"/>
        <v>3</v>
      </c>
      <c r="J13">
        <f t="shared" si="6"/>
        <v>28</v>
      </c>
      <c r="K13">
        <f t="shared" si="2"/>
        <v>13</v>
      </c>
      <c r="L13">
        <f t="shared" si="3"/>
        <v>20</v>
      </c>
    </row>
    <row r="14" spans="1:12" x14ac:dyDescent="0.35">
      <c r="F14">
        <v>9</v>
      </c>
      <c r="G14">
        <f t="shared" si="7"/>
        <v>5</v>
      </c>
      <c r="H14">
        <f t="shared" si="5"/>
        <v>13</v>
      </c>
      <c r="I14">
        <f t="shared" si="8"/>
        <v>4</v>
      </c>
      <c r="J14">
        <f t="shared" si="6"/>
        <v>29</v>
      </c>
      <c r="K14">
        <f t="shared" si="2"/>
        <v>14</v>
      </c>
      <c r="L14">
        <f t="shared" si="3"/>
        <v>21</v>
      </c>
    </row>
    <row r="15" spans="1:12" x14ac:dyDescent="0.35">
      <c r="F15">
        <v>10</v>
      </c>
      <c r="G15">
        <f t="shared" si="7"/>
        <v>6</v>
      </c>
      <c r="H15">
        <f t="shared" si="5"/>
        <v>14</v>
      </c>
      <c r="I15">
        <f t="shared" si="8"/>
        <v>5</v>
      </c>
      <c r="J15">
        <f t="shared" si="6"/>
        <v>30</v>
      </c>
      <c r="K15">
        <f t="shared" si="2"/>
        <v>15</v>
      </c>
      <c r="L15">
        <f t="shared" si="3"/>
        <v>22</v>
      </c>
    </row>
    <row r="16" spans="1:12" x14ac:dyDescent="0.35">
      <c r="B16" t="s">
        <v>69</v>
      </c>
      <c r="C16">
        <f>G1-G2-G3</f>
        <v>20</v>
      </c>
      <c r="F16">
        <v>11</v>
      </c>
      <c r="G16">
        <f t="shared" si="7"/>
        <v>7</v>
      </c>
      <c r="H16">
        <f t="shared" si="5"/>
        <v>15</v>
      </c>
      <c r="I16">
        <f t="shared" si="8"/>
        <v>6</v>
      </c>
      <c r="J16">
        <f t="shared" si="6"/>
        <v>31</v>
      </c>
      <c r="K16">
        <f t="shared" si="2"/>
        <v>16</v>
      </c>
      <c r="L16">
        <f t="shared" si="3"/>
        <v>23</v>
      </c>
    </row>
    <row r="17" spans="2:12" x14ac:dyDescent="0.35">
      <c r="B17" t="s">
        <v>70</v>
      </c>
      <c r="C17">
        <f>C16+G3</f>
        <v>28</v>
      </c>
      <c r="F17">
        <v>12</v>
      </c>
      <c r="G17">
        <f t="shared" si="7"/>
        <v>8</v>
      </c>
      <c r="H17">
        <f t="shared" si="5"/>
        <v>16</v>
      </c>
      <c r="I17">
        <f t="shared" si="8"/>
        <v>7</v>
      </c>
      <c r="J17">
        <f t="shared" si="6"/>
        <v>32</v>
      </c>
      <c r="K17">
        <f t="shared" si="2"/>
        <v>17</v>
      </c>
      <c r="L17">
        <f t="shared" si="3"/>
        <v>24</v>
      </c>
    </row>
    <row r="18" spans="2:12" x14ac:dyDescent="0.35">
      <c r="B18" t="s">
        <v>71</v>
      </c>
      <c r="C18">
        <f>1+G2</f>
        <v>5</v>
      </c>
      <c r="F18">
        <v>13</v>
      </c>
      <c r="G18">
        <f t="shared" si="7"/>
        <v>9</v>
      </c>
      <c r="H18">
        <f t="shared" si="5"/>
        <v>17</v>
      </c>
      <c r="I18">
        <f t="shared" si="8"/>
        <v>8</v>
      </c>
      <c r="J18">
        <f t="shared" ref="J18:J32" si="9">I18-$G$3+1</f>
        <v>1</v>
      </c>
      <c r="K18">
        <f t="shared" si="2"/>
        <v>18</v>
      </c>
      <c r="L18">
        <f t="shared" si="3"/>
        <v>25</v>
      </c>
    </row>
    <row r="19" spans="2:12" x14ac:dyDescent="0.35">
      <c r="B19" t="s">
        <v>72</v>
      </c>
      <c r="C19">
        <f>C18+G3</f>
        <v>13</v>
      </c>
      <c r="F19">
        <v>14</v>
      </c>
      <c r="G19">
        <f t="shared" si="7"/>
        <v>10</v>
      </c>
      <c r="H19">
        <f t="shared" si="5"/>
        <v>18</v>
      </c>
      <c r="I19">
        <f t="shared" si="8"/>
        <v>9</v>
      </c>
      <c r="J19">
        <f t="shared" si="9"/>
        <v>2</v>
      </c>
      <c r="K19">
        <f t="shared" si="2"/>
        <v>19</v>
      </c>
      <c r="L19">
        <f t="shared" si="3"/>
        <v>26</v>
      </c>
    </row>
    <row r="20" spans="2:12" x14ac:dyDescent="0.35">
      <c r="F20">
        <v>15</v>
      </c>
      <c r="G20">
        <f t="shared" si="7"/>
        <v>11</v>
      </c>
      <c r="H20">
        <f t="shared" si="5"/>
        <v>19</v>
      </c>
      <c r="I20">
        <f t="shared" si="8"/>
        <v>10</v>
      </c>
      <c r="J20">
        <f t="shared" si="9"/>
        <v>3</v>
      </c>
      <c r="K20">
        <f t="shared" si="2"/>
        <v>20</v>
      </c>
      <c r="L20">
        <f t="shared" si="3"/>
        <v>27</v>
      </c>
    </row>
    <row r="21" spans="2:12" x14ac:dyDescent="0.35">
      <c r="B21" t="s">
        <v>73</v>
      </c>
      <c r="F21">
        <v>16</v>
      </c>
      <c r="G21">
        <f t="shared" si="7"/>
        <v>12</v>
      </c>
      <c r="H21">
        <f t="shared" si="5"/>
        <v>20</v>
      </c>
      <c r="I21">
        <f t="shared" si="8"/>
        <v>11</v>
      </c>
      <c r="J21">
        <f t="shared" si="9"/>
        <v>4</v>
      </c>
      <c r="K21">
        <f t="shared" si="2"/>
        <v>21</v>
      </c>
      <c r="L21">
        <f t="shared" si="3"/>
        <v>28</v>
      </c>
    </row>
    <row r="22" spans="2:12" x14ac:dyDescent="0.35">
      <c r="B22">
        <v>1</v>
      </c>
      <c r="F22">
        <v>17</v>
      </c>
      <c r="G22">
        <f t="shared" si="7"/>
        <v>13</v>
      </c>
      <c r="H22">
        <f t="shared" si="5"/>
        <v>21</v>
      </c>
      <c r="I22">
        <f t="shared" si="8"/>
        <v>12</v>
      </c>
      <c r="J22">
        <f t="shared" si="9"/>
        <v>5</v>
      </c>
      <c r="K22">
        <f t="shared" si="2"/>
        <v>22</v>
      </c>
      <c r="L22">
        <f t="shared" si="3"/>
        <v>29</v>
      </c>
    </row>
    <row r="23" spans="2:12" x14ac:dyDescent="0.35">
      <c r="F23">
        <v>18</v>
      </c>
      <c r="G23">
        <f t="shared" si="7"/>
        <v>14</v>
      </c>
      <c r="H23">
        <f t="shared" si="5"/>
        <v>22</v>
      </c>
      <c r="I23">
        <f t="shared" si="8"/>
        <v>13</v>
      </c>
      <c r="J23">
        <f t="shared" si="9"/>
        <v>6</v>
      </c>
      <c r="K23">
        <f t="shared" si="2"/>
        <v>23</v>
      </c>
      <c r="L23">
        <f t="shared" si="3"/>
        <v>30</v>
      </c>
    </row>
    <row r="24" spans="2:12" x14ac:dyDescent="0.35">
      <c r="F24">
        <v>19</v>
      </c>
      <c r="G24">
        <f t="shared" si="7"/>
        <v>15</v>
      </c>
      <c r="H24">
        <f t="shared" si="5"/>
        <v>23</v>
      </c>
      <c r="I24">
        <f t="shared" si="8"/>
        <v>14</v>
      </c>
      <c r="J24">
        <f t="shared" si="9"/>
        <v>7</v>
      </c>
      <c r="K24">
        <f t="shared" si="2"/>
        <v>24</v>
      </c>
      <c r="L24">
        <f t="shared" si="3"/>
        <v>31</v>
      </c>
    </row>
    <row r="25" spans="2:12" x14ac:dyDescent="0.35">
      <c r="F25">
        <v>20</v>
      </c>
      <c r="G25">
        <f t="shared" si="7"/>
        <v>16</v>
      </c>
      <c r="H25">
        <f t="shared" si="5"/>
        <v>24</v>
      </c>
      <c r="I25">
        <f t="shared" si="8"/>
        <v>15</v>
      </c>
      <c r="J25">
        <f t="shared" si="9"/>
        <v>8</v>
      </c>
      <c r="K25">
        <f t="shared" si="2"/>
        <v>25</v>
      </c>
      <c r="L25">
        <f t="shared" si="3"/>
        <v>32</v>
      </c>
    </row>
    <row r="26" spans="2:12" x14ac:dyDescent="0.35">
      <c r="F26">
        <v>21</v>
      </c>
      <c r="G26">
        <f t="shared" si="7"/>
        <v>17</v>
      </c>
      <c r="H26">
        <f t="shared" si="5"/>
        <v>25</v>
      </c>
      <c r="I26">
        <f t="shared" si="8"/>
        <v>16</v>
      </c>
      <c r="J26">
        <f t="shared" si="9"/>
        <v>9</v>
      </c>
      <c r="K26">
        <f t="shared" si="2"/>
        <v>26</v>
      </c>
      <c r="L26">
        <v>1</v>
      </c>
    </row>
    <row r="27" spans="2:12" x14ac:dyDescent="0.35">
      <c r="F27">
        <v>22</v>
      </c>
      <c r="G27">
        <f t="shared" si="7"/>
        <v>18</v>
      </c>
      <c r="H27">
        <f t="shared" si="5"/>
        <v>26</v>
      </c>
      <c r="I27">
        <f t="shared" si="8"/>
        <v>17</v>
      </c>
      <c r="J27">
        <f t="shared" si="9"/>
        <v>10</v>
      </c>
      <c r="K27">
        <f t="shared" si="2"/>
        <v>27</v>
      </c>
      <c r="L27">
        <f t="shared" ref="L27:L32" si="10">L26+1</f>
        <v>2</v>
      </c>
    </row>
    <row r="28" spans="2:12" x14ac:dyDescent="0.35">
      <c r="F28">
        <v>23</v>
      </c>
      <c r="G28">
        <f t="shared" si="7"/>
        <v>19</v>
      </c>
      <c r="H28">
        <f t="shared" si="5"/>
        <v>27</v>
      </c>
      <c r="I28">
        <f t="shared" si="8"/>
        <v>18</v>
      </c>
      <c r="J28">
        <f t="shared" si="9"/>
        <v>11</v>
      </c>
      <c r="K28">
        <f t="shared" si="2"/>
        <v>28</v>
      </c>
      <c r="L28">
        <f t="shared" si="10"/>
        <v>3</v>
      </c>
    </row>
    <row r="29" spans="2:12" x14ac:dyDescent="0.35">
      <c r="F29">
        <v>24</v>
      </c>
      <c r="G29">
        <f t="shared" si="7"/>
        <v>20</v>
      </c>
      <c r="H29">
        <f t="shared" si="5"/>
        <v>28</v>
      </c>
      <c r="I29">
        <f t="shared" si="8"/>
        <v>19</v>
      </c>
      <c r="J29">
        <f t="shared" si="9"/>
        <v>12</v>
      </c>
      <c r="K29">
        <f t="shared" si="2"/>
        <v>29</v>
      </c>
      <c r="L29">
        <f t="shared" si="10"/>
        <v>4</v>
      </c>
    </row>
    <row r="30" spans="2:12" x14ac:dyDescent="0.35">
      <c r="F30">
        <v>25</v>
      </c>
      <c r="G30">
        <f t="shared" si="7"/>
        <v>21</v>
      </c>
      <c r="H30">
        <f t="shared" si="5"/>
        <v>29</v>
      </c>
      <c r="I30">
        <f t="shared" si="8"/>
        <v>20</v>
      </c>
      <c r="J30">
        <f t="shared" si="9"/>
        <v>13</v>
      </c>
      <c r="K30">
        <f t="shared" si="2"/>
        <v>30</v>
      </c>
      <c r="L30">
        <f t="shared" si="10"/>
        <v>5</v>
      </c>
    </row>
    <row r="31" spans="2:12" x14ac:dyDescent="0.35">
      <c r="F31">
        <v>26</v>
      </c>
      <c r="G31">
        <f t="shared" si="7"/>
        <v>22</v>
      </c>
      <c r="H31">
        <f t="shared" si="5"/>
        <v>30</v>
      </c>
      <c r="I31">
        <f t="shared" si="8"/>
        <v>21</v>
      </c>
      <c r="J31">
        <f t="shared" si="9"/>
        <v>14</v>
      </c>
      <c r="K31">
        <f t="shared" si="2"/>
        <v>31</v>
      </c>
      <c r="L31">
        <f t="shared" si="10"/>
        <v>6</v>
      </c>
    </row>
    <row r="32" spans="2:12" x14ac:dyDescent="0.35">
      <c r="E32">
        <f>32-4</f>
        <v>28</v>
      </c>
      <c r="F32">
        <v>27</v>
      </c>
      <c r="G32">
        <f t="shared" si="7"/>
        <v>23</v>
      </c>
      <c r="H32">
        <f t="shared" si="5"/>
        <v>31</v>
      </c>
      <c r="I32">
        <f t="shared" si="8"/>
        <v>22</v>
      </c>
      <c r="J32">
        <f t="shared" si="9"/>
        <v>15</v>
      </c>
      <c r="K32">
        <f t="shared" si="2"/>
        <v>32</v>
      </c>
      <c r="L32">
        <f t="shared" si="10"/>
        <v>7</v>
      </c>
    </row>
    <row r="33" spans="6:6" x14ac:dyDescent="0.35">
      <c r="F33">
        <v>28</v>
      </c>
    </row>
    <row r="34" spans="6:6" x14ac:dyDescent="0.35">
      <c r="F34">
        <v>29</v>
      </c>
    </row>
    <row r="35" spans="6:6" x14ac:dyDescent="0.35">
      <c r="F35">
        <v>30</v>
      </c>
    </row>
    <row r="36" spans="6:6" x14ac:dyDescent="0.35">
      <c r="F36">
        <v>31</v>
      </c>
    </row>
    <row r="37" spans="6:6" x14ac:dyDescent="0.35">
      <c r="F37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7628-BCD2-4A9C-8F2E-FB419010F1AB}">
  <dimension ref="B1:J37"/>
  <sheetViews>
    <sheetView workbookViewId="0">
      <selection activeCell="J10" sqref="J10:J17"/>
    </sheetView>
  </sheetViews>
  <sheetFormatPr defaultRowHeight="14.5" x14ac:dyDescent="0.35"/>
  <cols>
    <col min="3" max="3" width="12.453125" bestFit="1" customWidth="1"/>
    <col min="4" max="4" width="12" bestFit="1" customWidth="1"/>
    <col min="5" max="5" width="12.54296875" bestFit="1" customWidth="1"/>
    <col min="6" max="6" width="11.7265625" bestFit="1" customWidth="1"/>
    <col min="7" max="7" width="12.453125" bestFit="1" customWidth="1"/>
    <col min="8" max="8" width="14.1796875" bestFit="1" customWidth="1"/>
  </cols>
  <sheetData>
    <row r="1" spans="2:10" x14ac:dyDescent="0.35">
      <c r="B1" t="s">
        <v>64</v>
      </c>
      <c r="C1">
        <v>32</v>
      </c>
    </row>
    <row r="2" spans="2:10" x14ac:dyDescent="0.35">
      <c r="B2" t="s">
        <v>65</v>
      </c>
      <c r="C2">
        <v>4</v>
      </c>
    </row>
    <row r="3" spans="2:10" x14ac:dyDescent="0.35">
      <c r="B3" t="s">
        <v>67</v>
      </c>
      <c r="C3">
        <v>8</v>
      </c>
    </row>
    <row r="5" spans="2:10" x14ac:dyDescent="0.35">
      <c r="B5" t="s">
        <v>74</v>
      </c>
      <c r="C5" t="s">
        <v>75</v>
      </c>
      <c r="D5" t="s">
        <v>76</v>
      </c>
      <c r="E5" t="s">
        <v>77</v>
      </c>
      <c r="F5" t="s">
        <v>80</v>
      </c>
      <c r="G5" t="s">
        <v>78</v>
      </c>
      <c r="H5" t="s">
        <v>79</v>
      </c>
    </row>
    <row r="6" spans="2:10" x14ac:dyDescent="0.35">
      <c r="B6">
        <v>1</v>
      </c>
      <c r="C6">
        <f>IF((B6-$C$2)&lt;1,(B6-$C$2)+$C$1,(B6-$C$2))</f>
        <v>29</v>
      </c>
      <c r="D6">
        <f>IF(C6-1&lt;1,C6-1+$C$1,C6-1)</f>
        <v>28</v>
      </c>
      <c r="E6">
        <f>IF((D6-$C$3+1)&lt;1,(D6-$C$3+1)+$C$1,D6-$C$3+1)</f>
        <v>21</v>
      </c>
      <c r="F6">
        <f>IF((B6+$C$2)&gt;$C$1,B6+$C$2-$C$1,B6+$C$2)</f>
        <v>5</v>
      </c>
      <c r="G6">
        <f>IF(F6+1&gt;$C$1,F6+1-$C$1,F6+1)</f>
        <v>6</v>
      </c>
      <c r="H6">
        <f t="shared" ref="H6:H24" si="0">IF((G6+$C$3-1)&gt;$C$1,G6+$C$3-1-$C$1,G6+$C$3-1)</f>
        <v>13</v>
      </c>
      <c r="J6">
        <v>1</v>
      </c>
    </row>
    <row r="7" spans="2:10" x14ac:dyDescent="0.35">
      <c r="B7">
        <v>2</v>
      </c>
      <c r="C7">
        <f>IF((B7-$C$2)&lt;1,(B7-$C$2)+$C$1,(B7-$C$2))</f>
        <v>30</v>
      </c>
      <c r="D7">
        <f t="shared" ref="D7:D37" si="1">IF(C7-1&lt;1,C7-1+$C$1,C7-1)</f>
        <v>29</v>
      </c>
      <c r="E7">
        <f>IF((D7-$C$3+1)&lt;1,(D7-$C$3+1)+$C$1,D7-$C$3+1)</f>
        <v>22</v>
      </c>
      <c r="F7">
        <f t="shared" ref="F7:F37" si="2">IF((B7+$C$2)&gt;$C$1,B7+$C$2-$C$1,B7+$C$2)</f>
        <v>6</v>
      </c>
      <c r="G7">
        <f t="shared" ref="G7:G37" si="3">IF(F7+1&gt;$C$1,F7+1-$C$1,F7+1)</f>
        <v>7</v>
      </c>
      <c r="H7">
        <f t="shared" si="0"/>
        <v>14</v>
      </c>
      <c r="J7">
        <v>2</v>
      </c>
    </row>
    <row r="8" spans="2:10" x14ac:dyDescent="0.35">
      <c r="B8">
        <v>3</v>
      </c>
      <c r="C8">
        <f>IF((B8-$C$2)&lt;1,(B8-$C$2)+$C$1,(B8-$C$2))</f>
        <v>31</v>
      </c>
      <c r="D8">
        <f t="shared" si="1"/>
        <v>30</v>
      </c>
      <c r="E8">
        <f>IF((D8-$C$3+1)&lt;1,(D8-$C$3+1)+$C$1,D8-$C$3+1)</f>
        <v>23</v>
      </c>
      <c r="F8">
        <f t="shared" si="2"/>
        <v>7</v>
      </c>
      <c r="G8">
        <f t="shared" si="3"/>
        <v>8</v>
      </c>
      <c r="H8">
        <f t="shared" si="0"/>
        <v>15</v>
      </c>
      <c r="J8">
        <v>3</v>
      </c>
    </row>
    <row r="9" spans="2:10" x14ac:dyDescent="0.35">
      <c r="B9">
        <v>4</v>
      </c>
      <c r="C9">
        <f t="shared" ref="C9:C37" si="4">IF((B9-$C$2)&lt;1,(B9-$C$2)+$C$1,(B9-$C$2))</f>
        <v>32</v>
      </c>
      <c r="D9">
        <f t="shared" si="1"/>
        <v>31</v>
      </c>
      <c r="E9">
        <f>IF((D9-$C$3+1)&lt;1,(D9-$C$3+1)+$C$1,D9-$C$3+1)</f>
        <v>24</v>
      </c>
      <c r="F9">
        <f t="shared" si="2"/>
        <v>8</v>
      </c>
      <c r="G9">
        <f t="shared" si="3"/>
        <v>9</v>
      </c>
      <c r="H9">
        <f t="shared" si="0"/>
        <v>16</v>
      </c>
      <c r="J9">
        <v>4</v>
      </c>
    </row>
    <row r="10" spans="2:10" x14ac:dyDescent="0.35">
      <c r="B10">
        <v>5</v>
      </c>
      <c r="C10">
        <f t="shared" si="4"/>
        <v>1</v>
      </c>
      <c r="D10">
        <f t="shared" si="1"/>
        <v>32</v>
      </c>
      <c r="E10">
        <f t="shared" ref="E10:E37" si="5">IF((D10-$C$3+1)&lt;1,(D10-$C$3+1)+$C$1,D10-$C$3+1)</f>
        <v>25</v>
      </c>
      <c r="F10">
        <f t="shared" si="2"/>
        <v>9</v>
      </c>
      <c r="G10">
        <f t="shared" si="3"/>
        <v>10</v>
      </c>
      <c r="H10">
        <f t="shared" si="0"/>
        <v>17</v>
      </c>
      <c r="J10">
        <v>5</v>
      </c>
    </row>
    <row r="11" spans="2:10" x14ac:dyDescent="0.35">
      <c r="B11">
        <v>6</v>
      </c>
      <c r="C11">
        <f t="shared" si="4"/>
        <v>2</v>
      </c>
      <c r="D11">
        <f t="shared" si="1"/>
        <v>1</v>
      </c>
      <c r="E11">
        <f t="shared" si="5"/>
        <v>26</v>
      </c>
      <c r="F11">
        <f t="shared" si="2"/>
        <v>10</v>
      </c>
      <c r="G11">
        <f t="shared" si="3"/>
        <v>11</v>
      </c>
      <c r="H11">
        <f t="shared" si="0"/>
        <v>18</v>
      </c>
      <c r="J11">
        <v>6</v>
      </c>
    </row>
    <row r="12" spans="2:10" x14ac:dyDescent="0.35">
      <c r="B12">
        <v>7</v>
      </c>
      <c r="C12">
        <f t="shared" si="4"/>
        <v>3</v>
      </c>
      <c r="D12">
        <f t="shared" si="1"/>
        <v>2</v>
      </c>
      <c r="E12">
        <f t="shared" si="5"/>
        <v>27</v>
      </c>
      <c r="F12">
        <f t="shared" si="2"/>
        <v>11</v>
      </c>
      <c r="G12">
        <f t="shared" si="3"/>
        <v>12</v>
      </c>
      <c r="H12">
        <f t="shared" si="0"/>
        <v>19</v>
      </c>
      <c r="J12">
        <v>7</v>
      </c>
    </row>
    <row r="13" spans="2:10" x14ac:dyDescent="0.35">
      <c r="B13">
        <v>8</v>
      </c>
      <c r="C13">
        <f t="shared" si="4"/>
        <v>4</v>
      </c>
      <c r="D13">
        <f t="shared" si="1"/>
        <v>3</v>
      </c>
      <c r="E13">
        <f t="shared" si="5"/>
        <v>28</v>
      </c>
      <c r="F13">
        <f t="shared" si="2"/>
        <v>12</v>
      </c>
      <c r="G13">
        <f t="shared" si="3"/>
        <v>13</v>
      </c>
      <c r="H13">
        <f t="shared" si="0"/>
        <v>20</v>
      </c>
      <c r="J13">
        <v>8</v>
      </c>
    </row>
    <row r="14" spans="2:10" x14ac:dyDescent="0.35">
      <c r="B14">
        <v>9</v>
      </c>
      <c r="C14">
        <f t="shared" si="4"/>
        <v>5</v>
      </c>
      <c r="D14">
        <f t="shared" si="1"/>
        <v>4</v>
      </c>
      <c r="E14">
        <f t="shared" si="5"/>
        <v>29</v>
      </c>
      <c r="F14">
        <f t="shared" si="2"/>
        <v>13</v>
      </c>
      <c r="G14">
        <f t="shared" si="3"/>
        <v>14</v>
      </c>
      <c r="H14">
        <f t="shared" si="0"/>
        <v>21</v>
      </c>
      <c r="J14">
        <v>9</v>
      </c>
    </row>
    <row r="15" spans="2:10" x14ac:dyDescent="0.35">
      <c r="B15">
        <v>10</v>
      </c>
      <c r="C15">
        <f t="shared" si="4"/>
        <v>6</v>
      </c>
      <c r="D15">
        <f t="shared" si="1"/>
        <v>5</v>
      </c>
      <c r="E15">
        <f t="shared" si="5"/>
        <v>30</v>
      </c>
      <c r="F15">
        <f t="shared" si="2"/>
        <v>14</v>
      </c>
      <c r="G15">
        <f t="shared" si="3"/>
        <v>15</v>
      </c>
      <c r="H15">
        <f t="shared" si="0"/>
        <v>22</v>
      </c>
      <c r="J15">
        <v>10</v>
      </c>
    </row>
    <row r="16" spans="2:10" x14ac:dyDescent="0.35">
      <c r="B16">
        <v>11</v>
      </c>
      <c r="C16">
        <f t="shared" si="4"/>
        <v>7</v>
      </c>
      <c r="D16">
        <f t="shared" si="1"/>
        <v>6</v>
      </c>
      <c r="E16">
        <f t="shared" si="5"/>
        <v>31</v>
      </c>
      <c r="F16">
        <f t="shared" si="2"/>
        <v>15</v>
      </c>
      <c r="G16">
        <f t="shared" si="3"/>
        <v>16</v>
      </c>
      <c r="H16">
        <f t="shared" si="0"/>
        <v>23</v>
      </c>
      <c r="J16">
        <v>11</v>
      </c>
    </row>
    <row r="17" spans="2:10" x14ac:dyDescent="0.35">
      <c r="B17">
        <v>12</v>
      </c>
      <c r="C17">
        <f t="shared" si="4"/>
        <v>8</v>
      </c>
      <c r="D17">
        <f t="shared" si="1"/>
        <v>7</v>
      </c>
      <c r="E17">
        <f t="shared" si="5"/>
        <v>32</v>
      </c>
      <c r="F17">
        <f t="shared" si="2"/>
        <v>16</v>
      </c>
      <c r="G17">
        <f t="shared" si="3"/>
        <v>17</v>
      </c>
      <c r="H17">
        <f t="shared" si="0"/>
        <v>24</v>
      </c>
      <c r="J17">
        <v>12</v>
      </c>
    </row>
    <row r="18" spans="2:10" x14ac:dyDescent="0.35">
      <c r="B18">
        <v>13</v>
      </c>
      <c r="C18">
        <f t="shared" si="4"/>
        <v>9</v>
      </c>
      <c r="D18">
        <f t="shared" si="1"/>
        <v>8</v>
      </c>
      <c r="E18">
        <f t="shared" si="5"/>
        <v>1</v>
      </c>
      <c r="F18">
        <f t="shared" si="2"/>
        <v>17</v>
      </c>
      <c r="G18">
        <f t="shared" si="3"/>
        <v>18</v>
      </c>
      <c r="H18">
        <f t="shared" si="0"/>
        <v>25</v>
      </c>
      <c r="J18">
        <v>13</v>
      </c>
    </row>
    <row r="19" spans="2:10" x14ac:dyDescent="0.35">
      <c r="B19">
        <v>14</v>
      </c>
      <c r="C19">
        <f t="shared" si="4"/>
        <v>10</v>
      </c>
      <c r="D19">
        <f t="shared" si="1"/>
        <v>9</v>
      </c>
      <c r="E19">
        <f t="shared" si="5"/>
        <v>2</v>
      </c>
      <c r="F19">
        <f t="shared" si="2"/>
        <v>18</v>
      </c>
      <c r="G19">
        <f t="shared" si="3"/>
        <v>19</v>
      </c>
      <c r="H19">
        <f t="shared" si="0"/>
        <v>26</v>
      </c>
      <c r="J19">
        <v>14</v>
      </c>
    </row>
    <row r="20" spans="2:10" x14ac:dyDescent="0.35">
      <c r="B20">
        <v>15</v>
      </c>
      <c r="C20">
        <f t="shared" si="4"/>
        <v>11</v>
      </c>
      <c r="D20">
        <f t="shared" si="1"/>
        <v>10</v>
      </c>
      <c r="E20">
        <f t="shared" si="5"/>
        <v>3</v>
      </c>
      <c r="F20">
        <f t="shared" si="2"/>
        <v>19</v>
      </c>
      <c r="G20">
        <f t="shared" si="3"/>
        <v>20</v>
      </c>
      <c r="H20">
        <f t="shared" si="0"/>
        <v>27</v>
      </c>
      <c r="J20">
        <v>15</v>
      </c>
    </row>
    <row r="21" spans="2:10" x14ac:dyDescent="0.35">
      <c r="B21">
        <v>16</v>
      </c>
      <c r="C21">
        <f t="shared" si="4"/>
        <v>12</v>
      </c>
      <c r="D21">
        <f t="shared" si="1"/>
        <v>11</v>
      </c>
      <c r="E21">
        <f t="shared" si="5"/>
        <v>4</v>
      </c>
      <c r="F21">
        <f t="shared" si="2"/>
        <v>20</v>
      </c>
      <c r="G21">
        <f t="shared" si="3"/>
        <v>21</v>
      </c>
      <c r="H21">
        <f t="shared" si="0"/>
        <v>28</v>
      </c>
      <c r="J21">
        <v>16</v>
      </c>
    </row>
    <row r="22" spans="2:10" x14ac:dyDescent="0.35">
      <c r="B22">
        <v>17</v>
      </c>
      <c r="C22">
        <f t="shared" si="4"/>
        <v>13</v>
      </c>
      <c r="D22">
        <f t="shared" si="1"/>
        <v>12</v>
      </c>
      <c r="E22">
        <f t="shared" si="5"/>
        <v>5</v>
      </c>
      <c r="F22">
        <f t="shared" si="2"/>
        <v>21</v>
      </c>
      <c r="G22">
        <f t="shared" si="3"/>
        <v>22</v>
      </c>
      <c r="H22">
        <f t="shared" si="0"/>
        <v>29</v>
      </c>
      <c r="J22">
        <v>17</v>
      </c>
    </row>
    <row r="23" spans="2:10" x14ac:dyDescent="0.35">
      <c r="B23">
        <v>18</v>
      </c>
      <c r="C23">
        <f t="shared" si="4"/>
        <v>14</v>
      </c>
      <c r="D23">
        <f t="shared" si="1"/>
        <v>13</v>
      </c>
      <c r="E23">
        <f t="shared" si="5"/>
        <v>6</v>
      </c>
      <c r="F23">
        <f t="shared" si="2"/>
        <v>22</v>
      </c>
      <c r="G23">
        <f t="shared" si="3"/>
        <v>23</v>
      </c>
      <c r="H23">
        <f t="shared" si="0"/>
        <v>30</v>
      </c>
      <c r="J23">
        <v>18</v>
      </c>
    </row>
    <row r="24" spans="2:10" x14ac:dyDescent="0.35">
      <c r="B24">
        <v>19</v>
      </c>
      <c r="C24">
        <f t="shared" si="4"/>
        <v>15</v>
      </c>
      <c r="D24">
        <f t="shared" si="1"/>
        <v>14</v>
      </c>
      <c r="E24">
        <f t="shared" si="5"/>
        <v>7</v>
      </c>
      <c r="F24">
        <f t="shared" si="2"/>
        <v>23</v>
      </c>
      <c r="G24">
        <f t="shared" si="3"/>
        <v>24</v>
      </c>
      <c r="H24">
        <f t="shared" si="0"/>
        <v>31</v>
      </c>
      <c r="J24">
        <v>19</v>
      </c>
    </row>
    <row r="25" spans="2:10" x14ac:dyDescent="0.35">
      <c r="B25">
        <v>20</v>
      </c>
      <c r="C25">
        <f t="shared" si="4"/>
        <v>16</v>
      </c>
      <c r="D25">
        <f t="shared" si="1"/>
        <v>15</v>
      </c>
      <c r="E25">
        <f t="shared" si="5"/>
        <v>8</v>
      </c>
      <c r="F25">
        <f t="shared" si="2"/>
        <v>24</v>
      </c>
      <c r="G25">
        <f t="shared" si="3"/>
        <v>25</v>
      </c>
      <c r="H25">
        <f>IF((G25+$C$3-1)&gt;$C$1,G25+$C$3-1-$C$1,G25+$C$3-1)</f>
        <v>32</v>
      </c>
      <c r="J25">
        <v>20</v>
      </c>
    </row>
    <row r="26" spans="2:10" x14ac:dyDescent="0.35">
      <c r="B26">
        <v>21</v>
      </c>
      <c r="C26">
        <f t="shared" si="4"/>
        <v>17</v>
      </c>
      <c r="D26">
        <f t="shared" si="1"/>
        <v>16</v>
      </c>
      <c r="E26">
        <f t="shared" si="5"/>
        <v>9</v>
      </c>
      <c r="F26">
        <f t="shared" si="2"/>
        <v>25</v>
      </c>
      <c r="G26">
        <f t="shared" si="3"/>
        <v>26</v>
      </c>
      <c r="H26">
        <f t="shared" ref="H26:H37" si="6">IF((G26+$C$3-1)&gt;$C$1,G26+$C$3-1-$C$1,G26+$C$3-1)</f>
        <v>1</v>
      </c>
      <c r="J26">
        <v>21</v>
      </c>
    </row>
    <row r="27" spans="2:10" x14ac:dyDescent="0.35">
      <c r="B27">
        <v>22</v>
      </c>
      <c r="C27">
        <f t="shared" si="4"/>
        <v>18</v>
      </c>
      <c r="D27">
        <f t="shared" si="1"/>
        <v>17</v>
      </c>
      <c r="E27">
        <f t="shared" si="5"/>
        <v>10</v>
      </c>
      <c r="F27">
        <f t="shared" si="2"/>
        <v>26</v>
      </c>
      <c r="G27">
        <f t="shared" si="3"/>
        <v>27</v>
      </c>
      <c r="H27">
        <f t="shared" si="6"/>
        <v>2</v>
      </c>
      <c r="J27">
        <v>22</v>
      </c>
    </row>
    <row r="28" spans="2:10" x14ac:dyDescent="0.35">
      <c r="B28">
        <v>23</v>
      </c>
      <c r="C28">
        <f t="shared" si="4"/>
        <v>19</v>
      </c>
      <c r="D28">
        <f t="shared" si="1"/>
        <v>18</v>
      </c>
      <c r="E28">
        <f t="shared" si="5"/>
        <v>11</v>
      </c>
      <c r="F28">
        <f t="shared" si="2"/>
        <v>27</v>
      </c>
      <c r="G28">
        <f t="shared" si="3"/>
        <v>28</v>
      </c>
      <c r="H28">
        <f t="shared" si="6"/>
        <v>3</v>
      </c>
      <c r="J28">
        <v>23</v>
      </c>
    </row>
    <row r="29" spans="2:10" x14ac:dyDescent="0.35">
      <c r="B29">
        <v>24</v>
      </c>
      <c r="C29">
        <f t="shared" si="4"/>
        <v>20</v>
      </c>
      <c r="D29">
        <f t="shared" si="1"/>
        <v>19</v>
      </c>
      <c r="E29">
        <f t="shared" si="5"/>
        <v>12</v>
      </c>
      <c r="F29">
        <f t="shared" si="2"/>
        <v>28</v>
      </c>
      <c r="G29">
        <f t="shared" si="3"/>
        <v>29</v>
      </c>
      <c r="H29">
        <f t="shared" si="6"/>
        <v>4</v>
      </c>
      <c r="J29">
        <v>24</v>
      </c>
    </row>
    <row r="30" spans="2:10" x14ac:dyDescent="0.35">
      <c r="B30">
        <v>25</v>
      </c>
      <c r="C30">
        <f t="shared" si="4"/>
        <v>21</v>
      </c>
      <c r="D30">
        <f t="shared" si="1"/>
        <v>20</v>
      </c>
      <c r="E30">
        <f t="shared" si="5"/>
        <v>13</v>
      </c>
      <c r="F30">
        <f t="shared" si="2"/>
        <v>29</v>
      </c>
      <c r="G30">
        <f t="shared" si="3"/>
        <v>30</v>
      </c>
      <c r="H30">
        <f t="shared" si="6"/>
        <v>5</v>
      </c>
      <c r="J30">
        <v>25</v>
      </c>
    </row>
    <row r="31" spans="2:10" x14ac:dyDescent="0.35">
      <c r="B31">
        <v>26</v>
      </c>
      <c r="C31">
        <f t="shared" si="4"/>
        <v>22</v>
      </c>
      <c r="D31">
        <f t="shared" si="1"/>
        <v>21</v>
      </c>
      <c r="E31">
        <f t="shared" si="5"/>
        <v>14</v>
      </c>
      <c r="F31">
        <f t="shared" si="2"/>
        <v>30</v>
      </c>
      <c r="G31">
        <f t="shared" si="3"/>
        <v>31</v>
      </c>
      <c r="H31">
        <f t="shared" si="6"/>
        <v>6</v>
      </c>
      <c r="J31">
        <v>26</v>
      </c>
    </row>
    <row r="32" spans="2:10" x14ac:dyDescent="0.35">
      <c r="B32">
        <v>27</v>
      </c>
      <c r="C32">
        <f t="shared" si="4"/>
        <v>23</v>
      </c>
      <c r="D32">
        <f t="shared" si="1"/>
        <v>22</v>
      </c>
      <c r="E32">
        <f t="shared" si="5"/>
        <v>15</v>
      </c>
      <c r="F32">
        <f t="shared" si="2"/>
        <v>31</v>
      </c>
      <c r="G32">
        <f t="shared" si="3"/>
        <v>32</v>
      </c>
      <c r="H32">
        <f t="shared" si="6"/>
        <v>7</v>
      </c>
      <c r="J32">
        <v>27</v>
      </c>
    </row>
    <row r="33" spans="2:10" x14ac:dyDescent="0.35">
      <c r="B33">
        <v>28</v>
      </c>
      <c r="C33">
        <f t="shared" si="4"/>
        <v>24</v>
      </c>
      <c r="D33">
        <f t="shared" si="1"/>
        <v>23</v>
      </c>
      <c r="E33">
        <f t="shared" si="5"/>
        <v>16</v>
      </c>
      <c r="F33">
        <f t="shared" si="2"/>
        <v>32</v>
      </c>
      <c r="G33">
        <f t="shared" si="3"/>
        <v>1</v>
      </c>
      <c r="H33">
        <f t="shared" si="6"/>
        <v>8</v>
      </c>
      <c r="J33">
        <v>28</v>
      </c>
    </row>
    <row r="34" spans="2:10" x14ac:dyDescent="0.35">
      <c r="B34">
        <v>29</v>
      </c>
      <c r="C34">
        <f t="shared" si="4"/>
        <v>25</v>
      </c>
      <c r="D34">
        <f t="shared" si="1"/>
        <v>24</v>
      </c>
      <c r="E34">
        <f t="shared" si="5"/>
        <v>17</v>
      </c>
      <c r="F34">
        <f t="shared" si="2"/>
        <v>1</v>
      </c>
      <c r="G34">
        <f t="shared" si="3"/>
        <v>2</v>
      </c>
      <c r="H34">
        <f t="shared" si="6"/>
        <v>9</v>
      </c>
      <c r="J34">
        <v>29</v>
      </c>
    </row>
    <row r="35" spans="2:10" x14ac:dyDescent="0.35">
      <c r="B35">
        <v>30</v>
      </c>
      <c r="C35">
        <f t="shared" si="4"/>
        <v>26</v>
      </c>
      <c r="D35">
        <f t="shared" si="1"/>
        <v>25</v>
      </c>
      <c r="E35">
        <f t="shared" si="5"/>
        <v>18</v>
      </c>
      <c r="F35">
        <f t="shared" si="2"/>
        <v>2</v>
      </c>
      <c r="G35">
        <f t="shared" si="3"/>
        <v>3</v>
      </c>
      <c r="H35">
        <f t="shared" si="6"/>
        <v>10</v>
      </c>
      <c r="J35">
        <v>30</v>
      </c>
    </row>
    <row r="36" spans="2:10" x14ac:dyDescent="0.35">
      <c r="B36">
        <v>31</v>
      </c>
      <c r="C36">
        <f t="shared" si="4"/>
        <v>27</v>
      </c>
      <c r="D36">
        <f t="shared" si="1"/>
        <v>26</v>
      </c>
      <c r="E36">
        <f t="shared" si="5"/>
        <v>19</v>
      </c>
      <c r="F36">
        <f t="shared" si="2"/>
        <v>3</v>
      </c>
      <c r="G36">
        <f t="shared" si="3"/>
        <v>4</v>
      </c>
      <c r="H36">
        <f t="shared" si="6"/>
        <v>11</v>
      </c>
      <c r="J36">
        <v>31</v>
      </c>
    </row>
    <row r="37" spans="2:10" x14ac:dyDescent="0.35">
      <c r="B37">
        <v>32</v>
      </c>
      <c r="C37">
        <f t="shared" si="4"/>
        <v>28</v>
      </c>
      <c r="D37">
        <f t="shared" si="1"/>
        <v>27</v>
      </c>
      <c r="E37">
        <f t="shared" si="5"/>
        <v>20</v>
      </c>
      <c r="F37">
        <f t="shared" si="2"/>
        <v>4</v>
      </c>
      <c r="G37">
        <f t="shared" si="3"/>
        <v>5</v>
      </c>
      <c r="H37">
        <f t="shared" si="6"/>
        <v>12</v>
      </c>
      <c r="J37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3EE92-1E33-436E-A395-1C3313BA3140}">
  <dimension ref="A1:F19"/>
  <sheetViews>
    <sheetView workbookViewId="0">
      <pane xSplit="1" topLeftCell="B1" activePane="topRight" state="frozen"/>
      <selection pane="topRight" activeCell="E14" sqref="E14"/>
    </sheetView>
  </sheetViews>
  <sheetFormatPr defaultRowHeight="14.5" x14ac:dyDescent="0.35"/>
  <cols>
    <col min="1" max="1" width="17.54296875" customWidth="1"/>
    <col min="2" max="2" width="32.81640625" bestFit="1" customWidth="1"/>
    <col min="3" max="3" width="31.1796875" bestFit="1" customWidth="1"/>
    <col min="4" max="4" width="31.54296875" bestFit="1" customWidth="1"/>
    <col min="5" max="5" width="37" customWidth="1"/>
    <col min="6" max="6" width="31.1796875" bestFit="1" customWidth="1"/>
  </cols>
  <sheetData>
    <row r="1" spans="1:6" x14ac:dyDescent="0.35">
      <c r="A1" t="s">
        <v>88</v>
      </c>
      <c r="B1">
        <v>256</v>
      </c>
    </row>
    <row r="2" spans="1:6" x14ac:dyDescent="0.35">
      <c r="A2" t="s">
        <v>89</v>
      </c>
      <c r="B2">
        <v>128</v>
      </c>
    </row>
    <row r="3" spans="1:6" x14ac:dyDescent="0.35">
      <c r="A3" t="s">
        <v>90</v>
      </c>
      <c r="B3">
        <v>2</v>
      </c>
    </row>
    <row r="4" spans="1:6" x14ac:dyDescent="0.35">
      <c r="A4" t="s">
        <v>91</v>
      </c>
      <c r="B4">
        <v>4</v>
      </c>
    </row>
    <row r="5" spans="1:6" x14ac:dyDescent="0.35">
      <c r="A5" t="s">
        <v>92</v>
      </c>
      <c r="B5">
        <v>1</v>
      </c>
    </row>
    <row r="6" spans="1:6" x14ac:dyDescent="0.35">
      <c r="A6" t="s">
        <v>93</v>
      </c>
      <c r="B6">
        <v>4</v>
      </c>
    </row>
    <row r="8" spans="1:6" x14ac:dyDescent="0.35">
      <c r="B8" t="s">
        <v>81</v>
      </c>
      <c r="C8" t="s">
        <v>103</v>
      </c>
      <c r="D8" t="s">
        <v>107</v>
      </c>
      <c r="E8" t="s">
        <v>112</v>
      </c>
      <c r="F8" t="s">
        <v>103</v>
      </c>
    </row>
    <row r="9" spans="1:6" x14ac:dyDescent="0.35">
      <c r="A9" t="s">
        <v>101</v>
      </c>
      <c r="C9" t="s">
        <v>102</v>
      </c>
      <c r="D9" t="s">
        <v>102</v>
      </c>
      <c r="E9" t="s">
        <v>113</v>
      </c>
      <c r="F9" t="s">
        <v>102</v>
      </c>
    </row>
    <row r="10" spans="1:6" x14ac:dyDescent="0.35">
      <c r="A10" t="s">
        <v>82</v>
      </c>
      <c r="B10" t="s">
        <v>97</v>
      </c>
      <c r="C10" t="s">
        <v>104</v>
      </c>
      <c r="D10" t="s">
        <v>108</v>
      </c>
      <c r="F10" t="s">
        <v>104</v>
      </c>
    </row>
    <row r="11" spans="1:6" x14ac:dyDescent="0.35">
      <c r="A11" t="s">
        <v>83</v>
      </c>
      <c r="B11" t="s">
        <v>98</v>
      </c>
      <c r="C11" t="s">
        <v>105</v>
      </c>
      <c r="D11" t="s">
        <v>109</v>
      </c>
      <c r="F11" t="s">
        <v>105</v>
      </c>
    </row>
    <row r="12" spans="1:6" x14ac:dyDescent="0.35">
      <c r="A12" t="s">
        <v>84</v>
      </c>
      <c r="B12" t="s">
        <v>99</v>
      </c>
      <c r="C12" t="s">
        <v>100</v>
      </c>
      <c r="D12" t="s">
        <v>110</v>
      </c>
      <c r="E12" t="s">
        <v>111</v>
      </c>
      <c r="F12" t="s">
        <v>134</v>
      </c>
    </row>
    <row r="13" spans="1:6" x14ac:dyDescent="0.35">
      <c r="A13" t="s">
        <v>85</v>
      </c>
      <c r="B13">
        <f>B6</f>
        <v>4</v>
      </c>
      <c r="C13">
        <f>B2*B6</f>
        <v>512</v>
      </c>
      <c r="D13">
        <f>B2*B6</f>
        <v>512</v>
      </c>
      <c r="E13">
        <v>2</v>
      </c>
      <c r="F13">
        <f>B2*B6</f>
        <v>512</v>
      </c>
    </row>
    <row r="14" spans="1:6" x14ac:dyDescent="0.35">
      <c r="A14" t="s">
        <v>86</v>
      </c>
      <c r="B14">
        <f>B1</f>
        <v>256</v>
      </c>
      <c r="C14">
        <f>(B1*B4*B5*B3)/2</f>
        <v>1024</v>
      </c>
      <c r="D14">
        <f>B1</f>
        <v>256</v>
      </c>
      <c r="E14">
        <f>B1</f>
        <v>256</v>
      </c>
      <c r="F14">
        <v>2</v>
      </c>
    </row>
    <row r="15" spans="1:6" x14ac:dyDescent="0.35">
      <c r="A15" t="s">
        <v>106</v>
      </c>
      <c r="B15">
        <v>4</v>
      </c>
      <c r="C15">
        <f>B2*B6*2</f>
        <v>1024</v>
      </c>
      <c r="D15">
        <v>0</v>
      </c>
      <c r="E15">
        <f>B2*2</f>
        <v>256</v>
      </c>
    </row>
    <row r="16" spans="1:6" x14ac:dyDescent="0.35">
      <c r="A16" t="s">
        <v>87</v>
      </c>
      <c r="B16">
        <f>B2*B5*B4*B6*B3</f>
        <v>4096</v>
      </c>
      <c r="C16">
        <v>0</v>
      </c>
      <c r="D16">
        <f>B2*B6</f>
        <v>512</v>
      </c>
      <c r="E16">
        <f>2</f>
        <v>2</v>
      </c>
    </row>
    <row r="17" spans="1:4" x14ac:dyDescent="0.35">
      <c r="A17" t="s">
        <v>94</v>
      </c>
      <c r="B17">
        <f>B4</f>
        <v>4</v>
      </c>
      <c r="C17">
        <v>1</v>
      </c>
      <c r="D17">
        <v>1</v>
      </c>
    </row>
    <row r="18" spans="1:4" x14ac:dyDescent="0.35">
      <c r="A18" t="s">
        <v>95</v>
      </c>
      <c r="B18">
        <f>B6</f>
        <v>4</v>
      </c>
      <c r="C18">
        <v>0</v>
      </c>
      <c r="D18">
        <v>0</v>
      </c>
    </row>
    <row r="19" spans="1:4" x14ac:dyDescent="0.35">
      <c r="A19" t="s">
        <v>96</v>
      </c>
      <c r="B19">
        <f>B2*B6</f>
        <v>512</v>
      </c>
      <c r="C19">
        <v>0</v>
      </c>
      <c r="D19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3D0CD-70F7-4096-9F4B-D2020FD1D236}">
  <dimension ref="C4:J15"/>
  <sheetViews>
    <sheetView workbookViewId="0">
      <selection activeCell="I4" sqref="I4"/>
    </sheetView>
  </sheetViews>
  <sheetFormatPr defaultRowHeight="14.5" x14ac:dyDescent="0.35"/>
  <cols>
    <col min="3" max="3" width="12.7265625" bestFit="1" customWidth="1"/>
    <col min="5" max="5" width="32.1796875" customWidth="1"/>
    <col min="6" max="6" width="26.81640625" customWidth="1"/>
    <col min="7" max="7" width="20.26953125" customWidth="1"/>
    <col min="8" max="8" width="26.7265625" customWidth="1"/>
    <col min="9" max="9" width="13.81640625" customWidth="1"/>
  </cols>
  <sheetData>
    <row r="4" spans="3:10" ht="43.5" x14ac:dyDescent="0.35">
      <c r="C4" t="s">
        <v>186</v>
      </c>
      <c r="D4" t="s">
        <v>188</v>
      </c>
      <c r="E4" t="s">
        <v>199</v>
      </c>
      <c r="F4" t="s">
        <v>37</v>
      </c>
      <c r="G4" s="14" t="s">
        <v>208</v>
      </c>
      <c r="H4" s="14" t="s">
        <v>209</v>
      </c>
      <c r="I4" s="14" t="s">
        <v>211</v>
      </c>
    </row>
    <row r="5" spans="3:10" ht="29" x14ac:dyDescent="0.35">
      <c r="C5" t="s">
        <v>187</v>
      </c>
      <c r="D5">
        <v>12</v>
      </c>
      <c r="E5" t="s">
        <v>201</v>
      </c>
      <c r="F5" s="14" t="s">
        <v>189</v>
      </c>
    </row>
    <row r="6" spans="3:10" ht="29" x14ac:dyDescent="0.35">
      <c r="C6" t="s">
        <v>190</v>
      </c>
      <c r="D6">
        <v>16</v>
      </c>
      <c r="E6" t="s">
        <v>200</v>
      </c>
      <c r="F6" s="14" t="s">
        <v>191</v>
      </c>
    </row>
    <row r="7" spans="3:10" x14ac:dyDescent="0.35">
      <c r="C7" t="s">
        <v>193</v>
      </c>
      <c r="D7">
        <v>16</v>
      </c>
      <c r="E7" t="s">
        <v>200</v>
      </c>
      <c r="F7" s="14" t="s">
        <v>192</v>
      </c>
    </row>
    <row r="8" spans="3:10" x14ac:dyDescent="0.35">
      <c r="C8" t="s">
        <v>59</v>
      </c>
      <c r="D8">
        <v>16</v>
      </c>
      <c r="E8" t="s">
        <v>200</v>
      </c>
      <c r="F8" s="14" t="s">
        <v>212</v>
      </c>
      <c r="G8" s="14" t="s">
        <v>210</v>
      </c>
      <c r="H8" s="14" t="s">
        <v>207</v>
      </c>
      <c r="I8">
        <v>31</v>
      </c>
      <c r="J8" s="14" t="s">
        <v>213</v>
      </c>
    </row>
    <row r="9" spans="3:10" x14ac:dyDescent="0.35">
      <c r="C9" t="s">
        <v>104</v>
      </c>
      <c r="D9">
        <v>16</v>
      </c>
      <c r="E9" t="s">
        <v>200</v>
      </c>
      <c r="F9" t="s">
        <v>192</v>
      </c>
    </row>
    <row r="10" spans="3:10" ht="72.5" x14ac:dyDescent="0.35">
      <c r="C10" t="s">
        <v>194</v>
      </c>
      <c r="D10">
        <v>32</v>
      </c>
      <c r="E10" s="14" t="s">
        <v>204</v>
      </c>
      <c r="F10" s="14" t="s">
        <v>192</v>
      </c>
    </row>
    <row r="11" spans="3:10" x14ac:dyDescent="0.35">
      <c r="C11" t="s">
        <v>195</v>
      </c>
      <c r="D11">
        <v>32</v>
      </c>
      <c r="E11" t="s">
        <v>202</v>
      </c>
      <c r="F11" s="14" t="s">
        <v>198</v>
      </c>
    </row>
    <row r="12" spans="3:10" x14ac:dyDescent="0.35">
      <c r="C12" t="s">
        <v>196</v>
      </c>
      <c r="D12">
        <v>16</v>
      </c>
      <c r="E12" t="s">
        <v>203</v>
      </c>
      <c r="F12" s="14" t="s">
        <v>197</v>
      </c>
    </row>
    <row r="13" spans="3:10" x14ac:dyDescent="0.35">
      <c r="C13" t="s">
        <v>108</v>
      </c>
      <c r="D13">
        <v>16</v>
      </c>
      <c r="E13" t="s">
        <v>203</v>
      </c>
      <c r="F13" s="14" t="s">
        <v>197</v>
      </c>
      <c r="G13" t="s">
        <v>205</v>
      </c>
    </row>
    <row r="14" spans="3:10" x14ac:dyDescent="0.35">
      <c r="C14" t="s">
        <v>109</v>
      </c>
    </row>
    <row r="15" spans="3:10" x14ac:dyDescent="0.35">
      <c r="C15" t="s">
        <v>206</v>
      </c>
      <c r="G15">
        <v>14.3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CFAR (2)</vt:lpstr>
      <vt:lpstr>radarcube</vt:lpstr>
      <vt:lpstr>Chirp</vt:lpstr>
      <vt:lpstr>Antennas</vt:lpstr>
      <vt:lpstr>CFAR</vt:lpstr>
      <vt:lpstr>Sheet2</vt:lpstr>
      <vt:lpstr>Sheet4</vt:lpstr>
      <vt:lpstr>EDMA</vt:lpstr>
      <vt:lpstr>BitWidth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Mohandas Amarnathan</dc:creator>
  <cp:lastModifiedBy>Mohandas Amarnathan</cp:lastModifiedBy>
  <dcterms:created xsi:type="dcterms:W3CDTF">2022-04-09T11:15:52Z</dcterms:created>
  <dcterms:modified xsi:type="dcterms:W3CDTF">2022-09-18T16:21:14Z</dcterms:modified>
</cp:coreProperties>
</file>