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codeName="ThisWorkbook" defaultThemeVersion="124226"/>
  <mc:AlternateContent xmlns:mc="http://schemas.openxmlformats.org/markup-compatibility/2006">
    <mc:Choice Requires="x15">
      <x15ac:absPath xmlns:x15ac="http://schemas.microsoft.com/office/spreadsheetml/2010/11/ac" url="D:\DOCS\TEST ESTIMATION\DRAFT\"/>
    </mc:Choice>
  </mc:AlternateContent>
  <bookViews>
    <workbookView xWindow="0" yWindow="0" windowWidth="20490" windowHeight="7230" tabRatio="611" firstSheet="4" activeTab="4"/>
  </bookViews>
  <sheets>
    <sheet name="3 Point Estimates" sheetId="12" state="hidden" r:id="rId1"/>
    <sheet name="High Priority TCs Data" sheetId="6" state="hidden" r:id="rId2"/>
    <sheet name="High Priority TCs Estimations" sheetId="7" state="hidden" r:id="rId3"/>
    <sheet name="Help" sheetId="13" state="hidden" r:id="rId4"/>
    <sheet name="Summary" sheetId="10" r:id="rId5"/>
    <sheet name="Resource" sheetId="14" state="hidden" r:id="rId6"/>
    <sheet name="ManualTestCases" sheetId="16" state="hidden" r:id="rId7"/>
    <sheet name="Analysis" sheetId="17" state="hidden" r:id="rId8"/>
    <sheet name="Details" sheetId="23" r:id="rId9"/>
    <sheet name="Assumptions" sheetId="5" r:id="rId10"/>
  </sheets>
  <definedNames>
    <definedName name="_xlnm._FilterDatabase" localSheetId="8" hidden="1">Details!$A$2:$E$9</definedName>
    <definedName name="lastbutonerow" localSheetId="0">'3 Point Estimates'!$14:$14</definedName>
    <definedName name="lastbutonerow" localSheetId="8">#REF!</definedName>
    <definedName name="lastbutonerow">#REF!</definedName>
    <definedName name="_xlnm.Print_Area" localSheetId="3">Help!$A$1:$L$9</definedName>
    <definedName name="Quality_Factor" localSheetId="8">#REF!</definedName>
    <definedName name="Quality_Factor">#REF!</definedName>
    <definedName name="totalrow" localSheetId="0">'3 Point Estimates'!$15:$15</definedName>
    <definedName name="totalrow" localSheetId="8">#REF!</definedName>
    <definedName name="totalrow">#REF!</definedName>
    <definedName name="unhiderow" localSheetId="0">'3 Point Estimates'!$14:$15</definedName>
    <definedName name="unhiderow" localSheetId="8">#REF!</definedName>
    <definedName name="unhiderow">#REF!</definedName>
  </definedNames>
  <calcPr calcId="171027"/>
  <pivotCaches>
    <pivotCache cacheId="0" r:id="rId11"/>
  </pivotCaches>
</workbook>
</file>

<file path=xl/calcChain.xml><?xml version="1.0" encoding="utf-8"?>
<calcChain xmlns="http://schemas.openxmlformats.org/spreadsheetml/2006/main">
  <c r="H5" i="23" l="1"/>
  <c r="J15" i="23"/>
  <c r="J16" i="23" s="1"/>
  <c r="J14" i="23"/>
  <c r="J13" i="23"/>
  <c r="E38" i="10"/>
  <c r="E37" i="10"/>
  <c r="E36" i="10"/>
  <c r="D38" i="10"/>
  <c r="D37" i="10"/>
  <c r="D25" i="10"/>
  <c r="D27" i="10"/>
  <c r="D26" i="10"/>
  <c r="H9" i="10"/>
  <c r="G9" i="10"/>
  <c r="F9" i="10"/>
  <c r="D36" i="10"/>
  <c r="F27" i="10"/>
  <c r="F26" i="10"/>
  <c r="F25" i="10"/>
  <c r="D45" i="10"/>
  <c r="D44" i="10"/>
  <c r="D10" i="10"/>
  <c r="J5" i="23"/>
  <c r="J6" i="23"/>
  <c r="J7" i="23"/>
  <c r="J8" i="23"/>
  <c r="J9" i="23"/>
  <c r="J4" i="23"/>
  <c r="J3" i="23"/>
  <c r="I4" i="23"/>
  <c r="I5" i="23"/>
  <c r="I6" i="23"/>
  <c r="I7" i="23"/>
  <c r="I8" i="23"/>
  <c r="I3" i="23"/>
  <c r="H4" i="23"/>
  <c r="H6" i="23"/>
  <c r="H7" i="23"/>
  <c r="H8" i="23"/>
  <c r="H3" i="23"/>
  <c r="G4" i="23"/>
  <c r="G5" i="23"/>
  <c r="G6" i="23"/>
  <c r="G7" i="23"/>
  <c r="G8" i="23"/>
  <c r="G3" i="23"/>
  <c r="E4" i="23"/>
  <c r="E5" i="23"/>
  <c r="E6" i="23"/>
  <c r="E7" i="23"/>
  <c r="E8" i="23"/>
  <c r="C9" i="23"/>
  <c r="H14" i="23" s="1"/>
  <c r="D9" i="23"/>
  <c r="H15" i="23" s="1"/>
  <c r="E3" i="23"/>
  <c r="B9" i="23"/>
  <c r="H13" i="23" s="1"/>
  <c r="J10" i="23" l="1"/>
  <c r="H16" i="23"/>
  <c r="H9" i="23"/>
  <c r="I9" i="23"/>
  <c r="G9" i="23"/>
  <c r="E9" i="23"/>
  <c r="B1" i="23" s="1"/>
  <c r="C39" i="10" l="1"/>
  <c r="E50" i="17"/>
  <c r="G50" i="17"/>
  <c r="E48" i="17"/>
  <c r="G48" i="17"/>
  <c r="G51" i="17" s="1"/>
  <c r="G53" i="17" s="1"/>
  <c r="G49" i="17"/>
  <c r="G33" i="17"/>
  <c r="G32" i="17"/>
  <c r="G31" i="17"/>
  <c r="G34" i="17" s="1"/>
  <c r="G15" i="17"/>
  <c r="F23" i="17" s="1"/>
  <c r="G16" i="17"/>
  <c r="G14" i="17"/>
  <c r="G17" i="17" s="1"/>
  <c r="K16" i="14"/>
  <c r="J16" i="14"/>
  <c r="I16" i="14"/>
  <c r="H16" i="14"/>
  <c r="G16" i="14"/>
  <c r="F16" i="14"/>
  <c r="E16" i="14"/>
  <c r="D16" i="14"/>
  <c r="D17" i="14" s="1"/>
  <c r="E17" i="14" s="1"/>
  <c r="F17" i="14" s="1"/>
  <c r="G17" i="14" s="1"/>
  <c r="H17" i="14" s="1"/>
  <c r="I17" i="14" s="1"/>
  <c r="J17" i="14" s="1"/>
  <c r="K17" i="14" s="1"/>
  <c r="F6" i="16"/>
  <c r="G6" i="16"/>
  <c r="H6" i="16"/>
  <c r="D6" i="14"/>
  <c r="D7" i="14"/>
  <c r="E7" i="14" s="1"/>
  <c r="F7" i="14" s="1"/>
  <c r="G7" i="14" s="1"/>
  <c r="E6" i="14"/>
  <c r="F6" i="14"/>
  <c r="G6" i="14"/>
  <c r="H6" i="14"/>
  <c r="I6" i="14"/>
  <c r="J6" i="14"/>
  <c r="K6" i="14"/>
  <c r="L6" i="14"/>
  <c r="E24" i="7"/>
  <c r="E25" i="7"/>
  <c r="E26" i="7"/>
  <c r="F27" i="7"/>
  <c r="E32" i="7"/>
  <c r="E33" i="7"/>
  <c r="F35" i="7" s="1"/>
  <c r="E34" i="7"/>
  <c r="E39" i="7"/>
  <c r="F46" i="7" s="1"/>
  <c r="C59" i="7" s="1"/>
  <c r="E40" i="7"/>
  <c r="E41" i="7"/>
  <c r="E43" i="7"/>
  <c r="E44" i="7"/>
  <c r="E45" i="7"/>
  <c r="C56" i="7"/>
  <c r="C57" i="7"/>
  <c r="C60" i="7"/>
  <c r="F4" i="12"/>
  <c r="F10" i="12"/>
  <c r="E5" i="12"/>
  <c r="H5" i="12" s="1"/>
  <c r="G5" i="12"/>
  <c r="J5" i="12" s="1"/>
  <c r="E7" i="12"/>
  <c r="H7" i="12" s="1"/>
  <c r="G7" i="12"/>
  <c r="J7" i="12"/>
  <c r="H11" i="12"/>
  <c r="J11" i="12"/>
  <c r="J12" i="12"/>
  <c r="J13" i="12"/>
  <c r="H14" i="12"/>
  <c r="J14" i="12"/>
  <c r="F37" i="10" l="1"/>
  <c r="G19" i="17"/>
  <c r="G23" i="17"/>
  <c r="E23" i="17"/>
  <c r="C58" i="7"/>
  <c r="C61" i="7" s="1"/>
  <c r="C64" i="7" s="1"/>
  <c r="C65" i="7" s="1"/>
  <c r="C66" i="7" s="1"/>
  <c r="D11" i="10"/>
  <c r="H7" i="14"/>
  <c r="I7" i="14" s="1"/>
  <c r="J7" i="14" s="1"/>
  <c r="K7" i="14" s="1"/>
  <c r="L7" i="14" s="1"/>
  <c r="F36" i="10"/>
  <c r="G10" i="12"/>
  <c r="J10" i="12" s="1"/>
  <c r="E10" i="12"/>
  <c r="G45" i="10"/>
  <c r="G4" i="12"/>
  <c r="J4" i="12" s="1"/>
  <c r="E4" i="12"/>
  <c r="F38" i="10"/>
  <c r="G44" i="10"/>
  <c r="F3" i="12"/>
  <c r="G36" i="17"/>
  <c r="F40" i="17"/>
  <c r="E40" i="17"/>
  <c r="J37" i="17"/>
  <c r="G40" i="17"/>
  <c r="F28" i="10" l="1"/>
  <c r="F30" i="10" s="1"/>
  <c r="F39" i="10"/>
  <c r="D47" i="10" s="1"/>
  <c r="G47" i="10" s="1"/>
  <c r="H4" i="12"/>
  <c r="H10" i="12"/>
  <c r="E3" i="12"/>
  <c r="G3" i="12"/>
  <c r="J3" i="12" s="1"/>
  <c r="G28" i="10" l="1"/>
  <c r="F29" i="10"/>
  <c r="F31" i="10" s="1"/>
  <c r="D46" i="10" s="1"/>
  <c r="G46" i="10" s="1"/>
  <c r="H28" i="10"/>
  <c r="H3" i="12"/>
  <c r="F9" i="12"/>
  <c r="G9" i="12" s="1"/>
  <c r="G48" i="10" l="1"/>
  <c r="F8" i="12"/>
  <c r="E8" i="12" s="1"/>
  <c r="E9" i="12"/>
  <c r="G8" i="12" l="1"/>
  <c r="J8" i="12" s="1"/>
  <c r="F6" i="12"/>
  <c r="D48" i="10"/>
  <c r="D50" i="10" s="1"/>
  <c r="D51" i="10" s="1"/>
  <c r="H8" i="12" l="1"/>
  <c r="G6" i="12"/>
  <c r="E6" i="12"/>
  <c r="F19" i="12"/>
  <c r="F18" i="12" l="1"/>
  <c r="F17" i="12"/>
  <c r="H6" i="12"/>
  <c r="E19" i="12"/>
  <c r="G19" i="12"/>
  <c r="J6" i="12"/>
  <c r="F20" i="12" l="1"/>
  <c r="E17" i="12"/>
  <c r="E18" i="12"/>
  <c r="G17" i="12"/>
  <c r="G18" i="12"/>
  <c r="J18" i="12" s="1"/>
  <c r="H18" i="12" l="1"/>
  <c r="J17" i="12"/>
  <c r="G20" i="12"/>
  <c r="H17" i="12"/>
  <c r="E20" i="12"/>
  <c r="H20" i="12" l="1"/>
  <c r="D23" i="12" s="1"/>
  <c r="D24" i="12" s="1"/>
  <c r="D25" i="12" s="1"/>
  <c r="D27" i="12" s="1"/>
</calcChain>
</file>

<file path=xl/comments1.xml><?xml version="1.0" encoding="utf-8"?>
<comments xmlns="http://schemas.openxmlformats.org/spreadsheetml/2006/main">
  <authors>
    <author>050415</author>
    <author>in210917</author>
  </authors>
  <commentList>
    <comment ref="E2" authorId="0" shapeId="0">
      <text>
        <r>
          <rPr>
            <b/>
            <sz val="8"/>
            <color indexed="81"/>
            <rFont val="Tahoma"/>
            <family val="2"/>
          </rPr>
          <t>User:</t>
        </r>
        <r>
          <rPr>
            <sz val="8"/>
            <color indexed="81"/>
            <rFont val="Tahoma"/>
            <family val="2"/>
          </rPr>
          <t xml:space="preserve">
This is Best Case Estimate or Optimistic Time.</t>
        </r>
      </text>
    </comment>
    <comment ref="F2" authorId="0" shapeId="0">
      <text>
        <r>
          <rPr>
            <b/>
            <sz val="8"/>
            <color indexed="81"/>
            <rFont val="Tahoma"/>
            <family val="2"/>
          </rPr>
          <t>User:</t>
        </r>
        <r>
          <rPr>
            <sz val="8"/>
            <color indexed="81"/>
            <rFont val="Tahoma"/>
            <family val="2"/>
          </rPr>
          <t xml:space="preserve">
This is Most Likely Estimate or Realistic Time.</t>
        </r>
      </text>
    </comment>
    <comment ref="G2" authorId="0" shapeId="0">
      <text>
        <r>
          <rPr>
            <b/>
            <sz val="8"/>
            <color indexed="81"/>
            <rFont val="Tahoma"/>
            <family val="2"/>
          </rPr>
          <t>User:</t>
        </r>
        <r>
          <rPr>
            <sz val="8"/>
            <color indexed="81"/>
            <rFont val="Tahoma"/>
            <family val="2"/>
          </rPr>
          <t xml:space="preserve">
This is Worst Case Estimate or Pessimystic Time. Projects should not go beyond this estimate.</t>
        </r>
      </text>
    </comment>
    <comment ref="I2" authorId="0" shapeId="0">
      <text>
        <r>
          <rPr>
            <b/>
            <sz val="8"/>
            <color indexed="81"/>
            <rFont val="Tahoma"/>
            <family val="2"/>
          </rPr>
          <t>User:</t>
        </r>
        <r>
          <rPr>
            <sz val="8"/>
            <color indexed="81"/>
            <rFont val="Tahoma"/>
            <family val="2"/>
          </rPr>
          <t xml:space="preserve">
Is it a Critical Task?
If Risk Indicator is:
RED        - 1 displayed
YELLOW - 1 displayed
GREEN   - 0 displayed</t>
        </r>
      </text>
    </comment>
    <comment ref="D28" authorId="1" shapeId="0">
      <text>
        <r>
          <rPr>
            <b/>
            <sz val="8"/>
            <color indexed="81"/>
            <rFont val="Tahoma"/>
            <family val="2"/>
          </rPr>
          <t>This is apart from the estimated efforts</t>
        </r>
      </text>
    </comment>
  </commentList>
</comments>
</file>

<file path=xl/comments2.xml><?xml version="1.0" encoding="utf-8"?>
<comments xmlns="http://schemas.openxmlformats.org/spreadsheetml/2006/main">
  <authors>
    <author>Tushar Nayak</author>
    <author>in210917</author>
  </authors>
  <commentList>
    <comment ref="C25" authorId="0" shapeId="0">
      <text>
        <r>
          <rPr>
            <sz val="8"/>
            <color indexed="81"/>
            <rFont val="Tahoma"/>
            <family val="2"/>
          </rPr>
          <t>Greater than 20 and lessthan 30 steps</t>
        </r>
      </text>
    </comment>
    <comment ref="C26" authorId="0" shapeId="0">
      <text>
        <r>
          <rPr>
            <sz val="8"/>
            <color indexed="81"/>
            <rFont val="Tahoma"/>
            <family val="2"/>
          </rPr>
          <t>Greater than 10 and less than 20</t>
        </r>
      </text>
    </comment>
    <comment ref="C27" authorId="0" shapeId="0">
      <text>
        <r>
          <rPr>
            <sz val="8"/>
            <color indexed="81"/>
            <rFont val="Tahoma"/>
            <family val="2"/>
          </rPr>
          <t>Less that 10 steps</t>
        </r>
      </text>
    </comment>
    <comment ref="D50" authorId="1" shapeId="0">
      <text>
        <r>
          <rPr>
            <b/>
            <sz val="8"/>
            <color indexed="81"/>
            <rFont val="Tahoma"/>
            <family val="2"/>
          </rPr>
          <t>For a single resource</t>
        </r>
      </text>
    </comment>
    <comment ref="D51" authorId="1" shapeId="0">
      <text>
        <r>
          <rPr>
            <b/>
            <sz val="8"/>
            <color indexed="81"/>
            <rFont val="Tahoma"/>
            <family val="2"/>
          </rPr>
          <t>For a single resource</t>
        </r>
      </text>
    </comment>
  </commentList>
</comments>
</file>

<file path=xl/sharedStrings.xml><?xml version="1.0" encoding="utf-8"?>
<sst xmlns="http://schemas.openxmlformats.org/spreadsheetml/2006/main" count="542" uniqueCount="354">
  <si>
    <t>Release</t>
  </si>
  <si>
    <t>E-Deals (SOW)</t>
  </si>
  <si>
    <t>Vendor suggested performance</t>
  </si>
  <si>
    <t>Single-Sign On</t>
  </si>
  <si>
    <t>Speciality Item Flag</t>
  </si>
  <si>
    <t>Functional Scripts</t>
  </si>
  <si>
    <t># DD Scripts</t>
  </si>
  <si>
    <t>Medium</t>
  </si>
  <si>
    <t>High</t>
  </si>
  <si>
    <t>PRD 7.1 Partial Week</t>
  </si>
  <si>
    <t>PRD 3.6 Prediction Notification</t>
  </si>
  <si>
    <t>PRD 2.1 Safeway Item for DT</t>
  </si>
  <si>
    <t>PRD 3.2 Warning Threshold</t>
  </si>
  <si>
    <t>PRD 3.7 Clubcard Identification</t>
  </si>
  <si>
    <t>PRD 8.3 Coupon Promotion</t>
  </si>
  <si>
    <t>PRD 8.1 View Item Details</t>
  </si>
  <si>
    <t>PRD 8.4 View Item Details Overlapping Allowances</t>
  </si>
  <si>
    <t>PRD 21 1 Promo Types in DT Promo</t>
  </si>
  <si>
    <t>PRD 2.1</t>
  </si>
  <si>
    <t>PRD 2.2</t>
  </si>
  <si>
    <t>DT-DM Integration</t>
  </si>
  <si>
    <t>Configurations_UAT</t>
  </si>
  <si>
    <t>Automation Scenarios</t>
  </si>
  <si>
    <t>Parameter</t>
  </si>
  <si>
    <t>Number</t>
  </si>
  <si>
    <t>Discovery effort</t>
  </si>
  <si>
    <t>Activities</t>
  </si>
  <si>
    <t>Effort in person hours</t>
  </si>
  <si>
    <t>Planning Effort</t>
  </si>
  <si>
    <t>Automation Test Plan Activities</t>
  </si>
  <si>
    <r>
      <t xml:space="preserve">a) </t>
    </r>
    <r>
      <rPr>
        <sz val="10"/>
        <color indexed="8"/>
        <rFont val="Arial"/>
        <family val="2"/>
      </rPr>
      <t>Analysis on Scope Items</t>
    </r>
    <r>
      <rPr>
        <b/>
        <sz val="10"/>
        <color indexed="8"/>
        <rFont val="Arial"/>
        <family val="2"/>
      </rPr>
      <t xml:space="preserve">
b) </t>
    </r>
    <r>
      <rPr>
        <sz val="10"/>
        <color indexed="8"/>
        <rFont val="Arial"/>
        <family val="2"/>
      </rPr>
      <t>Analysis and Planning on Automation Approach</t>
    </r>
    <r>
      <rPr>
        <b/>
        <sz val="10"/>
        <color indexed="8"/>
        <rFont val="Arial"/>
        <family val="2"/>
      </rPr>
      <t xml:space="preserve">
c) </t>
    </r>
    <r>
      <rPr>
        <sz val="10"/>
        <color indexed="8"/>
        <rFont val="Arial"/>
        <family val="2"/>
      </rPr>
      <t>Analysis on resources requirements</t>
    </r>
    <r>
      <rPr>
        <b/>
        <sz val="10"/>
        <color indexed="8"/>
        <rFont val="Arial"/>
        <family val="2"/>
      </rPr>
      <t xml:space="preserve">
d) </t>
    </r>
    <r>
      <rPr>
        <sz val="10"/>
        <color indexed="8"/>
        <rFont val="Arial"/>
        <family val="2"/>
      </rPr>
      <t>Planning on Test Deliverables</t>
    </r>
  </si>
  <si>
    <t>Design effort</t>
  </si>
  <si>
    <t>Design Activites</t>
  </si>
  <si>
    <t>Automatin Framework development</t>
  </si>
  <si>
    <t>Complexity</t>
  </si>
  <si>
    <t>Effort per scenario in hours</t>
  </si>
  <si>
    <t>Effort for all scenarios in hours</t>
  </si>
  <si>
    <t>Low</t>
  </si>
  <si>
    <t>Test Script Development</t>
  </si>
  <si>
    <t>Review &amp; Prototype Execution Phase</t>
  </si>
  <si>
    <t xml:space="preserve">Effort per scenario in hours </t>
  </si>
  <si>
    <t>Effort for all scenarios
 in hours</t>
  </si>
  <si>
    <r>
      <rPr>
        <b/>
        <sz val="10"/>
        <color indexed="8"/>
        <rFont val="Arial"/>
        <family val="2"/>
      </rPr>
      <t>a)</t>
    </r>
    <r>
      <rPr>
        <sz val="10"/>
        <color indexed="8"/>
        <rFont val="Arial"/>
        <family val="2"/>
      </rPr>
      <t xml:space="preserve"> Script Review
</t>
    </r>
    <r>
      <rPr>
        <b/>
        <sz val="10"/>
        <color indexed="8"/>
        <rFont val="Arial"/>
        <family val="2"/>
      </rPr>
      <t xml:space="preserve">b) </t>
    </r>
    <r>
      <rPr>
        <sz val="10"/>
        <color indexed="8"/>
        <rFont val="Arial"/>
        <family val="2"/>
      </rPr>
      <t xml:space="preserve">Debugging
</t>
    </r>
    <r>
      <rPr>
        <b/>
        <sz val="10"/>
        <color indexed="8"/>
        <rFont val="Arial"/>
        <family val="2"/>
      </rPr>
      <t xml:space="preserve">c) </t>
    </r>
    <r>
      <rPr>
        <sz val="10"/>
        <color indexed="8"/>
        <rFont val="Arial"/>
        <family val="2"/>
      </rPr>
      <t>Execution</t>
    </r>
  </si>
  <si>
    <t>Effort in Person Hours</t>
  </si>
  <si>
    <t>Closure Phase</t>
  </si>
  <si>
    <t>Activites</t>
  </si>
  <si>
    <r>
      <rPr>
        <sz val="10"/>
        <color indexed="8"/>
        <rFont val="Arial"/>
        <family val="2"/>
      </rPr>
      <t>Automation summary Report</t>
    </r>
    <r>
      <rPr>
        <b/>
        <sz val="10"/>
        <color indexed="8"/>
        <rFont val="Arial"/>
        <family val="2"/>
      </rPr>
      <t xml:space="preserve"> </t>
    </r>
  </si>
  <si>
    <t>Test automation effort - consolidated</t>
  </si>
  <si>
    <t>Phase</t>
  </si>
  <si>
    <t>Discovery Phase</t>
  </si>
  <si>
    <t>Planning Phase</t>
  </si>
  <si>
    <t>Design &amp; Development Phase</t>
  </si>
  <si>
    <t>Review &amp; Prototype Execution</t>
  </si>
  <si>
    <t>Total</t>
  </si>
  <si>
    <t>Number of Automation Data Driven applicable scenarios</t>
  </si>
  <si>
    <t>#Scripts</t>
  </si>
  <si>
    <t>Number of Automation Functional applicable scenarios</t>
  </si>
  <si>
    <t>Data Driven Applicable TCs</t>
  </si>
  <si>
    <t>Functional Applicable TCs</t>
  </si>
  <si>
    <t>Functional applicable TCs</t>
  </si>
  <si>
    <t>Common Function library development &amp; 
Object Repository Development</t>
  </si>
  <si>
    <t>Data Driven Script Development</t>
  </si>
  <si>
    <t>#Data Driven Scripts</t>
  </si>
  <si>
    <t>Effort per DD script in hours</t>
  </si>
  <si>
    <t>#Funcational Scenarios</t>
  </si>
  <si>
    <t>Functional Scenarios &amp; DD Scripts</t>
  </si>
  <si>
    <t>DD Scripts</t>
  </si>
  <si>
    <t>Total effort for Functional scenarios and DD Scripts review and execution</t>
  </si>
  <si>
    <t>Total effort for Funcational scenarios script development</t>
  </si>
  <si>
    <t>Total effort for Data Driven script development</t>
  </si>
  <si>
    <t>Assumptions</t>
  </si>
  <si>
    <t xml:space="preserve">Effort in Person Hours
</t>
  </si>
  <si>
    <t>Data Driven Framework Development</t>
  </si>
  <si>
    <t>Man Days</t>
  </si>
  <si>
    <t>Man Months</t>
  </si>
  <si>
    <t>Total Duration with 5 people (Months)</t>
  </si>
  <si>
    <t>Workflow Scenarios</t>
  </si>
  <si>
    <t>E-Deals</t>
  </si>
  <si>
    <t>Requirement</t>
  </si>
  <si>
    <t>#High Priority TCs</t>
  </si>
  <si>
    <t>DT-Promo</t>
  </si>
  <si>
    <t>E2E - Track</t>
  </si>
  <si>
    <t>Application</t>
  </si>
  <si>
    <t>Data Driven Scripts</t>
  </si>
  <si>
    <r>
      <rPr>
        <b/>
        <sz val="10"/>
        <rFont val="Arial"/>
        <family val="2"/>
      </rPr>
      <t>a)</t>
    </r>
    <r>
      <rPr>
        <sz val="10"/>
        <rFont val="Arial"/>
        <family val="2"/>
      </rPr>
      <t xml:space="preserve"> Knowledges Transfer on E-deals and DT-Promo applications.
</t>
    </r>
    <r>
      <rPr>
        <b/>
        <sz val="10"/>
        <rFont val="Arial"/>
        <family val="2"/>
      </rPr>
      <t>b)</t>
    </r>
    <r>
      <rPr>
        <sz val="10"/>
        <rFont val="Arial"/>
        <family val="2"/>
      </rPr>
      <t xml:space="preserve"> Review and Identification of Automation scenarios within the available scenarios. 
</t>
    </r>
    <r>
      <rPr>
        <b/>
        <sz val="10"/>
        <rFont val="Arial"/>
        <family val="2"/>
      </rPr>
      <t xml:space="preserve">c) </t>
    </r>
    <r>
      <rPr>
        <sz val="10"/>
        <rFont val="Arial"/>
        <family val="2"/>
      </rPr>
      <t>Identification of common scenarios.</t>
    </r>
  </si>
  <si>
    <t>Discovery</t>
  </si>
  <si>
    <t>Planning</t>
  </si>
  <si>
    <t>Transition</t>
  </si>
  <si>
    <t>The application is free of any major defects and running well</t>
  </si>
  <si>
    <t>The builds deployed in test environment will be stable at any point in time</t>
  </si>
  <si>
    <t>Count</t>
  </si>
  <si>
    <t>Total effort for Functional test script development, review &amp; script stabilization</t>
  </si>
  <si>
    <t>Development (Automation Scripts)</t>
  </si>
  <si>
    <t>Test execution effort for other browsers compatibility will be evaluated in later phases separately, if required</t>
  </si>
  <si>
    <t>The estimates provided for any activity are for a single resource</t>
  </si>
  <si>
    <t>Total Man Days</t>
  </si>
  <si>
    <t>Test Script Suite Execution, Debugging &amp; Result Analysis (for 1 round of execution)</t>
  </si>
  <si>
    <t>Test Script Development (Includes Script Development, Review and Script Stabilization)</t>
  </si>
  <si>
    <t>TPC Effort Estimation</t>
  </si>
  <si>
    <t>WBS
Reference</t>
  </si>
  <si>
    <t>Activity
Description</t>
  </si>
  <si>
    <t>Size (if applicable)</t>
  </si>
  <si>
    <r>
      <t>Optimistic</t>
    </r>
    <r>
      <rPr>
        <b/>
        <sz val="8"/>
        <color indexed="9"/>
        <rFont val="Arial"/>
        <family val="2"/>
      </rPr>
      <t xml:space="preserve">
</t>
    </r>
    <r>
      <rPr>
        <sz val="8"/>
        <color indexed="9"/>
        <rFont val="Arial"/>
        <family val="2"/>
      </rPr>
      <t>(Best Case)</t>
    </r>
    <r>
      <rPr>
        <b/>
        <sz val="8"/>
        <color indexed="9"/>
        <rFont val="Arial"/>
        <family val="2"/>
      </rPr>
      <t xml:space="preserve">
"a" </t>
    </r>
  </si>
  <si>
    <r>
      <t>Realistic
(Most Probable)</t>
    </r>
    <r>
      <rPr>
        <b/>
        <sz val="8"/>
        <color indexed="9"/>
        <rFont val="Arial"/>
        <family val="2"/>
      </rPr>
      <t xml:space="preserve">
"m"</t>
    </r>
  </si>
  <si>
    <r>
      <t>Pessimistic
(Worst Case)</t>
    </r>
    <r>
      <rPr>
        <b/>
        <sz val="8"/>
        <color indexed="9"/>
        <rFont val="Arial"/>
        <family val="2"/>
      </rPr>
      <t xml:space="preserve">
"b"</t>
    </r>
  </si>
  <si>
    <r>
      <t xml:space="preserve">"E"
</t>
    </r>
    <r>
      <rPr>
        <b/>
        <sz val="8"/>
        <color indexed="9"/>
        <rFont val="Arial"/>
        <family val="2"/>
      </rPr>
      <t>Value</t>
    </r>
    <r>
      <rPr>
        <b/>
        <sz val="9"/>
        <color indexed="9"/>
        <rFont val="Arial"/>
        <family val="2"/>
      </rPr>
      <t xml:space="preserve"> </t>
    </r>
  </si>
  <si>
    <t>Critical
Task?</t>
  </si>
  <si>
    <t>Risk
Indicator</t>
  </si>
  <si>
    <t>Design</t>
  </si>
  <si>
    <t>DDT script development</t>
  </si>
  <si>
    <t>% Additional Effort:</t>
  </si>
  <si>
    <t>Project Mgmt. Overhead</t>
  </si>
  <si>
    <t>Business Analysis</t>
  </si>
  <si>
    <t>Activity Total :</t>
  </si>
  <si>
    <t>Grand Total :</t>
  </si>
  <si>
    <t>Mandays per person (per day 8 hrs)</t>
  </si>
  <si>
    <t>Man months (20 days per month)</t>
  </si>
  <si>
    <t>Total duration with 4 people</t>
  </si>
  <si>
    <t>months</t>
  </si>
  <si>
    <t>Final fig you can show as 3 months with 4 people to client. You need not to show entire template</t>
  </si>
  <si>
    <t>Functional Script execution</t>
  </si>
  <si>
    <t>Pessimistic %</t>
  </si>
  <si>
    <t>Functional scripts development</t>
  </si>
  <si>
    <t>Total person hrs in above project is</t>
  </si>
  <si>
    <t>No. of Resources</t>
  </si>
  <si>
    <t>Optimistic %</t>
  </si>
  <si>
    <t>Three Point Estimation Guidelines</t>
  </si>
  <si>
    <t xml:space="preserve">Enter all the WBS tasks in Column C. Follow proper sequencing of tasks as maintained in WBS
Enter the WBS Reference (Task code) in to Column A </t>
  </si>
  <si>
    <t>Enter the "a", "m" and "b" values of each task in to Column D, E and F respectively.
           Guidelines to be followed while selecting "a", "m" and "b" values are:
                  Most Likely Estimate "m" - As we take from our past experience (History Data will be the reference)
                  Best Case Estimate   "a" - Could be 20-25% Lower estimate considering No effects from environmental factors
                  Worst Case Estimate "b" - Could be 30-50% Higher estimate considering effects from environmental factors</t>
  </si>
  <si>
    <r>
      <t xml:space="preserve">"E" value is calculated in to Column G as below:
 </t>
    </r>
    <r>
      <rPr>
        <b/>
        <sz val="8"/>
        <rFont val="Arial"/>
        <family val="2"/>
      </rPr>
      <t xml:space="preserve">                                                                                                a + 4*m + b
                                                                           "E" value  =   ----------------------
                                                                                                         6</t>
    </r>
  </si>
  <si>
    <t>Based on the estimates arrived for each Task, the "CRITICAL PATH" estimate is made as per the following conditions:
i) Risk indicator goes RED if the Pessimistic effort is more than 1.50 times that of Most probable effort
ii) Risk indicator goes YELLOW if the Pessimistic effort is less than or equal to 1.50 times that of Most probable effort
iii) Risk indicator shows GREEN if the Pessimistic effort is less than 1.25 times that of Most probable effort
For such "CRITICAL" Tasks, 1 is entered to the corresponding field in Column I (All other Tasks have 0 in to the Column I).</t>
  </si>
  <si>
    <t>Additional Effort : Additional Effort needed for the execution of the estimated effort. Additional effort could be on project management, analysis, report generations etc. Two are given, if needed more may be added</t>
  </si>
  <si>
    <t>Note</t>
  </si>
  <si>
    <t>The estimation sheet is populated with sample data for better understanding. All cells in white need to be filled in by the user. The grey cells and the Risk indicator will be automatically populated</t>
  </si>
  <si>
    <t>Effort per test case in hours</t>
  </si>
  <si>
    <t>One test scenario will become one test case only is assumed for estimations</t>
  </si>
  <si>
    <t>Manual test case creation</t>
  </si>
  <si>
    <t>Training / KT for the team</t>
  </si>
  <si>
    <t>2 weeks</t>
  </si>
  <si>
    <t>Automation Designing Activities</t>
  </si>
  <si>
    <t>Wk 1</t>
  </si>
  <si>
    <t>Wk 2</t>
  </si>
  <si>
    <t>Wk 3</t>
  </si>
  <si>
    <t>Wk 4</t>
  </si>
  <si>
    <t>Wk 5</t>
  </si>
  <si>
    <t>Wk 6</t>
  </si>
  <si>
    <t>Wk 7</t>
  </si>
  <si>
    <t xml:space="preserve">Wk 8 </t>
  </si>
  <si>
    <t>Wk 9</t>
  </si>
  <si>
    <t>No. Of Resource</t>
  </si>
  <si>
    <t>Weekly Project Hours</t>
  </si>
  <si>
    <t>Cumulative Project Hour</t>
  </si>
  <si>
    <t>No. Of Proposed Resource</t>
  </si>
  <si>
    <t>Resource</t>
  </si>
  <si>
    <t>Rank</t>
  </si>
  <si>
    <t>Profile Class</t>
  </si>
  <si>
    <t>Products/Services</t>
  </si>
  <si>
    <t>Order Type</t>
  </si>
  <si>
    <t>Test Scenario</t>
  </si>
  <si>
    <t>Customer #, Order #, Notes</t>
  </si>
  <si>
    <t>Very Easy</t>
  </si>
  <si>
    <t>B2C</t>
  </si>
  <si>
    <t>Any booked and processed Standard Order</t>
  </si>
  <si>
    <t>Standard JUS</t>
  </si>
  <si>
    <t>Customer would like to know the AWB Number of the order, which has been sent to him two days ago</t>
  </si>
  <si>
    <t>C# 132260 for Make Good JUS order 7021771</t>
  </si>
  <si>
    <t>Easy</t>
  </si>
  <si>
    <t>IFR Manual for Canada, with accessory kit and leather binders</t>
  </si>
  <si>
    <t>Standard JDE</t>
  </si>
  <si>
    <t>The Customer would like to buy an IFR Manual. Comex should be applied to the services and service should be assigned to the existing contract</t>
  </si>
  <si>
    <t>C# 253319 for</t>
  </si>
  <si>
    <t>JDE SO# 8010134</t>
  </si>
  <si>
    <t>C# 60001 for</t>
  </si>
  <si>
    <t>JUS SO# 7024891</t>
  </si>
  <si>
    <t>Med</t>
  </si>
  <si>
    <t>Leather Binder 2”</t>
  </si>
  <si>
    <t>The same customer as in No.1 has returned one binder, because it was delivered damaged. Customer needs to get a credit for this binder, he doesn`t want to get any new binder instead</t>
  </si>
  <si>
    <t>C# 253319 for JDE</t>
  </si>
  <si>
    <t>SO# 8010134</t>
  </si>
  <si>
    <t>3 steps; time consuming but not difficult</t>
  </si>
  <si>
    <t>RMA Note entered at Header</t>
  </si>
  <si>
    <t>Hard</t>
  </si>
  <si>
    <t>JeppView Trip Kit for Africa + Enroute Charts (TripKit)</t>
  </si>
  <si>
    <t>Two weeks later, the same customer as in No. 6, would like to order a JV TripKit for Africa + Enroute Charts for this region</t>
  </si>
  <si>
    <t>C# 253555 for JDE SO# 8010140</t>
  </si>
  <si>
    <t>Note: This is a Standard Order with some of the lines being NTS JDE for the JeppView service.</t>
  </si>
  <si>
    <t>Very Hard</t>
  </si>
  <si>
    <t>B2B</t>
  </si>
  <si>
    <t>eLink Worldwide</t>
  </si>
  <si>
    <t>NTS JUS</t>
  </si>
  <si>
    <t>Customer orders eLink for windows with 1 license.</t>
  </si>
  <si>
    <t>C# 555435 for JUS SO# 7024901 Order Booked</t>
  </si>
  <si>
    <t>- - entered by Kim Cross (Military Sales)</t>
  </si>
  <si>
    <t>VFR Manual for Sweden with binders; IFR TripKit for Denmark; VFR+GPS Charts for Germany</t>
  </si>
  <si>
    <t>The Customer would like to buy VFR Manual, IFR TripKit</t>
  </si>
  <si>
    <t>C# 253320 for JDE</t>
  </si>
  <si>
    <t>SO# 8010135</t>
  </si>
  <si>
    <t>Added service to VFR Sweden, could not find Denmark so used Scandinavia, only entered 1 out of 8 Germany charts</t>
  </si>
  <si>
    <t>Easy (incomplete)</t>
  </si>
  <si>
    <t>FliteStar Europe with a 56 Day Service</t>
  </si>
  <si>
    <t>Customer needs FliteStar and it should be shipped today with 0 Euro shipping charges</t>
  </si>
  <si>
    <t>C# 253555 for JDE SO# 8010136</t>
  </si>
  <si>
    <t>Chose IFR FliteStar.  Unable to apply Shipping Charges.   - - per Elena S. (NI)</t>
  </si>
  <si>
    <t>Seven-Hole punch, Private Pilot Kit</t>
  </si>
  <si>
    <t>Customer would like to buy several Pilot Supplies and he would like to  pick up the order himself at Jeppesen office on the Reception</t>
  </si>
  <si>
    <t>C# 253555 for JDE SO# 8010137</t>
  </si>
  <si>
    <t>Unable to see Shipping Methods so cannot choose Store Pick Up.   - - per Elena S. (NI)</t>
  </si>
  <si>
    <t>JeppView IFR for Europe and Mediterranean and Eastern Europe + Enroute Charts High and Low</t>
  </si>
  <si>
    <t>The customer would like to buy JeppView.</t>
  </si>
  <si>
    <t>C# 253555 for JDE SO# 8010138</t>
  </si>
  <si>
    <r>
      <t>Had to choose Europe/Med High charts separately and attach to a 2</t>
    </r>
    <r>
      <rPr>
        <b/>
        <vertAlign val="superscript"/>
        <sz val="12"/>
        <color indexed="8"/>
        <rFont val="Calibri"/>
        <family val="2"/>
      </rPr>
      <t>nd</t>
    </r>
    <r>
      <rPr>
        <b/>
        <sz val="12"/>
        <color indexed="8"/>
        <rFont val="Calibri"/>
        <family val="2"/>
      </rPr>
      <t xml:space="preserve"> Model.  </t>
    </r>
  </si>
  <si>
    <t>Note: Did not delete cd revision mailing line so customer will receive cd every 2 weeks.</t>
  </si>
  <si>
    <t>One time update for NavData Garmin 400/500 Europe; One year revision service for Avidyne EX5000 International</t>
  </si>
  <si>
    <t>NTS JDE</t>
  </si>
  <si>
    <t>Customer would like to order 2 different NavData Services for the same aircraft</t>
  </si>
  <si>
    <t>C# 235555 for JDE SO# 8010139</t>
  </si>
  <si>
    <t>IFR Manual for Africa with one year revision service</t>
  </si>
  <si>
    <t>Dealer orders IFR Manual with revision service for one of his customers (Relation between Dealer and the end customer is existing in Oracle). The initial package must be shipped to a Dealer, the service must be installed on the end customer account.</t>
  </si>
  <si>
    <t>C# 140451 for JUS SO# 7024909</t>
  </si>
  <si>
    <t>IFR Manual for China with one year revision service w/o Accessory Kit and w/o binders</t>
  </si>
  <si>
    <t>Business Aviation Customer would like to order 3 x IFR Manual with Services and each service should ship to a different address.</t>
  </si>
  <si>
    <t xml:space="preserve">C# 118087 for JUS SO# 7024908  </t>
  </si>
  <si>
    <t>**Unable to send 3 services to 3 different addresses in 2IND but can do it in Production.**</t>
  </si>
  <si>
    <t>IFR Manual for Atlantic International in leather binders; Tailored manual QAC in tailored binders</t>
  </si>
  <si>
    <t>Customer would like to order a tailored manual and a standard manual. Both must be billed through a tailored billing</t>
  </si>
  <si>
    <t>C# 492327 for JUS SO# 7024895</t>
  </si>
  <si>
    <t>Any IFR Revisions</t>
  </si>
  <si>
    <t>Make Good JDE</t>
  </si>
  <si>
    <t>Customer orders several back revisions, which should be sent via Beipack with his regular revision shipment</t>
  </si>
  <si>
    <t>C# 253319 for JDE SO#  8010150</t>
  </si>
  <si>
    <t>---entered by Elena S. (NI)</t>
  </si>
  <si>
    <t>Any active services, which are not in renewal yet</t>
  </si>
  <si>
    <t>Service JDE</t>
  </si>
  <si>
    <t>Customer decides not to renew his services anymore, so he asks S&amp;S to stop all his service on their expiration date.</t>
  </si>
  <si>
    <t>Not Order Management</t>
  </si>
  <si>
    <t>C# 253561</t>
  </si>
  <si>
    <t>Contract EU0009789 Terminated</t>
  </si>
  <si>
    <t>Any contract in entered status</t>
  </si>
  <si>
    <t>Service JUS</t>
  </si>
  <si>
    <t>Customer wants to cancel his renewal</t>
  </si>
  <si>
    <t>C# 555435</t>
  </si>
  <si>
    <t>Contract US0046505 status Cancelled</t>
  </si>
  <si>
    <t>IFR Manual for Middle East and South Asia with Accessory Kit and plastic binders</t>
  </si>
  <si>
    <t>Customer would like to order an IFR manual with services. Initial delivery should take place one month later. The services should also start one month later. The order is placed today.</t>
  </si>
  <si>
    <t>C# 253559 for SO# 8010141</t>
  </si>
  <si>
    <t>Tailored manual AFL in tailored binders</t>
  </si>
  <si>
    <t>Customer calls on Friday and orders a manual which should be shipped today. The services should start immediately</t>
  </si>
  <si>
    <t>C# 176353 for JUS SO# 7024894</t>
  </si>
  <si>
    <t>Leather flight case; IFR Kneeboard; Navigation Plotter</t>
  </si>
  <si>
    <t>Due to some problems with the customer it was decided to give him a 50% discount on everything he orders</t>
  </si>
  <si>
    <t>C# 253561 for JDE SO# 8010142</t>
  </si>
  <si>
    <t>B2M</t>
  </si>
  <si>
    <t>Tailored manual TAR in standard leather binders</t>
  </si>
  <si>
    <t>Standard JUS (Subscription Maintenance)</t>
  </si>
  <si>
    <t>Customer orders 5 x tailored manuals with services. One month later he calls and wants to change quantity from 5 to 3.</t>
  </si>
  <si>
    <t>C# 384211</t>
  </si>
  <si>
    <t>Chose an existing customer and lowered the qty. of services.</t>
  </si>
  <si>
    <t>(blank)</t>
  </si>
  <si>
    <t>Grand Total</t>
  </si>
  <si>
    <t>Count of Profile Class</t>
  </si>
  <si>
    <t>No. Of Manual Scripts</t>
  </si>
  <si>
    <t>Script Break Up - Complexity Percentage</t>
  </si>
  <si>
    <t>Testcase Count</t>
  </si>
  <si>
    <t>Percentage%</t>
  </si>
  <si>
    <t>Reusable</t>
  </si>
  <si>
    <t>Script Develpoment</t>
  </si>
  <si>
    <t xml:space="preserve">Phase I </t>
  </si>
  <si>
    <t>Phase II</t>
  </si>
  <si>
    <t>Draft</t>
  </si>
  <si>
    <t>Final</t>
  </si>
  <si>
    <t>Plan &amp; Design</t>
  </si>
  <si>
    <t>Development</t>
  </si>
  <si>
    <t>Exec. &amp; Trans</t>
  </si>
  <si>
    <t>Resource Type</t>
  </si>
  <si>
    <t>Number of Resources</t>
  </si>
  <si>
    <t>Location</t>
  </si>
  <si>
    <t>Duration (Weeks)</t>
  </si>
  <si>
    <t>Duration (Days)</t>
  </si>
  <si>
    <t>Duration (Hours)</t>
  </si>
  <si>
    <t>Hourly Rate ($)</t>
  </si>
  <si>
    <t>Amount ($)</t>
  </si>
  <si>
    <t>Automation Architect</t>
  </si>
  <si>
    <t>Onsite</t>
  </si>
  <si>
    <t>Offshore</t>
  </si>
  <si>
    <t>Sr. Automation Engineer</t>
  </si>
  <si>
    <t>Travel Expenses for Onsite Resource</t>
  </si>
  <si>
    <t>Total Resource cost</t>
  </si>
  <si>
    <t>Resource pricing</t>
  </si>
  <si>
    <t>Total Transaction</t>
  </si>
  <si>
    <t>Scope</t>
  </si>
  <si>
    <t>Create Transaction heat map</t>
  </si>
  <si>
    <t>Avg. TC per Transaction</t>
  </si>
  <si>
    <t>Total TC</t>
  </si>
  <si>
    <t>Complexity BreakUp</t>
  </si>
  <si>
    <t>Total transaction in scope for automation</t>
  </si>
  <si>
    <t>Review/Create/Update automation ready manual test case</t>
  </si>
  <si>
    <t>Create Automation Script for 150 transaction</t>
  </si>
  <si>
    <t>Total Scripts targeted for automation</t>
  </si>
  <si>
    <t>[ Considering 20 % cannot be automated due to batch dependancy or data dependancy]</t>
  </si>
  <si>
    <t>Total Scripts targeted for manual review</t>
  </si>
  <si>
    <t>Revised</t>
  </si>
  <si>
    <t xml:space="preserve">Reusable scripts </t>
  </si>
  <si>
    <t>Revised with CSC</t>
  </si>
  <si>
    <t>[ Changed the complexity breakup to 40/40/20 - High/Medium/Low ]</t>
  </si>
  <si>
    <t>Execution and Results Analysis (Automation Scripts)</t>
  </si>
  <si>
    <t>Business days</t>
  </si>
  <si>
    <t>No. Of Tests</t>
  </si>
  <si>
    <t>Efforts - Per Test (in Hrs)</t>
  </si>
  <si>
    <t>No. of additional Browsers</t>
  </si>
  <si>
    <t>No. of additional OS</t>
  </si>
  <si>
    <t>Total Efforts</t>
  </si>
  <si>
    <t>Additonal effort needed to customize the scripts for additional OS combination (10% of actual efforts per OS)</t>
  </si>
  <si>
    <t>Additonal effort needed to customize the scripts for additional brower (15% of actual efforts per Browser)</t>
  </si>
  <si>
    <t>Project Manager</t>
  </si>
  <si>
    <t>Automation Engineers</t>
  </si>
  <si>
    <t>Test execution effort given is for FF browser only</t>
  </si>
  <si>
    <t>Total Number of RF Test Scripts</t>
  </si>
  <si>
    <t>Total Number Of RF Scripts In Scope</t>
  </si>
  <si>
    <t>Number Of Test Cases Per Script</t>
  </si>
  <si>
    <t>Test Preperation</t>
  </si>
  <si>
    <t>Framework Preparation</t>
  </si>
  <si>
    <t>Product Sub Category</t>
  </si>
  <si>
    <t>Attainments</t>
  </si>
  <si>
    <t>Medium
(11 to 20 Steps)</t>
  </si>
  <si>
    <t>Low
(≤ 10 steps)</t>
  </si>
  <si>
    <t>High
(21 to 30 Steps)</t>
  </si>
  <si>
    <t>Succession Planning</t>
  </si>
  <si>
    <t>National Insurance</t>
  </si>
  <si>
    <t>BACS</t>
  </si>
  <si>
    <t>Payroll Calculate</t>
  </si>
  <si>
    <t>Payroll Reports</t>
  </si>
  <si>
    <t>Total Days</t>
  </si>
  <si>
    <t>Number of Days</t>
  </si>
  <si>
    <r>
      <t>RESOURCELINK</t>
    </r>
    <r>
      <rPr>
        <b/>
        <sz val="8"/>
        <color indexed="8"/>
        <rFont val="Calibri"/>
        <family val="2"/>
      </rPr>
      <t xml:space="preserve">
</t>
    </r>
  </si>
  <si>
    <t>Framework Preperation</t>
  </si>
  <si>
    <t>Senior Automation Engineer</t>
  </si>
  <si>
    <t>Total Man Months</t>
  </si>
  <si>
    <t>Automation Lead</t>
  </si>
  <si>
    <t>1 AL, 1 SAE</t>
  </si>
  <si>
    <t>2 SAE, 4 AE</t>
  </si>
  <si>
    <t>PQAC - Automation Test Estimation</t>
  </si>
  <si>
    <t xml:space="preserve">a) Analyze Functional Specification of Test case
b) Analysis of Automation Scope
c) Define Pre, Post condition for repeatable execution 
d) Design High Level Flows
e) Define Automation design strategy
f) Clarification
</t>
  </si>
  <si>
    <t>a) Design and Develop Framework Keywords
b) Develop Application Specific Re-Usable Keywords
c) Design and Develop Unit &amp; Acceptance Tests for Framework Keywords</t>
  </si>
  <si>
    <t>Total Tests</t>
  </si>
  <si>
    <t>#Tests</t>
  </si>
  <si>
    <t>Effort for all Tests in hours</t>
  </si>
  <si>
    <t># Steps Per Tests</t>
  </si>
  <si>
    <t>Effort in Man Hours</t>
  </si>
  <si>
    <t>The estimations are assumed for manual test case written in RF</t>
  </si>
  <si>
    <t>Manual Test case authoring efforts are not included and will be estimated separately if required</t>
  </si>
  <si>
    <t>Based on the Application Complexity, Repeatable Functionality and Test Scope items; the automation test scripts count will vary</t>
  </si>
  <si>
    <t>An Automation Engineer should be able to automate 60 Lines of Actions or Verification Per day (8 hour)
      1. Low complexity        = 6 per day
      2. Medium complexity  = 3 per day
      3. High complexity       = 2 per day</t>
  </si>
  <si>
    <t xml:space="preserve">Complexity of Test Cases are defined as below
      1. 01-10 Lines of Actions or Verifications =&gt; Low
      2. 11-20 Lines of Actions or Verifications =&gt; Med
      3. 21-30 Lines of Actions or Verifications =&gt; High
More than 30 Lines of Actions or Verifications would be treated combination of above 3 slabs. For e.g. If a test case has 50 Lines of Code than it is teated as 1 High + 1 Med
</t>
  </si>
  <si>
    <t>Effort in man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</si>
</sst>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6" formatCode="&quot;$&quot;#,##0_);[Red]\(&quot;$&quot;#,##0\)"/>
    <numFmt numFmtId="164" formatCode="0.0"/>
  </numFmts>
  <fonts count="56" x14ac:knownFonts="1">
    <font>
      <sz val="11"/>
      <color theme="1"/>
      <name val="Calibri"/>
      <family val="2"/>
      <scheme val="minor"/>
    </font>
    <font>
      <sz val="10"/>
      <color indexed="8"/>
      <name val="Arial"/>
      <family val="2"/>
    </font>
    <font>
      <b/>
      <sz val="10"/>
      <color indexed="8"/>
      <name val="Arial"/>
      <family val="2"/>
    </font>
    <font>
      <b/>
      <sz val="10"/>
      <color indexed="9"/>
      <name val="Arial"/>
      <family val="2"/>
    </font>
    <font>
      <b/>
      <sz val="10"/>
      <name val="Arial"/>
      <family val="2"/>
    </font>
    <font>
      <sz val="10"/>
      <name val="Arial"/>
      <family val="2"/>
    </font>
    <font>
      <b/>
      <sz val="14"/>
      <name val="Arial"/>
      <family val="2"/>
    </font>
    <font>
      <b/>
      <sz val="11"/>
      <color indexed="9"/>
      <name val="Calibri"/>
      <family val="2"/>
    </font>
    <font>
      <b/>
      <sz val="11"/>
      <color indexed="8"/>
      <name val="Calibri"/>
      <family val="2"/>
    </font>
    <font>
      <sz val="11"/>
      <color indexed="10"/>
      <name val="Calibri"/>
      <family val="2"/>
    </font>
    <font>
      <sz val="10"/>
      <color indexed="8"/>
      <name val="Arial"/>
      <family val="2"/>
    </font>
    <font>
      <b/>
      <sz val="10"/>
      <color indexed="8"/>
      <name val="Arial"/>
      <family val="2"/>
    </font>
    <font>
      <b/>
      <sz val="10"/>
      <color indexed="9"/>
      <name val="Arial"/>
      <family val="2"/>
    </font>
    <font>
      <sz val="11"/>
      <name val="Calibri"/>
      <family val="2"/>
    </font>
    <font>
      <sz val="8"/>
      <name val="Calibri"/>
      <family val="2"/>
    </font>
    <font>
      <b/>
      <sz val="8"/>
      <color indexed="81"/>
      <name val="Tahoma"/>
      <family val="2"/>
    </font>
    <font>
      <sz val="10"/>
      <name val="Arial"/>
      <family val="2"/>
    </font>
    <font>
      <sz val="9"/>
      <name val="Arial"/>
      <family val="2"/>
    </font>
    <font>
      <b/>
      <sz val="8"/>
      <color indexed="9"/>
      <name val="Arial"/>
      <family val="2"/>
    </font>
    <font>
      <sz val="8"/>
      <color indexed="9"/>
      <name val="Arial"/>
      <family val="2"/>
    </font>
    <font>
      <b/>
      <sz val="9"/>
      <color indexed="9"/>
      <name val="Arial"/>
      <family val="2"/>
    </font>
    <font>
      <b/>
      <sz val="9"/>
      <name val="Arial"/>
      <family val="2"/>
    </font>
    <font>
      <sz val="8"/>
      <color indexed="9"/>
      <name val="Arial"/>
      <family val="2"/>
    </font>
    <font>
      <sz val="9"/>
      <color indexed="18"/>
      <name val="Arial"/>
      <family val="2"/>
    </font>
    <font>
      <sz val="8"/>
      <color indexed="81"/>
      <name val="Tahoma"/>
      <family val="2"/>
    </font>
    <font>
      <sz val="9"/>
      <name val="Arial"/>
      <family val="2"/>
    </font>
    <font>
      <b/>
      <sz val="8"/>
      <name val="Arial"/>
      <family val="2"/>
    </font>
    <font>
      <sz val="8"/>
      <name val="Arial"/>
      <family val="2"/>
    </font>
    <font>
      <b/>
      <sz val="8"/>
      <color indexed="18"/>
      <name val="Arial"/>
      <family val="2"/>
    </font>
    <font>
      <b/>
      <sz val="12"/>
      <name val="Arial"/>
      <family val="2"/>
    </font>
    <font>
      <b/>
      <sz val="12"/>
      <color indexed="8"/>
      <name val="Calibri"/>
      <family val="2"/>
    </font>
    <font>
      <b/>
      <vertAlign val="superscript"/>
      <sz val="12"/>
      <color indexed="8"/>
      <name val="Calibri"/>
      <family val="2"/>
    </font>
    <font>
      <b/>
      <sz val="8"/>
      <color indexed="8"/>
      <name val="Calibri"/>
      <family val="2"/>
    </font>
    <font>
      <b/>
      <sz val="11"/>
      <color theme="1"/>
      <name val="Calibri"/>
      <family val="2"/>
      <scheme val="minor"/>
    </font>
    <font>
      <sz val="11"/>
      <color rgb="FFFF0000"/>
      <name val="Calibri"/>
      <family val="2"/>
      <scheme val="minor"/>
    </font>
    <font>
      <b/>
      <sz val="8"/>
      <color theme="0"/>
      <name val="Arial"/>
      <family val="2"/>
    </font>
    <font>
      <sz val="8"/>
      <color theme="0"/>
      <name val="Arial"/>
      <family val="2"/>
    </font>
    <font>
      <b/>
      <sz val="9"/>
      <color theme="0"/>
      <name val="Arial"/>
      <family val="2"/>
    </font>
    <font>
      <sz val="9"/>
      <color theme="0"/>
      <name val="Arial"/>
      <family val="2"/>
    </font>
    <font>
      <b/>
      <sz val="9"/>
      <color rgb="FFFF0000"/>
      <name val="Arial"/>
      <family val="2"/>
    </font>
    <font>
      <b/>
      <sz val="11"/>
      <name val="Calibri"/>
      <family val="2"/>
      <scheme val="minor"/>
    </font>
    <font>
      <sz val="10"/>
      <color theme="0"/>
      <name val="Arial"/>
      <family val="2"/>
    </font>
    <font>
      <sz val="10"/>
      <color rgb="FFFF0000"/>
      <name val="Arial"/>
      <family val="2"/>
    </font>
    <font>
      <b/>
      <sz val="12"/>
      <color theme="1"/>
      <name val="Calibri"/>
      <family val="2"/>
      <scheme val="minor"/>
    </font>
    <font>
      <b/>
      <sz val="10"/>
      <color theme="1"/>
      <name val="Arial"/>
      <family val="2"/>
    </font>
    <font>
      <b/>
      <sz val="11"/>
      <color rgb="FFFF0000"/>
      <name val="Calibri"/>
      <family val="2"/>
      <scheme val="minor"/>
    </font>
    <font>
      <b/>
      <sz val="10"/>
      <color rgb="FFFFFFFF"/>
      <name val="Arial"/>
      <family val="2"/>
    </font>
    <font>
      <sz val="10"/>
      <color rgb="FF000000"/>
      <name val="Arial"/>
      <family val="2"/>
    </font>
    <font>
      <b/>
      <sz val="10"/>
      <color rgb="FF000000"/>
      <name val="Arial"/>
      <family val="2"/>
    </font>
    <font>
      <b/>
      <sz val="14"/>
      <color theme="1"/>
      <name val="Calibri"/>
      <family val="2"/>
      <scheme val="minor"/>
    </font>
    <font>
      <b/>
      <sz val="10"/>
      <color theme="1"/>
      <name val="Calibri"/>
      <family val="2"/>
      <scheme val="minor"/>
    </font>
    <font>
      <sz val="10"/>
      <color theme="1"/>
      <name val="Calibri"/>
      <family val="2"/>
      <scheme val="minor"/>
    </font>
    <font>
      <b/>
      <sz val="8"/>
      <color theme="1"/>
      <name val="Calibri"/>
      <family val="2"/>
      <scheme val="minor"/>
    </font>
    <font>
      <b/>
      <sz val="10"/>
      <color theme="0"/>
      <name val="Trebuchet MS"/>
      <family val="2"/>
    </font>
    <font>
      <b/>
      <sz val="11"/>
      <color theme="0"/>
      <name val="Arial"/>
      <family val="2"/>
    </font>
    <font>
      <sz val="10"/>
      <color theme="1"/>
      <name val="Arial"/>
      <family val="2"/>
    </font>
  </fonts>
  <fills count="27">
    <fill>
      <patternFill patternType="none"/>
    </fill>
    <fill>
      <patternFill patternType="gray125"/>
    </fill>
    <fill>
      <patternFill patternType="solid">
        <fgColor indexed="44"/>
        <bgColor indexed="64"/>
      </patternFill>
    </fill>
    <fill>
      <patternFill patternType="solid">
        <fgColor indexed="29"/>
        <bgColor indexed="64"/>
      </patternFill>
    </fill>
    <fill>
      <patternFill patternType="solid">
        <fgColor indexed="62"/>
        <bgColor indexed="64"/>
      </patternFill>
    </fill>
    <fill>
      <patternFill patternType="solid">
        <fgColor indexed="17"/>
        <bgColor indexed="64"/>
      </patternFill>
    </fill>
    <fill>
      <patternFill patternType="solid">
        <fgColor indexed="9"/>
        <bgColor indexed="64"/>
      </patternFill>
    </fill>
    <fill>
      <patternFill patternType="solid">
        <fgColor indexed="13"/>
        <bgColor indexed="64"/>
      </patternFill>
    </fill>
    <fill>
      <patternFill patternType="solid">
        <fgColor indexed="22"/>
        <bgColor indexed="64"/>
      </patternFill>
    </fill>
    <fill>
      <patternFill patternType="solid">
        <fgColor rgb="FF00B0F0"/>
        <bgColor indexed="64"/>
      </patternFill>
    </fill>
    <fill>
      <patternFill patternType="solid">
        <fgColor theme="0" tint="-0.14999847407452621"/>
        <bgColor indexed="64"/>
      </patternFill>
    </fill>
    <fill>
      <patternFill patternType="solid">
        <fgColor rgb="FF0078C1"/>
        <bgColor indexed="64"/>
      </patternFill>
    </fill>
    <fill>
      <patternFill patternType="solid">
        <fgColor rgb="FFFFFF00"/>
        <bgColor indexed="64"/>
      </patternFill>
    </fill>
    <fill>
      <patternFill patternType="solid">
        <fgColor theme="0"/>
        <bgColor indexed="64"/>
      </patternFill>
    </fill>
    <fill>
      <patternFill patternType="solid">
        <fgColor theme="8" tint="-0.249977111117893"/>
        <bgColor indexed="64"/>
      </patternFill>
    </fill>
    <fill>
      <patternFill patternType="solid">
        <fgColor theme="8" tint="0.39997558519241921"/>
        <bgColor indexed="64"/>
      </patternFill>
    </fill>
    <fill>
      <patternFill patternType="solid">
        <fgColor rgb="FF92D050"/>
        <bgColor indexed="64"/>
      </patternFill>
    </fill>
    <fill>
      <patternFill patternType="solid">
        <fgColor theme="4" tint="0.79998168889431442"/>
        <bgColor theme="4" tint="0.79998168889431442"/>
      </patternFill>
    </fill>
    <fill>
      <patternFill patternType="solid">
        <fgColor theme="8" tint="0.59999389629810485"/>
        <bgColor indexed="64"/>
      </patternFill>
    </fill>
    <fill>
      <patternFill patternType="solid">
        <fgColor theme="6" tint="0.39997558519241921"/>
        <bgColor indexed="64"/>
      </patternFill>
    </fill>
    <fill>
      <patternFill patternType="solid">
        <fgColor rgb="FF0070C0"/>
        <bgColor indexed="64"/>
      </patternFill>
    </fill>
    <fill>
      <patternFill patternType="solid">
        <fgColor rgb="FFC5EBFF"/>
        <bgColor indexed="64"/>
      </patternFill>
    </fill>
    <fill>
      <patternFill patternType="solid">
        <fgColor theme="3" tint="0.59999389629810485"/>
        <bgColor indexed="64"/>
      </patternFill>
    </fill>
    <fill>
      <patternFill patternType="solid">
        <fgColor theme="3" tint="0.39997558519241921"/>
        <bgColor indexed="64"/>
      </patternFill>
    </fill>
    <fill>
      <patternFill patternType="solid">
        <fgColor theme="5" tint="0.39997558519241921"/>
        <bgColor indexed="64"/>
      </patternFill>
    </fill>
    <fill>
      <patternFill patternType="solid">
        <fgColor rgb="FFFFC000"/>
        <bgColor indexed="64"/>
      </patternFill>
    </fill>
    <fill>
      <patternFill patternType="solid">
        <fgColor theme="5" tint="0.59999389629810485"/>
        <bgColor indexed="64"/>
      </patternFill>
    </fill>
  </fills>
  <borders count="7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medium">
        <color indexed="64"/>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bottom style="thin">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medium">
        <color indexed="64"/>
      </left>
      <right style="medium">
        <color indexed="64"/>
      </right>
      <top/>
      <bottom/>
      <diagonal/>
    </border>
    <border>
      <left style="thin">
        <color indexed="8"/>
      </left>
      <right/>
      <top style="thin">
        <color indexed="8"/>
      </top>
      <bottom/>
      <diagonal/>
    </border>
    <border>
      <left style="thin">
        <color indexed="8"/>
      </left>
      <right/>
      <top/>
      <bottom/>
      <diagonal/>
    </border>
    <border>
      <left style="thin">
        <color indexed="8"/>
      </left>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style="thin">
        <color indexed="8"/>
      </top>
      <bottom style="thin">
        <color indexed="8"/>
      </bottom>
      <diagonal/>
    </border>
    <border>
      <left/>
      <right/>
      <top style="medium">
        <color indexed="64"/>
      </top>
      <bottom style="medium">
        <color indexed="64"/>
      </bottom>
      <diagonal/>
    </border>
    <border>
      <left/>
      <right/>
      <top style="medium">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top/>
      <bottom style="medium">
        <color indexed="64"/>
      </bottom>
      <diagonal/>
    </border>
    <border>
      <left/>
      <right/>
      <top style="medium">
        <color indexed="64"/>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right style="thick">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medium">
        <color indexed="64"/>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right style="medium">
        <color indexed="64"/>
      </right>
      <top style="thin">
        <color indexed="64"/>
      </top>
      <bottom style="thin">
        <color indexed="64"/>
      </bottom>
      <diagonal/>
    </border>
  </borders>
  <cellStyleXfs count="3">
    <xf numFmtId="0" fontId="0" fillId="0" borderId="0"/>
    <xf numFmtId="0" fontId="16" fillId="0" borderId="0"/>
    <xf numFmtId="0" fontId="5" fillId="0" borderId="0"/>
  </cellStyleXfs>
  <cellXfs count="400">
    <xf numFmtId="0" fontId="0" fillId="0" borderId="0" xfId="0"/>
    <xf numFmtId="0" fontId="10" fillId="0" borderId="1" xfId="0" applyFont="1" applyBorder="1"/>
    <xf numFmtId="0" fontId="10" fillId="0" borderId="1" xfId="0" applyFont="1" applyBorder="1" applyAlignment="1">
      <alignment horizontal="center"/>
    </xf>
    <xf numFmtId="0" fontId="10" fillId="0" borderId="1" xfId="0" applyFont="1" applyBorder="1" applyAlignment="1">
      <alignment wrapText="1"/>
    </xf>
    <xf numFmtId="0" fontId="10" fillId="0" borderId="1" xfId="0" applyFont="1" applyBorder="1" applyAlignment="1">
      <alignment vertical="top"/>
    </xf>
    <xf numFmtId="0" fontId="11" fillId="0" borderId="1" xfId="0" applyFont="1" applyBorder="1" applyAlignment="1">
      <alignment horizontal="center"/>
    </xf>
    <xf numFmtId="0" fontId="10" fillId="0" borderId="1" xfId="0" applyFont="1" applyBorder="1" applyAlignment="1">
      <alignment horizontal="center" vertical="top"/>
    </xf>
    <xf numFmtId="0" fontId="11" fillId="0" borderId="1" xfId="0" applyFont="1" applyBorder="1" applyAlignment="1">
      <alignment horizontal="center" vertical="top"/>
    </xf>
    <xf numFmtId="0" fontId="11" fillId="2" borderId="1" xfId="0" applyFont="1" applyFill="1" applyBorder="1"/>
    <xf numFmtId="0" fontId="4" fillId="3" borderId="1" xfId="0" applyFont="1" applyFill="1" applyBorder="1"/>
    <xf numFmtId="0" fontId="0" fillId="0" borderId="0" xfId="0" applyBorder="1"/>
    <xf numFmtId="0" fontId="3" fillId="4" borderId="2" xfId="0" applyFont="1" applyFill="1" applyBorder="1" applyAlignment="1">
      <alignment horizontal="center" vertical="center"/>
    </xf>
    <xf numFmtId="0" fontId="3" fillId="4" borderId="3" xfId="0" applyFont="1" applyFill="1" applyBorder="1" applyAlignment="1">
      <alignment horizontal="center" vertical="center" wrapText="1"/>
    </xf>
    <xf numFmtId="0" fontId="5" fillId="0" borderId="4" xfId="0" applyFont="1" applyBorder="1" applyAlignment="1">
      <alignment vertical="center" wrapText="1"/>
    </xf>
    <xf numFmtId="0" fontId="5" fillId="0" borderId="5" xfId="0" applyFont="1" applyBorder="1" applyAlignment="1">
      <alignment vertical="center" wrapText="1"/>
    </xf>
    <xf numFmtId="0" fontId="4" fillId="0" borderId="0" xfId="0" applyFont="1" applyBorder="1" applyAlignment="1">
      <alignment horizontal="center" vertical="center"/>
    </xf>
    <xf numFmtId="0" fontId="5" fillId="0" borderId="0" xfId="0" applyFont="1" applyBorder="1" applyAlignment="1">
      <alignment horizontal="left" vertical="center" wrapText="1"/>
    </xf>
    <xf numFmtId="0" fontId="3" fillId="4" borderId="1" xfId="0" applyFont="1" applyFill="1" applyBorder="1" applyAlignment="1">
      <alignment horizontal="center" vertical="center"/>
    </xf>
    <xf numFmtId="0" fontId="5" fillId="0" borderId="1" xfId="0" applyFont="1" applyBorder="1" applyAlignment="1">
      <alignment horizontal="left" vertical="top" wrapText="1"/>
    </xf>
    <xf numFmtId="0" fontId="4" fillId="0" borderId="1" xfId="0" applyFont="1" applyBorder="1" applyAlignment="1">
      <alignment horizontal="center" vertical="center"/>
    </xf>
    <xf numFmtId="0" fontId="6" fillId="0" borderId="0" xfId="0" applyFont="1"/>
    <xf numFmtId="0" fontId="3" fillId="4" borderId="6" xfId="0" applyFont="1" applyFill="1" applyBorder="1" applyAlignment="1">
      <alignment horizontal="center" vertical="center"/>
    </xf>
    <xf numFmtId="0" fontId="11" fillId="0" borderId="7" xfId="0" applyFont="1" applyFill="1" applyBorder="1" applyAlignment="1">
      <alignment horizontal="left" vertical="top" wrapText="1"/>
    </xf>
    <xf numFmtId="0" fontId="11" fillId="0" borderId="1" xfId="0" applyFont="1" applyBorder="1" applyAlignment="1">
      <alignment horizontal="center" vertical="center"/>
    </xf>
    <xf numFmtId="0" fontId="10" fillId="0" borderId="1" xfId="0" applyFont="1" applyFill="1" applyBorder="1" applyAlignment="1">
      <alignment wrapText="1"/>
    </xf>
    <xf numFmtId="0" fontId="5" fillId="0" borderId="0" xfId="0" applyFont="1" applyBorder="1" applyAlignment="1">
      <alignment vertical="center" wrapText="1"/>
    </xf>
    <xf numFmtId="0" fontId="10" fillId="0" borderId="4" xfId="0" applyFont="1" applyBorder="1"/>
    <xf numFmtId="0" fontId="5" fillId="0" borderId="1" xfId="0" applyFont="1" applyBorder="1" applyAlignment="1">
      <alignment horizontal="center" vertical="center"/>
    </xf>
    <xf numFmtId="2" fontId="10" fillId="0" borderId="1" xfId="0" applyNumberFormat="1" applyFont="1" applyBorder="1" applyAlignment="1">
      <alignment horizontal="center"/>
    </xf>
    <xf numFmtId="2" fontId="10" fillId="0" borderId="8" xfId="0" applyNumberFormat="1" applyFont="1" applyBorder="1" applyAlignment="1">
      <alignment horizontal="center"/>
    </xf>
    <xf numFmtId="2" fontId="8" fillId="0" borderId="9" xfId="0" applyNumberFormat="1" applyFont="1" applyBorder="1" applyAlignment="1">
      <alignment horizontal="center"/>
    </xf>
    <xf numFmtId="0" fontId="11" fillId="0" borderId="10" xfId="0" applyFont="1" applyBorder="1" applyAlignment="1">
      <alignment horizontal="center"/>
    </xf>
    <xf numFmtId="0" fontId="11" fillId="0" borderId="0" xfId="0" applyFont="1" applyBorder="1" applyAlignment="1">
      <alignment horizontal="center"/>
    </xf>
    <xf numFmtId="2" fontId="8" fillId="0" borderId="0" xfId="0" applyNumberFormat="1" applyFont="1" applyBorder="1" applyAlignment="1">
      <alignment horizontal="center"/>
    </xf>
    <xf numFmtId="0" fontId="11" fillId="3" borderId="0" xfId="0" applyFont="1" applyFill="1" applyBorder="1"/>
    <xf numFmtId="0" fontId="12" fillId="4" borderId="1" xfId="0" applyFont="1" applyFill="1" applyBorder="1" applyAlignment="1">
      <alignment horizontal="center" vertical="center"/>
    </xf>
    <xf numFmtId="0" fontId="7" fillId="4" borderId="1" xfId="0" applyFont="1" applyFill="1" applyBorder="1" applyAlignment="1">
      <alignment horizontal="center" vertical="center" wrapText="1"/>
    </xf>
    <xf numFmtId="0" fontId="10" fillId="0" borderId="1" xfId="0" applyFont="1" applyBorder="1" applyAlignment="1">
      <alignment horizontal="center" vertical="center"/>
    </xf>
    <xf numFmtId="0" fontId="10" fillId="0" borderId="0" xfId="0" applyFont="1" applyBorder="1" applyAlignment="1">
      <alignment horizontal="left" vertical="top"/>
    </xf>
    <xf numFmtId="0" fontId="11" fillId="0" borderId="0" xfId="0" applyFont="1" applyBorder="1" applyAlignment="1">
      <alignment horizontal="center" vertical="center"/>
    </xf>
    <xf numFmtId="0" fontId="11" fillId="3" borderId="1" xfId="0" applyFont="1" applyFill="1" applyBorder="1" applyAlignment="1">
      <alignment horizontal="left" vertical="top"/>
    </xf>
    <xf numFmtId="0" fontId="11" fillId="0" borderId="1" xfId="0" applyFont="1" applyBorder="1" applyAlignment="1">
      <alignment horizontal="left" vertical="top"/>
    </xf>
    <xf numFmtId="0" fontId="3" fillId="4" borderId="6" xfId="0" applyFont="1" applyFill="1" applyBorder="1" applyAlignment="1">
      <alignment horizontal="center" vertical="center" wrapText="1"/>
    </xf>
    <xf numFmtId="0" fontId="3" fillId="4" borderId="11" xfId="0" applyFont="1" applyFill="1" applyBorder="1" applyAlignment="1">
      <alignment horizontal="center" vertical="center" wrapText="1"/>
    </xf>
    <xf numFmtId="0" fontId="13" fillId="0" borderId="0" xfId="0" applyFont="1"/>
    <xf numFmtId="0" fontId="10" fillId="0" borderId="1" xfId="0" applyFont="1" applyFill="1" applyBorder="1" applyAlignment="1">
      <alignment horizontal="center" vertical="center"/>
    </xf>
    <xf numFmtId="2" fontId="10" fillId="0" borderId="1" xfId="0" applyNumberFormat="1" applyFont="1" applyBorder="1" applyAlignment="1">
      <alignment horizontal="center" vertical="center"/>
    </xf>
    <xf numFmtId="0" fontId="10" fillId="0" borderId="1" xfId="0" applyFont="1" applyBorder="1" applyAlignment="1">
      <alignment horizontal="center" vertical="center" wrapText="1"/>
    </xf>
    <xf numFmtId="0" fontId="11" fillId="0" borderId="1" xfId="0" applyFont="1" applyFill="1" applyBorder="1" applyAlignment="1">
      <alignment horizontal="center" vertical="center" wrapText="1"/>
    </xf>
    <xf numFmtId="0" fontId="3" fillId="4" borderId="12" xfId="0" applyFont="1" applyFill="1" applyBorder="1" applyAlignment="1">
      <alignment horizontal="center" vertical="center" wrapText="1"/>
    </xf>
    <xf numFmtId="0" fontId="4" fillId="0" borderId="13" xfId="0" applyFont="1" applyBorder="1" applyAlignment="1">
      <alignment horizontal="center" vertical="center"/>
    </xf>
    <xf numFmtId="0" fontId="12" fillId="4" borderId="1" xfId="0" applyFont="1" applyFill="1" applyBorder="1" applyAlignment="1">
      <alignment horizontal="center"/>
    </xf>
    <xf numFmtId="0" fontId="11" fillId="4" borderId="1" xfId="0" applyFont="1" applyFill="1" applyBorder="1"/>
    <xf numFmtId="0" fontId="11" fillId="5" borderId="1" xfId="0" applyFont="1" applyFill="1" applyBorder="1" applyAlignment="1">
      <alignment horizontal="center"/>
    </xf>
    <xf numFmtId="0" fontId="5" fillId="0" borderId="1" xfId="0" applyFont="1" applyBorder="1" applyAlignment="1">
      <alignment vertical="top" wrapText="1"/>
    </xf>
    <xf numFmtId="0" fontId="9" fillId="0" borderId="0" xfId="0" applyFont="1"/>
    <xf numFmtId="0" fontId="9" fillId="6" borderId="0" xfId="0" applyFont="1" applyFill="1"/>
    <xf numFmtId="0" fontId="3" fillId="4" borderId="1" xfId="0" applyFont="1" applyFill="1" applyBorder="1" applyAlignment="1">
      <alignment horizontal="left" vertical="center" wrapText="1"/>
    </xf>
    <xf numFmtId="0" fontId="8" fillId="0" borderId="1" xfId="0" applyFont="1" applyBorder="1"/>
    <xf numFmtId="0" fontId="11" fillId="0" borderId="1" xfId="0" applyFont="1" applyBorder="1"/>
    <xf numFmtId="0" fontId="0" fillId="0" borderId="1" xfId="0" applyBorder="1"/>
    <xf numFmtId="0" fontId="10" fillId="0" borderId="1" xfId="0" applyFont="1" applyFill="1" applyBorder="1" applyAlignment="1">
      <alignment horizontal="center"/>
    </xf>
    <xf numFmtId="0" fontId="10" fillId="7" borderId="1" xfId="0" applyFont="1" applyFill="1" applyBorder="1"/>
    <xf numFmtId="0" fontId="10" fillId="7" borderId="1" xfId="0" applyFont="1" applyFill="1" applyBorder="1" applyAlignment="1">
      <alignment horizontal="center"/>
    </xf>
    <xf numFmtId="0" fontId="10" fillId="7" borderId="14" xfId="0" applyFont="1" applyFill="1" applyBorder="1" applyAlignment="1"/>
    <xf numFmtId="0" fontId="0" fillId="7" borderId="0" xfId="0" applyFill="1"/>
    <xf numFmtId="0" fontId="11" fillId="7" borderId="1" xfId="0" applyFont="1" applyFill="1" applyBorder="1"/>
    <xf numFmtId="0" fontId="0" fillId="6" borderId="0" xfId="0" applyFill="1"/>
    <xf numFmtId="0" fontId="11" fillId="0" borderId="0" xfId="0" applyFont="1" applyBorder="1"/>
    <xf numFmtId="0" fontId="10" fillId="7" borderId="14" xfId="0" applyFont="1" applyFill="1" applyBorder="1" applyAlignment="1">
      <alignment horizontal="center"/>
    </xf>
    <xf numFmtId="0" fontId="10" fillId="6" borderId="1" xfId="0" applyFont="1" applyFill="1" applyBorder="1" applyAlignment="1">
      <alignment horizontal="center"/>
    </xf>
    <xf numFmtId="0" fontId="10" fillId="0" borderId="1" xfId="0" applyFont="1" applyBorder="1" applyAlignment="1"/>
    <xf numFmtId="0" fontId="0" fillId="6" borderId="1" xfId="0" applyFill="1" applyBorder="1"/>
    <xf numFmtId="0" fontId="17" fillId="0" borderId="0" xfId="1" applyFont="1"/>
    <xf numFmtId="0" fontId="35" fillId="11" borderId="1" xfId="1" applyFont="1" applyFill="1" applyBorder="1" applyAlignment="1">
      <alignment horizontal="center" wrapText="1"/>
    </xf>
    <xf numFmtId="0" fontId="36" fillId="11" borderId="1" xfId="1" applyFont="1" applyFill="1" applyBorder="1" applyAlignment="1">
      <alignment horizontal="left" wrapText="1"/>
    </xf>
    <xf numFmtId="0" fontId="37" fillId="11" borderId="1" xfId="1" applyFont="1" applyFill="1" applyBorder="1" applyAlignment="1">
      <alignment horizontal="center" wrapText="1"/>
    </xf>
    <xf numFmtId="0" fontId="35" fillId="11" borderId="1" xfId="1" applyNumberFormat="1" applyFont="1" applyFill="1" applyBorder="1" applyAlignment="1">
      <alignment horizontal="center" wrapText="1"/>
    </xf>
    <xf numFmtId="2" fontId="35" fillId="11" borderId="8" xfId="1" applyNumberFormat="1" applyFont="1" applyFill="1" applyBorder="1" applyAlignment="1">
      <alignment horizontal="center" wrapText="1"/>
    </xf>
    <xf numFmtId="0" fontId="17" fillId="0" borderId="0" xfId="1" applyFont="1" applyFill="1"/>
    <xf numFmtId="0" fontId="17" fillId="0" borderId="17" xfId="1" applyFont="1" applyBorder="1" applyAlignment="1" applyProtection="1">
      <alignment horizontal="center" wrapText="1"/>
      <protection locked="0"/>
    </xf>
    <xf numFmtId="0" fontId="16" fillId="0" borderId="5" xfId="1" applyBorder="1" applyAlignment="1">
      <alignment wrapText="1"/>
    </xf>
    <xf numFmtId="0" fontId="17" fillId="12" borderId="1" xfId="1" applyFont="1" applyFill="1" applyBorder="1" applyAlignment="1" applyProtection="1">
      <alignment vertical="center" wrapText="1"/>
      <protection locked="0"/>
    </xf>
    <xf numFmtId="0" fontId="17" fillId="0" borderId="1" xfId="1" applyFont="1" applyFill="1" applyBorder="1" applyAlignment="1" applyProtection="1">
      <alignment wrapText="1"/>
      <protection locked="0"/>
    </xf>
    <xf numFmtId="0" fontId="17" fillId="0" borderId="1" xfId="1" applyFont="1" applyBorder="1" applyAlignment="1" applyProtection="1">
      <alignment wrapText="1"/>
      <protection locked="0"/>
    </xf>
    <xf numFmtId="0" fontId="21" fillId="8" borderId="1" xfId="1" applyFont="1" applyFill="1" applyBorder="1" applyAlignment="1">
      <alignment wrapText="1"/>
    </xf>
    <xf numFmtId="0" fontId="21" fillId="0" borderId="1" xfId="1" applyNumberFormat="1" applyFont="1" applyFill="1" applyBorder="1" applyProtection="1">
      <protection locked="0"/>
    </xf>
    <xf numFmtId="0" fontId="22" fillId="0" borderId="8" xfId="1" applyFont="1" applyBorder="1" applyProtection="1">
      <protection locked="0"/>
    </xf>
    <xf numFmtId="0" fontId="22" fillId="0" borderId="8" xfId="1" applyFont="1" applyBorder="1"/>
    <xf numFmtId="0" fontId="17" fillId="0" borderId="1" xfId="1" applyFont="1" applyFill="1" applyBorder="1" applyAlignment="1" applyProtection="1">
      <alignment vertical="center" wrapText="1"/>
      <protection locked="0"/>
    </xf>
    <xf numFmtId="0" fontId="23" fillId="0" borderId="0" xfId="1" applyFont="1"/>
    <xf numFmtId="0" fontId="17" fillId="0" borderId="4" xfId="1" applyFont="1" applyBorder="1" applyAlignment="1" applyProtection="1">
      <alignment horizontal="center" wrapText="1"/>
      <protection locked="0"/>
    </xf>
    <xf numFmtId="0" fontId="21" fillId="0" borderId="1" xfId="1" applyFont="1" applyFill="1" applyBorder="1" applyAlignment="1" applyProtection="1">
      <alignment wrapText="1"/>
      <protection locked="0"/>
    </xf>
    <xf numFmtId="0" fontId="21" fillId="8" borderId="1" xfId="1" applyNumberFormat="1" applyFont="1" applyFill="1" applyBorder="1" applyProtection="1">
      <protection locked="0"/>
    </xf>
    <xf numFmtId="0" fontId="21" fillId="0" borderId="1" xfId="1" applyFont="1" applyBorder="1" applyAlignment="1">
      <alignment horizontal="left" wrapText="1"/>
    </xf>
    <xf numFmtId="0" fontId="17" fillId="0" borderId="1" xfId="1" applyFont="1" applyBorder="1" applyAlignment="1" applyProtection="1">
      <alignment wrapText="1"/>
    </xf>
    <xf numFmtId="0" fontId="21" fillId="0" borderId="1" xfId="1" applyFont="1" applyFill="1" applyBorder="1" applyAlignment="1" applyProtection="1">
      <alignment wrapText="1"/>
    </xf>
    <xf numFmtId="0" fontId="21" fillId="0" borderId="1" xfId="1" applyNumberFormat="1" applyFont="1" applyFill="1" applyBorder="1" applyProtection="1"/>
    <xf numFmtId="0" fontId="17" fillId="0" borderId="8" xfId="1" applyFont="1" applyBorder="1" applyProtection="1"/>
    <xf numFmtId="0" fontId="17" fillId="0" borderId="18" xfId="1" applyFont="1" applyBorder="1" applyAlignment="1">
      <alignment wrapText="1"/>
    </xf>
    <xf numFmtId="9" fontId="21" fillId="0" borderId="1" xfId="1" applyNumberFormat="1" applyFont="1" applyFill="1" applyBorder="1" applyAlignment="1">
      <alignment wrapText="1"/>
    </xf>
    <xf numFmtId="164" fontId="17" fillId="0" borderId="1" xfId="1" applyNumberFormat="1" applyFont="1" applyBorder="1" applyAlignment="1" applyProtection="1">
      <alignment wrapText="1"/>
    </xf>
    <xf numFmtId="0" fontId="21" fillId="8" borderId="1" xfId="1" applyFont="1" applyFill="1" applyBorder="1" applyAlignment="1" applyProtection="1">
      <alignment wrapText="1"/>
    </xf>
    <xf numFmtId="0" fontId="21" fillId="13" borderId="1" xfId="1" applyNumberFormat="1" applyFont="1" applyFill="1" applyBorder="1" applyProtection="1">
      <protection locked="0"/>
    </xf>
    <xf numFmtId="0" fontId="22" fillId="0" borderId="8" xfId="1" applyFont="1" applyBorder="1" applyProtection="1"/>
    <xf numFmtId="0" fontId="17" fillId="0" borderId="19" xfId="1" applyFont="1" applyBorder="1" applyAlignment="1">
      <alignment wrapText="1"/>
    </xf>
    <xf numFmtId="0" fontId="37" fillId="11" borderId="1" xfId="1" applyFont="1" applyFill="1" applyBorder="1" applyAlignment="1" applyProtection="1">
      <alignment horizontal="right" wrapText="1" indent="1"/>
    </xf>
    <xf numFmtId="0" fontId="37" fillId="11" borderId="1" xfId="1" applyFont="1" applyFill="1" applyBorder="1" applyAlignment="1" applyProtection="1">
      <alignment wrapText="1"/>
    </xf>
    <xf numFmtId="0" fontId="38" fillId="11" borderId="1" xfId="1" applyFont="1" applyFill="1" applyBorder="1" applyProtection="1"/>
    <xf numFmtId="2" fontId="38" fillId="11" borderId="1" xfId="1" applyNumberFormat="1" applyFont="1" applyFill="1" applyBorder="1" applyProtection="1"/>
    <xf numFmtId="0" fontId="38" fillId="11" borderId="8" xfId="1" applyFont="1" applyFill="1" applyBorder="1" applyProtection="1"/>
    <xf numFmtId="0" fontId="37" fillId="11" borderId="20" xfId="1" applyFont="1" applyFill="1" applyBorder="1" applyAlignment="1" applyProtection="1">
      <alignment horizontal="right" wrapText="1" indent="1"/>
    </xf>
    <xf numFmtId="164" fontId="37" fillId="11" borderId="20" xfId="1" applyNumberFormat="1" applyFont="1" applyFill="1" applyBorder="1" applyAlignment="1" applyProtection="1">
      <alignment wrapText="1"/>
    </xf>
    <xf numFmtId="164" fontId="39" fillId="12" borderId="20" xfId="1" applyNumberFormat="1" applyFont="1" applyFill="1" applyBorder="1" applyAlignment="1" applyProtection="1">
      <alignment wrapText="1"/>
    </xf>
    <xf numFmtId="0" fontId="38" fillId="11" borderId="20" xfId="1" applyNumberFormat="1" applyFont="1" applyFill="1" applyBorder="1" applyProtection="1"/>
    <xf numFmtId="0" fontId="38" fillId="11" borderId="9" xfId="1" applyFont="1" applyFill="1" applyBorder="1" applyProtection="1"/>
    <xf numFmtId="0" fontId="17" fillId="0" borderId="0" xfId="1" applyFont="1" applyAlignment="1">
      <alignment wrapText="1"/>
    </xf>
    <xf numFmtId="0" fontId="21" fillId="12" borderId="1" xfId="1" applyFont="1" applyFill="1" applyBorder="1" applyAlignment="1">
      <alignment wrapText="1"/>
    </xf>
    <xf numFmtId="0" fontId="17" fillId="12" borderId="1" xfId="1" applyFont="1" applyFill="1" applyBorder="1" applyAlignment="1">
      <alignment wrapText="1"/>
    </xf>
    <xf numFmtId="0" fontId="17" fillId="0" borderId="0" xfId="1" applyNumberFormat="1" applyFont="1"/>
    <xf numFmtId="0" fontId="21" fillId="12" borderId="0" xfId="1" applyFont="1" applyFill="1" applyAlignment="1">
      <alignment wrapText="1"/>
    </xf>
    <xf numFmtId="0" fontId="21" fillId="0" borderId="0" xfId="1" applyFont="1" applyAlignment="1">
      <alignment wrapText="1"/>
    </xf>
    <xf numFmtId="1" fontId="17" fillId="0" borderId="0" xfId="1" applyNumberFormat="1" applyFont="1"/>
    <xf numFmtId="0" fontId="25" fillId="12" borderId="1" xfId="1" applyFont="1" applyFill="1" applyBorder="1" applyAlignment="1" applyProtection="1">
      <alignment vertical="center" wrapText="1"/>
      <protection locked="0"/>
    </xf>
    <xf numFmtId="1" fontId="17" fillId="0" borderId="1" xfId="1" applyNumberFormat="1" applyFont="1" applyBorder="1" applyAlignment="1" applyProtection="1">
      <alignment wrapText="1"/>
      <protection locked="0"/>
    </xf>
    <xf numFmtId="1" fontId="21" fillId="8" borderId="1" xfId="1" applyNumberFormat="1" applyFont="1" applyFill="1" applyBorder="1" applyAlignment="1">
      <alignment wrapText="1"/>
    </xf>
    <xf numFmtId="164" fontId="21" fillId="12" borderId="1" xfId="1" applyNumberFormat="1" applyFont="1" applyFill="1" applyBorder="1" applyAlignment="1">
      <alignment wrapText="1"/>
    </xf>
    <xf numFmtId="0" fontId="5" fillId="0" borderId="0" xfId="2"/>
    <xf numFmtId="0" fontId="26" fillId="0" borderId="21" xfId="2" applyFont="1" applyFill="1" applyBorder="1" applyAlignment="1">
      <alignment horizontal="center" vertical="center"/>
    </xf>
    <xf numFmtId="0" fontId="28" fillId="0" borderId="21" xfId="2" applyFont="1" applyFill="1" applyBorder="1" applyAlignment="1">
      <alignment horizontal="center" vertical="center"/>
    </xf>
    <xf numFmtId="0" fontId="26" fillId="0" borderId="22" xfId="2" applyFont="1" applyFill="1" applyBorder="1" applyAlignment="1">
      <alignment vertical="center"/>
    </xf>
    <xf numFmtId="0" fontId="4" fillId="0" borderId="0" xfId="2" applyFont="1" applyAlignment="1">
      <alignment vertical="top"/>
    </xf>
    <xf numFmtId="0" fontId="21" fillId="12" borderId="23" xfId="1" applyFont="1" applyFill="1" applyBorder="1" applyAlignment="1">
      <alignment wrapText="1"/>
    </xf>
    <xf numFmtId="0" fontId="4" fillId="10" borderId="24" xfId="0" applyFont="1" applyFill="1" applyBorder="1" applyAlignment="1">
      <alignment horizontal="center" vertical="center"/>
    </xf>
    <xf numFmtId="0" fontId="40" fillId="0" borderId="25" xfId="0" applyFont="1" applyBorder="1" applyAlignment="1">
      <alignment horizontal="center"/>
    </xf>
    <xf numFmtId="0" fontId="0" fillId="13" borderId="0" xfId="0" applyFill="1"/>
    <xf numFmtId="0" fontId="33" fillId="13" borderId="0" xfId="0" applyFont="1" applyFill="1"/>
    <xf numFmtId="0" fontId="33" fillId="13" borderId="1" xfId="0" applyFont="1" applyFill="1" applyBorder="1"/>
    <xf numFmtId="0" fontId="33" fillId="14" borderId="1" xfId="0" applyFont="1" applyFill="1" applyBorder="1" applyAlignment="1">
      <alignment horizontal="center"/>
    </xf>
    <xf numFmtId="0" fontId="33" fillId="15" borderId="1" xfId="0" applyFont="1" applyFill="1" applyBorder="1" applyAlignment="1"/>
    <xf numFmtId="0" fontId="0" fillId="0" borderId="15" xfId="0" applyBorder="1" applyAlignment="1">
      <alignment vertical="top"/>
    </xf>
    <xf numFmtId="0" fontId="43" fillId="0" borderId="32" xfId="0" applyFont="1" applyBorder="1" applyAlignment="1">
      <alignment horizontal="center" vertical="top" wrapText="1"/>
    </xf>
    <xf numFmtId="0" fontId="0" fillId="0" borderId="0" xfId="0" applyAlignment="1">
      <alignment wrapText="1"/>
    </xf>
    <xf numFmtId="0" fontId="43" fillId="0" borderId="33" xfId="0" applyFont="1" applyBorder="1" applyAlignment="1">
      <alignment horizontal="center" vertical="top"/>
    </xf>
    <xf numFmtId="0" fontId="43" fillId="0" borderId="35" xfId="0" applyFont="1" applyBorder="1" applyAlignment="1">
      <alignment horizontal="center" vertical="top" wrapText="1"/>
    </xf>
    <xf numFmtId="0" fontId="43" fillId="0" borderId="40" xfId="0" applyFont="1" applyBorder="1" applyAlignment="1">
      <alignment horizontal="center" vertical="top"/>
    </xf>
    <xf numFmtId="0" fontId="43" fillId="0" borderId="40" xfId="0" applyFont="1" applyBorder="1" applyAlignment="1">
      <alignment horizontal="center" vertical="top"/>
    </xf>
    <xf numFmtId="0" fontId="43" fillId="0" borderId="33" xfId="0" applyFont="1" applyBorder="1" applyAlignment="1">
      <alignment horizontal="center" vertical="top"/>
    </xf>
    <xf numFmtId="0" fontId="0" fillId="0" borderId="0" xfId="0" applyAlignment="1">
      <alignment horizontal="left"/>
    </xf>
    <xf numFmtId="0" fontId="43" fillId="0" borderId="32" xfId="0" applyFont="1" applyBorder="1" applyAlignment="1">
      <alignment horizontal="left" vertical="top" wrapText="1"/>
    </xf>
    <xf numFmtId="0" fontId="43" fillId="0" borderId="35" xfId="0" applyFont="1" applyBorder="1" applyAlignment="1">
      <alignment horizontal="left" vertical="top" wrapText="1"/>
    </xf>
    <xf numFmtId="0" fontId="0" fillId="0" borderId="41" xfId="0" applyBorder="1"/>
    <xf numFmtId="0" fontId="0" fillId="0" borderId="41" xfId="0" pivotButton="1" applyBorder="1"/>
    <xf numFmtId="0" fontId="0" fillId="0" borderId="42" xfId="0" applyBorder="1"/>
    <xf numFmtId="0" fontId="0" fillId="0" borderId="43" xfId="0" applyBorder="1"/>
    <xf numFmtId="0" fontId="0" fillId="0" borderId="44" xfId="0" applyBorder="1"/>
    <xf numFmtId="0" fontId="0" fillId="0" borderId="44" xfId="0" applyNumberFormat="1" applyBorder="1"/>
    <xf numFmtId="0" fontId="0" fillId="0" borderId="45" xfId="0" applyNumberFormat="1" applyBorder="1"/>
    <xf numFmtId="0" fontId="0" fillId="0" borderId="46" xfId="0" applyNumberFormat="1" applyBorder="1"/>
    <xf numFmtId="0" fontId="43" fillId="0" borderId="35" xfId="0" applyFont="1" applyBorder="1" applyAlignment="1">
      <alignment horizontal="center" vertical="top"/>
    </xf>
    <xf numFmtId="0" fontId="43" fillId="0" borderId="16" xfId="0" applyFont="1" applyBorder="1" applyAlignment="1">
      <alignment horizontal="center" vertical="top"/>
    </xf>
    <xf numFmtId="0" fontId="33" fillId="13" borderId="1" xfId="0" applyFont="1" applyFill="1" applyBorder="1" applyAlignment="1">
      <alignment horizontal="center"/>
    </xf>
    <xf numFmtId="0" fontId="33" fillId="16" borderId="32" xfId="0" applyFont="1" applyFill="1" applyBorder="1" applyAlignment="1">
      <alignment vertical="top"/>
    </xf>
    <xf numFmtId="0" fontId="4" fillId="12" borderId="0" xfId="0" applyFont="1" applyFill="1" applyAlignment="1">
      <alignment horizontal="center"/>
    </xf>
    <xf numFmtId="0" fontId="4" fillId="16" borderId="1" xfId="0" applyFont="1" applyFill="1" applyBorder="1"/>
    <xf numFmtId="0" fontId="0" fillId="13" borderId="1" xfId="0" applyFill="1" applyBorder="1" applyAlignment="1">
      <alignment horizontal="center"/>
    </xf>
    <xf numFmtId="9" fontId="0" fillId="13" borderId="1" xfId="0" applyNumberFormat="1" applyFill="1" applyBorder="1" applyAlignment="1">
      <alignment horizontal="center"/>
    </xf>
    <xf numFmtId="0" fontId="43" fillId="0" borderId="32" xfId="0" applyFont="1" applyFill="1" applyBorder="1" applyAlignment="1">
      <alignment horizontal="center" vertical="top" wrapText="1"/>
    </xf>
    <xf numFmtId="0" fontId="44" fillId="17" borderId="47" xfId="0" applyFont="1" applyFill="1" applyBorder="1" applyAlignment="1">
      <alignment horizontal="center"/>
    </xf>
    <xf numFmtId="0" fontId="44" fillId="17" borderId="32" xfId="0" applyFont="1" applyFill="1" applyBorder="1" applyAlignment="1">
      <alignment horizontal="center"/>
    </xf>
    <xf numFmtId="0" fontId="44" fillId="17" borderId="34" xfId="0" applyFont="1" applyFill="1" applyBorder="1" applyAlignment="1">
      <alignment horizontal="left"/>
    </xf>
    <xf numFmtId="0" fontId="33" fillId="18" borderId="1" xfId="0" applyFont="1" applyFill="1" applyBorder="1" applyAlignment="1">
      <alignment horizontal="center"/>
    </xf>
    <xf numFmtId="0" fontId="0" fillId="13" borderId="1" xfId="0" applyFill="1" applyBorder="1"/>
    <xf numFmtId="0" fontId="33" fillId="18" borderId="1" xfId="0" applyFont="1" applyFill="1" applyBorder="1" applyAlignment="1">
      <alignment horizontal="left"/>
    </xf>
    <xf numFmtId="0" fontId="45" fillId="13" borderId="0" xfId="0" applyFont="1" applyFill="1" applyBorder="1" applyAlignment="1">
      <alignment horizontal="center"/>
    </xf>
    <xf numFmtId="0" fontId="34" fillId="13" borderId="0" xfId="0" applyFont="1" applyFill="1" applyBorder="1"/>
    <xf numFmtId="0" fontId="33" fillId="16" borderId="1" xfId="0" applyFont="1" applyFill="1" applyBorder="1" applyAlignment="1"/>
    <xf numFmtId="0" fontId="0" fillId="13" borderId="0" xfId="0" applyFill="1" applyBorder="1" applyAlignment="1"/>
    <xf numFmtId="0" fontId="33" fillId="19" borderId="1" xfId="0" applyFont="1" applyFill="1" applyBorder="1"/>
    <xf numFmtId="0" fontId="0" fillId="13" borderId="0" xfId="0" applyFill="1" applyAlignment="1">
      <alignment horizontal="center"/>
    </xf>
    <xf numFmtId="0" fontId="46" fillId="20" borderId="15" xfId="0" applyFont="1" applyFill="1" applyBorder="1" applyAlignment="1">
      <alignment horizontal="center" vertical="top" wrapText="1"/>
    </xf>
    <xf numFmtId="0" fontId="46" fillId="20" borderId="32" xfId="0" applyFont="1" applyFill="1" applyBorder="1" applyAlignment="1">
      <alignment horizontal="center" vertical="top" wrapText="1"/>
    </xf>
    <xf numFmtId="0" fontId="47" fillId="0" borderId="35" xfId="0" applyFont="1" applyBorder="1" applyAlignment="1">
      <alignment horizontal="center" wrapText="1"/>
    </xf>
    <xf numFmtId="6" fontId="47" fillId="0" borderId="35" xfId="0" applyNumberFormat="1" applyFont="1" applyBorder="1" applyAlignment="1">
      <alignment horizontal="center" wrapText="1"/>
    </xf>
    <xf numFmtId="0" fontId="47" fillId="0" borderId="33" xfId="0" applyFont="1" applyBorder="1" applyAlignment="1">
      <alignment horizontal="center" wrapText="1"/>
    </xf>
    <xf numFmtId="6" fontId="48" fillId="21" borderId="35" xfId="0" applyNumberFormat="1" applyFont="1" applyFill="1" applyBorder="1" applyAlignment="1">
      <alignment horizontal="center" wrapText="1"/>
    </xf>
    <xf numFmtId="0" fontId="49" fillId="13" borderId="0" xfId="0" applyFont="1" applyFill="1"/>
    <xf numFmtId="6" fontId="0" fillId="13" borderId="0" xfId="0" applyNumberFormat="1" applyFill="1"/>
    <xf numFmtId="0" fontId="0" fillId="13" borderId="0" xfId="0" applyFill="1" applyBorder="1"/>
    <xf numFmtId="0" fontId="0" fillId="12" borderId="15" xfId="0" applyFill="1" applyBorder="1" applyAlignment="1">
      <alignment horizontal="center"/>
    </xf>
    <xf numFmtId="0" fontId="33" fillId="10" borderId="0" xfId="0" applyFont="1" applyFill="1"/>
    <xf numFmtId="3" fontId="0" fillId="13" borderId="0" xfId="0" applyNumberFormat="1" applyFill="1"/>
    <xf numFmtId="1" fontId="0" fillId="13" borderId="0" xfId="0" applyNumberFormat="1" applyFill="1"/>
    <xf numFmtId="0" fontId="0" fillId="18" borderId="0" xfId="0" applyFill="1" applyAlignment="1">
      <alignment horizontal="center"/>
    </xf>
    <xf numFmtId="0" fontId="50" fillId="10" borderId="1" xfId="0" applyFont="1" applyFill="1" applyBorder="1" applyAlignment="1" applyProtection="1">
      <alignment horizontal="center" vertical="top" wrapText="1"/>
    </xf>
    <xf numFmtId="0" fontId="51" fillId="0" borderId="1" xfId="0" applyFont="1" applyBorder="1" applyAlignment="1" applyProtection="1">
      <alignment horizontal="center" vertical="top" wrapText="1"/>
    </xf>
    <xf numFmtId="0" fontId="50" fillId="0" borderId="1" xfId="0" applyFont="1" applyBorder="1" applyAlignment="1" applyProtection="1">
      <alignment horizontal="center" vertical="top" wrapText="1"/>
    </xf>
    <xf numFmtId="0" fontId="50" fillId="10" borderId="1" xfId="0" applyFont="1" applyFill="1" applyBorder="1" applyAlignment="1" applyProtection="1">
      <alignment horizontal="right" vertical="top" wrapText="1"/>
    </xf>
    <xf numFmtId="0" fontId="50" fillId="10" borderId="1" xfId="0" applyFont="1" applyFill="1" applyBorder="1" applyAlignment="1" applyProtection="1">
      <alignment vertical="top" wrapText="1"/>
    </xf>
    <xf numFmtId="0" fontId="51" fillId="0" borderId="1" xfId="0" applyFont="1" applyBorder="1" applyAlignment="1" applyProtection="1">
      <alignment vertical="top" wrapText="1"/>
    </xf>
    <xf numFmtId="0" fontId="52" fillId="0" borderId="1" xfId="0" applyFont="1" applyBorder="1" applyAlignment="1" applyProtection="1">
      <alignment vertical="top" wrapText="1"/>
      <protection locked="0"/>
    </xf>
    <xf numFmtId="0" fontId="51" fillId="0" borderId="0" xfId="0" applyFont="1" applyAlignment="1" applyProtection="1">
      <alignment horizontal="center" vertical="top" wrapText="1"/>
      <protection locked="0"/>
    </xf>
    <xf numFmtId="0" fontId="51" fillId="0" borderId="0" xfId="0" applyFont="1" applyAlignment="1" applyProtection="1">
      <alignment vertical="top" wrapText="1"/>
      <protection locked="0"/>
    </xf>
    <xf numFmtId="0" fontId="50" fillId="10" borderId="1" xfId="0" applyFont="1" applyFill="1" applyBorder="1" applyAlignment="1" applyProtection="1">
      <alignment horizontal="center" vertical="top" wrapText="1"/>
      <protection locked="0"/>
    </xf>
    <xf numFmtId="0" fontId="51" fillId="0" borderId="1" xfId="0" applyFont="1" applyBorder="1" applyAlignment="1" applyProtection="1">
      <alignment vertical="top" wrapText="1"/>
      <protection locked="0"/>
    </xf>
    <xf numFmtId="0" fontId="51" fillId="25" borderId="1" xfId="0" applyFont="1" applyFill="1" applyBorder="1" applyAlignment="1" applyProtection="1">
      <alignment horizontal="center" vertical="top" wrapText="1"/>
      <protection locked="0"/>
    </xf>
    <xf numFmtId="0" fontId="50" fillId="0" borderId="1" xfId="0" applyFont="1" applyBorder="1" applyAlignment="1" applyProtection="1">
      <alignment horizontal="center" vertical="top" wrapText="1"/>
      <protection locked="0"/>
    </xf>
    <xf numFmtId="0" fontId="51" fillId="0" borderId="1" xfId="0" applyFont="1" applyFill="1" applyBorder="1" applyAlignment="1" applyProtection="1">
      <alignment horizontal="center" vertical="top" wrapText="1"/>
    </xf>
    <xf numFmtId="0" fontId="50" fillId="0" borderId="1" xfId="0" applyFont="1" applyBorder="1" applyAlignment="1" applyProtection="1">
      <alignment vertical="top" wrapText="1"/>
    </xf>
    <xf numFmtId="0" fontId="5" fillId="0" borderId="0" xfId="0" applyFont="1" applyAlignment="1" applyProtection="1">
      <alignment horizontal="left"/>
      <protection locked="0"/>
    </xf>
    <xf numFmtId="0" fontId="5" fillId="0" borderId="0" xfId="0" applyFont="1" applyProtection="1">
      <protection locked="0"/>
    </xf>
    <xf numFmtId="0" fontId="4" fillId="10" borderId="16" xfId="0" applyFont="1" applyFill="1" applyBorder="1" applyAlignment="1" applyProtection="1">
      <alignment horizontal="left" vertical="center"/>
      <protection locked="0"/>
    </xf>
    <xf numFmtId="0" fontId="5" fillId="0" borderId="0" xfId="0" applyFont="1" applyBorder="1" applyAlignment="1" applyProtection="1">
      <alignment horizontal="center"/>
      <protection locked="0"/>
    </xf>
    <xf numFmtId="0" fontId="5" fillId="0" borderId="0" xfId="0" applyFont="1" applyBorder="1" applyAlignment="1" applyProtection="1">
      <alignment horizontal="center" vertical="center"/>
      <protection locked="0"/>
    </xf>
    <xf numFmtId="0" fontId="4" fillId="9" borderId="15" xfId="0" applyFont="1" applyFill="1" applyBorder="1" applyAlignment="1" applyProtection="1">
      <alignment horizontal="center" vertical="center" wrapText="1"/>
      <protection locked="0"/>
    </xf>
    <xf numFmtId="0" fontId="4" fillId="9" borderId="32" xfId="0" applyFont="1" applyFill="1" applyBorder="1" applyAlignment="1" applyProtection="1">
      <alignment horizontal="center" vertical="center" wrapText="1"/>
      <protection locked="0"/>
    </xf>
    <xf numFmtId="0" fontId="4" fillId="9" borderId="34" xfId="0" applyFont="1" applyFill="1" applyBorder="1" applyAlignment="1" applyProtection="1">
      <alignment horizontal="center" vertical="center" wrapText="1"/>
      <protection locked="0"/>
    </xf>
    <xf numFmtId="0" fontId="5" fillId="13" borderId="15" xfId="0" applyFont="1" applyFill="1" applyBorder="1" applyAlignment="1" applyProtection="1">
      <alignment horizontal="left" vertical="center"/>
      <protection locked="0"/>
    </xf>
    <xf numFmtId="0" fontId="4" fillId="13" borderId="0" xfId="0" applyFont="1" applyFill="1" applyBorder="1" applyAlignment="1" applyProtection="1">
      <alignment horizontal="center" vertical="center" wrapText="1"/>
      <protection locked="0"/>
    </xf>
    <xf numFmtId="0" fontId="5" fillId="13" borderId="51" xfId="0" applyFont="1" applyFill="1" applyBorder="1" applyAlignment="1" applyProtection="1">
      <alignment horizontal="left" vertical="center"/>
      <protection locked="0"/>
    </xf>
    <xf numFmtId="0" fontId="5" fillId="0" borderId="0" xfId="0" applyFont="1" applyBorder="1" applyAlignment="1" applyProtection="1">
      <alignment vertical="center" wrapText="1"/>
      <protection locked="0"/>
    </xf>
    <xf numFmtId="0" fontId="4" fillId="0" borderId="0" xfId="0" applyFont="1" applyBorder="1" applyAlignment="1" applyProtection="1">
      <alignment horizontal="center" vertical="center"/>
      <protection locked="0"/>
    </xf>
    <xf numFmtId="0" fontId="4" fillId="10" borderId="15" xfId="0" applyFont="1" applyFill="1" applyBorder="1" applyAlignment="1" applyProtection="1">
      <alignment horizontal="left" vertical="center"/>
      <protection locked="0"/>
    </xf>
    <xf numFmtId="0" fontId="5" fillId="0" borderId="0" xfId="0" applyFont="1" applyBorder="1" applyAlignment="1" applyProtection="1">
      <alignment horizontal="center" vertical="center" wrapText="1"/>
      <protection locked="0"/>
    </xf>
    <xf numFmtId="0" fontId="0" fillId="0" borderId="0" xfId="0" applyFill="1" applyBorder="1" applyAlignment="1" applyProtection="1">
      <alignment wrapText="1"/>
      <protection locked="0"/>
    </xf>
    <xf numFmtId="0" fontId="0" fillId="0" borderId="0" xfId="0" applyFill="1" applyBorder="1" applyAlignment="1" applyProtection="1">
      <protection locked="0"/>
    </xf>
    <xf numFmtId="0" fontId="4" fillId="0" borderId="0" xfId="0" applyFont="1" applyFill="1" applyBorder="1" applyAlignment="1" applyProtection="1">
      <alignment horizontal="center" vertical="center" wrapText="1"/>
      <protection locked="0"/>
    </xf>
    <xf numFmtId="0" fontId="5" fillId="0" borderId="15" xfId="0" applyFont="1" applyBorder="1" applyAlignment="1" applyProtection="1">
      <alignment horizontal="left" vertical="top" wrapText="1"/>
      <protection locked="0"/>
    </xf>
    <xf numFmtId="0" fontId="4" fillId="25" borderId="15" xfId="0" applyFont="1" applyFill="1" applyBorder="1" applyAlignment="1" applyProtection="1">
      <alignment horizontal="center" vertical="center"/>
      <protection locked="0"/>
    </xf>
    <xf numFmtId="0" fontId="5" fillId="0" borderId="0" xfId="0" applyFont="1" applyFill="1" applyBorder="1" applyAlignment="1" applyProtection="1">
      <alignment horizontal="center" vertical="center"/>
      <protection locked="0"/>
    </xf>
    <xf numFmtId="0" fontId="4" fillId="0" borderId="0" xfId="0" applyFont="1" applyFill="1" applyBorder="1" applyAlignment="1" applyProtection="1">
      <alignment horizontal="center" vertical="center"/>
      <protection locked="0"/>
    </xf>
    <xf numFmtId="0" fontId="4" fillId="0" borderId="0" xfId="0" applyFont="1" applyProtection="1">
      <protection locked="0"/>
    </xf>
    <xf numFmtId="0" fontId="5" fillId="0" borderId="0" xfId="0" applyFont="1" applyBorder="1" applyAlignment="1" applyProtection="1">
      <alignment horizontal="left" vertical="center" wrapText="1"/>
      <protection locked="0"/>
    </xf>
    <xf numFmtId="0" fontId="4" fillId="10" borderId="15" xfId="0" applyFont="1" applyFill="1" applyBorder="1" applyAlignment="1" applyProtection="1">
      <alignment vertical="center"/>
      <protection locked="0"/>
    </xf>
    <xf numFmtId="0" fontId="5" fillId="0" borderId="0" xfId="0" applyFont="1" applyBorder="1" applyProtection="1">
      <protection locked="0"/>
    </xf>
    <xf numFmtId="0" fontId="5" fillId="0" borderId="33" xfId="0" applyFont="1" applyFill="1" applyBorder="1" applyAlignment="1" applyProtection="1">
      <alignment horizontal="left" vertical="top" wrapText="1"/>
      <protection locked="0"/>
    </xf>
    <xf numFmtId="0" fontId="4" fillId="25" borderId="35" xfId="0" applyFont="1" applyFill="1" applyBorder="1" applyAlignment="1" applyProtection="1">
      <alignment horizontal="center" vertical="center"/>
      <protection locked="0"/>
    </xf>
    <xf numFmtId="2" fontId="4" fillId="0" borderId="0" xfId="0" applyNumberFormat="1" applyFont="1" applyBorder="1" applyAlignment="1" applyProtection="1">
      <alignment horizontal="center"/>
      <protection locked="0"/>
    </xf>
    <xf numFmtId="0" fontId="41" fillId="0" borderId="0" xfId="0" applyFont="1" applyProtection="1">
      <protection locked="0"/>
    </xf>
    <xf numFmtId="0" fontId="4" fillId="0" borderId="0" xfId="0" applyFont="1" applyBorder="1" applyAlignment="1" applyProtection="1">
      <alignment horizontal="center" wrapText="1"/>
      <protection locked="0"/>
    </xf>
    <xf numFmtId="2" fontId="4" fillId="0" borderId="0" xfId="0" applyNumberFormat="1" applyFont="1" applyBorder="1" applyAlignment="1" applyProtection="1">
      <alignment horizontal="center" vertical="center"/>
      <protection locked="0"/>
    </xf>
    <xf numFmtId="0" fontId="4" fillId="9" borderId="28" xfId="0" applyFont="1" applyFill="1" applyBorder="1" applyAlignment="1" applyProtection="1">
      <alignment horizontal="center" vertical="center" wrapText="1"/>
      <protection locked="0"/>
    </xf>
    <xf numFmtId="0" fontId="4" fillId="10" borderId="16" xfId="0" applyFont="1" applyFill="1" applyBorder="1" applyAlignment="1" applyProtection="1">
      <alignment vertical="center"/>
      <protection locked="0"/>
    </xf>
    <xf numFmtId="0" fontId="4" fillId="9" borderId="48" xfId="0" applyFont="1" applyFill="1" applyBorder="1" applyAlignment="1" applyProtection="1">
      <alignment horizontal="center" vertical="center" wrapText="1"/>
      <protection locked="0"/>
    </xf>
    <xf numFmtId="0" fontId="5" fillId="0" borderId="36" xfId="0" applyFont="1" applyFill="1" applyBorder="1" applyAlignment="1" applyProtection="1">
      <alignment horizontal="left" vertical="center"/>
      <protection locked="0"/>
    </xf>
    <xf numFmtId="1" fontId="5" fillId="0" borderId="37" xfId="0" applyNumberFormat="1" applyFont="1" applyBorder="1" applyAlignment="1" applyProtection="1">
      <alignment horizontal="center" vertical="center"/>
      <protection locked="0"/>
    </xf>
    <xf numFmtId="0" fontId="5" fillId="0" borderId="49" xfId="0" applyFont="1" applyBorder="1" applyAlignment="1" applyProtection="1">
      <alignment horizontal="center"/>
      <protection locked="0"/>
    </xf>
    <xf numFmtId="1" fontId="5" fillId="0" borderId="30" xfId="0" applyNumberFormat="1" applyFont="1" applyBorder="1" applyProtection="1">
      <protection locked="0"/>
    </xf>
    <xf numFmtId="2" fontId="5" fillId="0" borderId="30" xfId="0" applyNumberFormat="1" applyFont="1" applyBorder="1" applyAlignment="1" applyProtection="1">
      <alignment horizontal="center"/>
      <protection locked="0"/>
    </xf>
    <xf numFmtId="0" fontId="5" fillId="0" borderId="30" xfId="0" applyFont="1" applyFill="1" applyBorder="1" applyAlignment="1" applyProtection="1">
      <alignment horizontal="left" vertical="center"/>
      <protection locked="0"/>
    </xf>
    <xf numFmtId="1" fontId="5" fillId="0" borderId="38" xfId="0" applyNumberFormat="1" applyFont="1" applyBorder="1" applyAlignment="1" applyProtection="1">
      <alignment horizontal="center" vertical="center"/>
      <protection locked="0"/>
    </xf>
    <xf numFmtId="0" fontId="5" fillId="0" borderId="17" xfId="0" applyFont="1" applyBorder="1" applyAlignment="1" applyProtection="1">
      <alignment horizontal="center"/>
      <protection locked="0"/>
    </xf>
    <xf numFmtId="0" fontId="5" fillId="22" borderId="30" xfId="0" applyFont="1" applyFill="1" applyBorder="1" applyAlignment="1" applyProtection="1">
      <alignment horizontal="left" vertical="center" wrapText="1"/>
      <protection locked="0"/>
    </xf>
    <xf numFmtId="0" fontId="5" fillId="13" borderId="17" xfId="0" applyFont="1" applyFill="1" applyBorder="1" applyAlignment="1" applyProtection="1">
      <alignment horizontal="center"/>
      <protection locked="0"/>
    </xf>
    <xf numFmtId="0" fontId="5" fillId="0" borderId="30" xfId="0" applyFont="1" applyBorder="1" applyAlignment="1" applyProtection="1">
      <alignment horizontal="left" vertical="center" wrapText="1"/>
      <protection locked="0"/>
    </xf>
    <xf numFmtId="0" fontId="4" fillId="0" borderId="29" xfId="0" applyFont="1" applyFill="1" applyBorder="1" applyAlignment="1" applyProtection="1">
      <alignment horizontal="center" vertical="center" wrapText="1"/>
      <protection locked="0"/>
    </xf>
    <xf numFmtId="2" fontId="4" fillId="13" borderId="39" xfId="0" applyNumberFormat="1" applyFont="1" applyFill="1" applyBorder="1" applyAlignment="1" applyProtection="1">
      <alignment horizontal="center" vertical="center"/>
      <protection locked="0"/>
    </xf>
    <xf numFmtId="0" fontId="42" fillId="13" borderId="50" xfId="0" applyFont="1" applyFill="1" applyBorder="1" applyProtection="1">
      <protection locked="0"/>
    </xf>
    <xf numFmtId="0" fontId="5" fillId="13" borderId="29" xfId="0" applyFont="1" applyFill="1" applyBorder="1" applyProtection="1">
      <protection locked="0"/>
    </xf>
    <xf numFmtId="2" fontId="4" fillId="13" borderId="29" xfId="0" applyNumberFormat="1" applyFont="1" applyFill="1" applyBorder="1" applyAlignment="1" applyProtection="1">
      <alignment horizontal="center"/>
      <protection locked="0"/>
    </xf>
    <xf numFmtId="0" fontId="42" fillId="13" borderId="0" xfId="0" applyFont="1" applyFill="1" applyProtection="1">
      <protection locked="0"/>
    </xf>
    <xf numFmtId="0" fontId="5" fillId="13" borderId="0" xfId="0" applyFont="1" applyFill="1" applyProtection="1">
      <protection locked="0"/>
    </xf>
    <xf numFmtId="0" fontId="4" fillId="10" borderId="28" xfId="0" applyFont="1" applyFill="1" applyBorder="1" applyAlignment="1" applyProtection="1">
      <alignment horizontal="left" vertical="center" indent="7"/>
      <protection locked="0"/>
    </xf>
    <xf numFmtId="0" fontId="4" fillId="0" borderId="26" xfId="0" applyFont="1" applyBorder="1" applyAlignment="1" applyProtection="1">
      <alignment horizontal="center" vertical="center"/>
      <protection locked="0"/>
    </xf>
    <xf numFmtId="0" fontId="4" fillId="10" borderId="1" xfId="0" applyFont="1" applyFill="1" applyBorder="1" applyAlignment="1" applyProtection="1">
      <alignment wrapText="1"/>
      <protection locked="0"/>
    </xf>
    <xf numFmtId="0" fontId="4" fillId="10" borderId="29" xfId="0" applyFont="1" applyFill="1" applyBorder="1" applyAlignment="1" applyProtection="1">
      <alignment horizontal="left" vertical="center" indent="7"/>
      <protection locked="0"/>
    </xf>
    <xf numFmtId="2" fontId="4" fillId="0" borderId="27" xfId="0" applyNumberFormat="1" applyFont="1" applyBorder="1" applyAlignment="1" applyProtection="1">
      <alignment horizontal="center" vertical="center"/>
      <protection locked="0"/>
    </xf>
    <xf numFmtId="0" fontId="5" fillId="0" borderId="1" xfId="0" applyFont="1" applyBorder="1" applyProtection="1">
      <protection locked="0"/>
    </xf>
    <xf numFmtId="2" fontId="5" fillId="0" borderId="0" xfId="0" applyNumberFormat="1" applyFont="1" applyProtection="1">
      <protection locked="0"/>
    </xf>
    <xf numFmtId="0" fontId="4" fillId="13" borderId="15" xfId="0" applyFont="1" applyFill="1" applyBorder="1" applyAlignment="1" applyProtection="1">
      <alignment horizontal="center" vertical="center"/>
    </xf>
    <xf numFmtId="0" fontId="4" fillId="0" borderId="32" xfId="0" applyFont="1" applyFill="1" applyBorder="1" applyAlignment="1" applyProtection="1">
      <alignment horizontal="center" vertical="center"/>
    </xf>
    <xf numFmtId="0" fontId="4" fillId="0" borderId="15" xfId="0" applyFont="1" applyFill="1" applyBorder="1" applyAlignment="1" applyProtection="1">
      <alignment horizontal="center" vertical="center"/>
    </xf>
    <xf numFmtId="0" fontId="5" fillId="0" borderId="34" xfId="0" applyFont="1" applyBorder="1" applyAlignment="1" applyProtection="1">
      <alignment horizontal="center"/>
    </xf>
    <xf numFmtId="0" fontId="5" fillId="0" borderId="15" xfId="0" applyFont="1" applyBorder="1" applyAlignment="1" applyProtection="1">
      <alignment horizontal="center" vertical="center"/>
    </xf>
    <xf numFmtId="0" fontId="5" fillId="0" borderId="32" xfId="0" applyFont="1" applyBorder="1" applyAlignment="1" applyProtection="1">
      <alignment horizontal="center" vertical="center"/>
    </xf>
    <xf numFmtId="0" fontId="4" fillId="10" borderId="15" xfId="0" applyFont="1" applyFill="1" applyBorder="1" applyAlignment="1" applyProtection="1">
      <alignment vertical="center" wrapText="1"/>
    </xf>
    <xf numFmtId="0" fontId="4" fillId="0" borderId="0" xfId="0" applyFont="1" applyBorder="1" applyAlignment="1" applyProtection="1">
      <alignment horizontal="center"/>
    </xf>
    <xf numFmtId="0" fontId="4" fillId="9" borderId="15" xfId="0" applyFont="1" applyFill="1" applyBorder="1" applyAlignment="1" applyProtection="1">
      <alignment horizontal="center" vertical="center" wrapText="1"/>
    </xf>
    <xf numFmtId="0" fontId="5" fillId="0" borderId="28" xfId="0" applyFont="1" applyBorder="1" applyProtection="1"/>
    <xf numFmtId="2" fontId="5" fillId="0" borderId="28" xfId="0" applyNumberFormat="1" applyFont="1" applyBorder="1" applyAlignment="1" applyProtection="1">
      <alignment horizontal="center" vertical="center"/>
    </xf>
    <xf numFmtId="0" fontId="5" fillId="0" borderId="30" xfId="0" applyFont="1" applyBorder="1" applyProtection="1"/>
    <xf numFmtId="0" fontId="5" fillId="0" borderId="36" xfId="0" applyFont="1" applyBorder="1" applyAlignment="1" applyProtection="1">
      <alignment horizontal="center" vertical="center"/>
    </xf>
    <xf numFmtId="2" fontId="5" fillId="0" borderId="30" xfId="0" applyNumberFormat="1" applyFont="1" applyBorder="1" applyAlignment="1" applyProtection="1">
      <alignment horizontal="center" vertical="center"/>
    </xf>
    <xf numFmtId="0" fontId="5" fillId="0" borderId="29" xfId="0" applyFont="1" applyBorder="1" applyProtection="1"/>
    <xf numFmtId="0" fontId="5" fillId="0" borderId="33" xfId="0" applyFont="1" applyBorder="1" applyAlignment="1" applyProtection="1">
      <alignment horizontal="center" vertical="center"/>
    </xf>
    <xf numFmtId="2" fontId="5" fillId="0" borderId="29" xfId="0" applyNumberFormat="1" applyFont="1" applyBorder="1" applyAlignment="1" applyProtection="1">
      <alignment horizontal="center" vertical="center"/>
    </xf>
    <xf numFmtId="2" fontId="4" fillId="0" borderId="35" xfId="0" applyNumberFormat="1" applyFont="1" applyBorder="1" applyAlignment="1" applyProtection="1">
      <alignment horizontal="center" vertical="center"/>
    </xf>
    <xf numFmtId="0" fontId="4" fillId="0" borderId="15" xfId="0" applyFont="1" applyBorder="1" applyAlignment="1" applyProtection="1">
      <alignment wrapText="1"/>
    </xf>
    <xf numFmtId="2" fontId="4" fillId="0" borderId="15" xfId="0" applyNumberFormat="1" applyFont="1" applyBorder="1" applyAlignment="1" applyProtection="1">
      <alignment horizontal="center" vertical="center"/>
    </xf>
    <xf numFmtId="0" fontId="4" fillId="0" borderId="15" xfId="0" applyFont="1" applyBorder="1" applyAlignment="1" applyProtection="1"/>
    <xf numFmtId="0" fontId="4" fillId="9" borderId="3" xfId="0" applyFont="1" applyFill="1" applyBorder="1" applyAlignment="1" applyProtection="1">
      <alignment horizontal="center" vertical="center" wrapText="1"/>
    </xf>
    <xf numFmtId="0" fontId="4" fillId="9" borderId="28" xfId="0" applyFont="1" applyFill="1" applyBorder="1" applyAlignment="1" applyProtection="1">
      <alignment horizontal="center" vertical="center" wrapText="1"/>
    </xf>
    <xf numFmtId="0" fontId="5" fillId="0" borderId="28" xfId="0" applyFont="1" applyBorder="1" applyAlignment="1" applyProtection="1">
      <alignment horizontal="center" vertical="center"/>
    </xf>
    <xf numFmtId="2" fontId="4" fillId="0" borderId="31" xfId="0" applyNumberFormat="1" applyFont="1" applyBorder="1" applyAlignment="1" applyProtection="1">
      <alignment horizontal="center" vertical="center"/>
    </xf>
    <xf numFmtId="0" fontId="37" fillId="11" borderId="4" xfId="1" applyFont="1" applyFill="1" applyBorder="1" applyAlignment="1" applyProtection="1">
      <alignment horizontal="right" wrapText="1" indent="1"/>
    </xf>
    <xf numFmtId="0" fontId="37" fillId="11" borderId="1" xfId="1" applyFont="1" applyFill="1" applyBorder="1" applyAlignment="1" applyProtection="1">
      <alignment horizontal="right" wrapText="1" indent="1"/>
    </xf>
    <xf numFmtId="0" fontId="37" fillId="11" borderId="7" xfId="1" applyFont="1" applyFill="1" applyBorder="1" applyAlignment="1" applyProtection="1">
      <alignment horizontal="right" wrapText="1" indent="1"/>
    </xf>
    <xf numFmtId="0" fontId="37" fillId="11" borderId="20" xfId="1" applyFont="1" applyFill="1" applyBorder="1" applyAlignment="1" applyProtection="1">
      <alignment horizontal="right" wrapText="1" indent="1"/>
    </xf>
    <xf numFmtId="0" fontId="17" fillId="0" borderId="17" xfId="1" applyFont="1" applyBorder="1" applyAlignment="1" applyProtection="1">
      <alignment horizontal="center" wrapText="1"/>
      <protection locked="0"/>
    </xf>
    <xf numFmtId="0" fontId="16" fillId="0" borderId="5" xfId="1" applyBorder="1" applyAlignment="1">
      <alignment wrapText="1"/>
    </xf>
    <xf numFmtId="0" fontId="21" fillId="0" borderId="12" xfId="1" applyFont="1" applyFill="1" applyBorder="1" applyAlignment="1">
      <alignment horizontal="center" wrapText="1"/>
    </xf>
    <xf numFmtId="0" fontId="21" fillId="0" borderId="52" xfId="1" applyFont="1" applyFill="1" applyBorder="1" applyAlignment="1">
      <alignment horizontal="center" wrapText="1"/>
    </xf>
    <xf numFmtId="0" fontId="16" fillId="0" borderId="26" xfId="1" applyFill="1" applyBorder="1" applyAlignment="1">
      <alignment horizontal="center" wrapText="1"/>
    </xf>
    <xf numFmtId="0" fontId="37" fillId="11" borderId="17" xfId="1" applyFont="1" applyFill="1" applyBorder="1" applyAlignment="1">
      <alignment horizontal="left" wrapText="1" indent="3"/>
    </xf>
    <xf numFmtId="0" fontId="41" fillId="11" borderId="38" xfId="1" applyFont="1" applyFill="1" applyBorder="1" applyAlignment="1">
      <alignment horizontal="left" indent="3"/>
    </xf>
    <xf numFmtId="0" fontId="41" fillId="11" borderId="5" xfId="1" applyFont="1" applyFill="1" applyBorder="1" applyAlignment="1">
      <alignment horizontal="left" indent="3"/>
    </xf>
    <xf numFmtId="0" fontId="21" fillId="0" borderId="54" xfId="1" applyFont="1" applyFill="1" applyBorder="1" applyAlignment="1">
      <alignment horizontal="left" wrapText="1" indent="3"/>
    </xf>
    <xf numFmtId="0" fontId="16" fillId="0" borderId="55" xfId="1" applyBorder="1" applyAlignment="1">
      <alignment horizontal="left" wrapText="1" indent="3"/>
    </xf>
    <xf numFmtId="0" fontId="21" fillId="0" borderId="37" xfId="1" applyFont="1" applyFill="1" applyBorder="1" applyAlignment="1">
      <alignment horizontal="left" wrapText="1" indent="3"/>
    </xf>
    <xf numFmtId="0" fontId="16" fillId="0" borderId="53" xfId="1" applyBorder="1" applyAlignment="1">
      <alignment horizontal="left" wrapText="1" indent="3"/>
    </xf>
    <xf numFmtId="0" fontId="53" fillId="11" borderId="49" xfId="1" applyFont="1" applyFill="1" applyBorder="1" applyAlignment="1">
      <alignment horizontal="center" wrapText="1"/>
    </xf>
    <xf numFmtId="0" fontId="41" fillId="11" borderId="52" xfId="1" applyFont="1" applyFill="1" applyBorder="1" applyAlignment="1">
      <alignment horizontal="center" wrapText="1"/>
    </xf>
    <xf numFmtId="0" fontId="41" fillId="11" borderId="26" xfId="1" applyFont="1" applyFill="1" applyBorder="1" applyAlignment="1">
      <alignment horizontal="center" wrapText="1"/>
    </xf>
    <xf numFmtId="0" fontId="35" fillId="11" borderId="17" xfId="1" applyFont="1" applyFill="1" applyBorder="1" applyAlignment="1">
      <alignment horizontal="center" wrapText="1"/>
    </xf>
    <xf numFmtId="0" fontId="41" fillId="11" borderId="5" xfId="1" applyFont="1" applyFill="1" applyBorder="1" applyAlignment="1">
      <alignment horizontal="center" wrapText="1"/>
    </xf>
    <xf numFmtId="0" fontId="3" fillId="23" borderId="59" xfId="0" applyFont="1" applyFill="1" applyBorder="1" applyAlignment="1">
      <alignment horizontal="center" vertical="center" wrapText="1"/>
    </xf>
    <xf numFmtId="0" fontId="3" fillId="23" borderId="14" xfId="0" applyFont="1" applyFill="1" applyBorder="1" applyAlignment="1">
      <alignment horizontal="center" vertical="center" wrapText="1"/>
    </xf>
    <xf numFmtId="0" fontId="3" fillId="23" borderId="60" xfId="0" applyFont="1" applyFill="1" applyBorder="1" applyAlignment="1">
      <alignment horizontal="center" vertical="center" wrapText="1"/>
    </xf>
    <xf numFmtId="0" fontId="3" fillId="23" borderId="61" xfId="0" applyFont="1" applyFill="1" applyBorder="1" applyAlignment="1">
      <alignment horizontal="center" vertical="center" wrapText="1"/>
    </xf>
    <xf numFmtId="0" fontId="11" fillId="0" borderId="50" xfId="0" applyFont="1" applyBorder="1" applyAlignment="1">
      <alignment horizontal="center"/>
    </xf>
    <xf numFmtId="0" fontId="11" fillId="0" borderId="39" xfId="0" applyFont="1" applyBorder="1" applyAlignment="1">
      <alignment horizontal="center"/>
    </xf>
    <xf numFmtId="0" fontId="11" fillId="0" borderId="56" xfId="0" applyFont="1" applyBorder="1" applyAlignment="1">
      <alignment horizontal="center"/>
    </xf>
    <xf numFmtId="0" fontId="10" fillId="0" borderId="23" xfId="0" applyFont="1" applyBorder="1" applyAlignment="1">
      <alignment horizontal="left" vertical="top" wrapText="1"/>
    </xf>
    <xf numFmtId="0" fontId="0" fillId="0" borderId="57" xfId="0" applyBorder="1" applyAlignment="1"/>
    <xf numFmtId="0" fontId="0" fillId="0" borderId="14" xfId="0" applyBorder="1" applyAlignment="1"/>
    <xf numFmtId="0" fontId="11" fillId="0" borderId="13" xfId="0" applyFont="1" applyBorder="1" applyAlignment="1">
      <alignment horizontal="center" vertical="center"/>
    </xf>
    <xf numFmtId="0" fontId="11" fillId="0" borderId="38" xfId="0" applyFont="1" applyBorder="1" applyAlignment="1">
      <alignment horizontal="center" vertical="center"/>
    </xf>
    <xf numFmtId="0" fontId="11" fillId="0" borderId="5" xfId="0" applyFont="1" applyBorder="1" applyAlignment="1">
      <alignment horizontal="center" vertical="center"/>
    </xf>
    <xf numFmtId="0" fontId="3" fillId="23" borderId="58" xfId="0" applyFont="1" applyFill="1" applyBorder="1" applyAlignment="1">
      <alignment horizontal="center" vertical="center" wrapText="1"/>
    </xf>
    <xf numFmtId="0" fontId="3" fillId="23" borderId="6" xfId="0" applyFont="1" applyFill="1" applyBorder="1" applyAlignment="1">
      <alignment horizontal="center" vertical="center" wrapText="1"/>
    </xf>
    <xf numFmtId="0" fontId="5" fillId="0" borderId="0" xfId="2" applyFont="1" applyAlignment="1">
      <alignment horizontal="left" vertical="top" wrapText="1"/>
    </xf>
    <xf numFmtId="0" fontId="27" fillId="0" borderId="1" xfId="2" applyFont="1" applyFill="1" applyBorder="1" applyAlignment="1">
      <alignment horizontal="left" vertical="center" wrapText="1"/>
    </xf>
    <xf numFmtId="0" fontId="27" fillId="0" borderId="67" xfId="2" applyFont="1" applyFill="1" applyBorder="1" applyAlignment="1">
      <alignment horizontal="left" vertical="center" wrapText="1"/>
    </xf>
    <xf numFmtId="0" fontId="27" fillId="0" borderId="68" xfId="2" applyFont="1" applyFill="1" applyBorder="1" applyAlignment="1">
      <alignment horizontal="left" vertical="center" wrapText="1"/>
    </xf>
    <xf numFmtId="0" fontId="27" fillId="0" borderId="69" xfId="2" applyFont="1" applyFill="1" applyBorder="1" applyAlignment="1">
      <alignment horizontal="left" vertical="center" wrapText="1"/>
    </xf>
    <xf numFmtId="0" fontId="54" fillId="11" borderId="62" xfId="2" applyFont="1" applyFill="1" applyBorder="1" applyAlignment="1">
      <alignment horizontal="center"/>
    </xf>
    <xf numFmtId="0" fontId="54" fillId="11" borderId="63" xfId="2" applyFont="1" applyFill="1" applyBorder="1" applyAlignment="1">
      <alignment horizontal="center"/>
    </xf>
    <xf numFmtId="0" fontId="54" fillId="11" borderId="64" xfId="2" applyFont="1" applyFill="1" applyBorder="1" applyAlignment="1">
      <alignment horizontal="center"/>
    </xf>
    <xf numFmtId="0" fontId="5" fillId="0" borderId="65" xfId="2" applyFill="1" applyBorder="1" applyAlignment="1"/>
    <xf numFmtId="0" fontId="5" fillId="0" borderId="38" xfId="2" applyFill="1" applyBorder="1" applyAlignment="1"/>
    <xf numFmtId="0" fontId="5" fillId="0" borderId="66" xfId="2" applyFill="1" applyBorder="1" applyAlignment="1"/>
    <xf numFmtId="0" fontId="4" fillId="0" borderId="34" xfId="0" applyFont="1" applyBorder="1" applyAlignment="1" applyProtection="1">
      <alignment horizontal="center" wrapText="1"/>
    </xf>
    <xf numFmtId="0" fontId="0" fillId="0" borderId="47" xfId="0" applyBorder="1" applyAlignment="1" applyProtection="1">
      <alignment horizontal="center" wrapText="1"/>
    </xf>
    <xf numFmtId="0" fontId="0" fillId="0" borderId="32" xfId="0" applyBorder="1" applyAlignment="1" applyProtection="1">
      <alignment horizontal="center" wrapText="1"/>
    </xf>
    <xf numFmtId="0" fontId="29" fillId="10" borderId="70" xfId="0" applyFont="1" applyFill="1" applyBorder="1" applyAlignment="1" applyProtection="1">
      <alignment horizontal="center" vertical="center" wrapText="1"/>
      <protection locked="0"/>
    </xf>
    <xf numFmtId="0" fontId="29" fillId="10" borderId="48" xfId="0" applyFont="1" applyFill="1" applyBorder="1" applyAlignment="1" applyProtection="1">
      <alignment horizontal="center" vertical="center"/>
      <protection locked="0"/>
    </xf>
    <xf numFmtId="0" fontId="29" fillId="10" borderId="71" xfId="0" applyFont="1" applyFill="1" applyBorder="1" applyAlignment="1" applyProtection="1">
      <alignment horizontal="center" vertical="center"/>
      <protection locked="0"/>
    </xf>
    <xf numFmtId="0" fontId="29" fillId="10" borderId="51" xfId="0" applyFont="1" applyFill="1" applyBorder="1" applyAlignment="1" applyProtection="1">
      <alignment horizontal="center" vertical="center"/>
      <protection locked="0"/>
    </xf>
    <xf numFmtId="0" fontId="29" fillId="10" borderId="72" xfId="0" applyFont="1" applyFill="1" applyBorder="1" applyAlignment="1" applyProtection="1">
      <alignment horizontal="center" vertical="center"/>
      <protection locked="0"/>
    </xf>
    <xf numFmtId="0" fontId="29" fillId="10" borderId="35" xfId="0" applyFont="1" applyFill="1" applyBorder="1" applyAlignment="1" applyProtection="1">
      <alignment horizontal="center" vertical="center"/>
      <protection locked="0"/>
    </xf>
    <xf numFmtId="0" fontId="4" fillId="0" borderId="47" xfId="0" applyFont="1" applyBorder="1" applyAlignment="1" applyProtection="1">
      <alignment horizontal="center" wrapText="1"/>
    </xf>
    <xf numFmtId="0" fontId="4" fillId="0" borderId="32" xfId="0" applyFont="1" applyBorder="1" applyAlignment="1" applyProtection="1">
      <alignment horizontal="center" wrapText="1"/>
    </xf>
    <xf numFmtId="0" fontId="4" fillId="0" borderId="51" xfId="0" applyFont="1" applyBorder="1" applyAlignment="1" applyProtection="1">
      <alignment horizontal="center" wrapText="1"/>
    </xf>
    <xf numFmtId="0" fontId="4" fillId="0" borderId="72" xfId="0" applyFont="1" applyBorder="1" applyAlignment="1" applyProtection="1">
      <alignment horizontal="center" wrapText="1"/>
    </xf>
    <xf numFmtId="0" fontId="4" fillId="0" borderId="73" xfId="0" applyFont="1" applyBorder="1" applyAlignment="1" applyProtection="1">
      <alignment horizontal="center" wrapText="1"/>
    </xf>
    <xf numFmtId="0" fontId="4" fillId="10" borderId="34" xfId="0" applyFont="1" applyFill="1" applyBorder="1" applyAlignment="1" applyProtection="1">
      <alignment horizontal="center" vertical="center" wrapText="1"/>
      <protection locked="0"/>
    </xf>
    <xf numFmtId="0" fontId="4" fillId="10" borderId="47" xfId="0" applyFont="1" applyFill="1" applyBorder="1" applyAlignment="1" applyProtection="1">
      <alignment horizontal="center" vertical="center" wrapText="1"/>
      <protection locked="0"/>
    </xf>
    <xf numFmtId="0" fontId="4" fillId="10" borderId="32" xfId="0" applyFont="1" applyFill="1" applyBorder="1" applyAlignment="1" applyProtection="1">
      <alignment horizontal="center" vertical="center" wrapText="1"/>
      <protection locked="0"/>
    </xf>
    <xf numFmtId="0" fontId="33" fillId="26" borderId="1" xfId="0" applyFont="1" applyFill="1" applyBorder="1" applyAlignment="1">
      <alignment horizontal="center"/>
    </xf>
    <xf numFmtId="0" fontId="33" fillId="24" borderId="1" xfId="0" applyFont="1" applyFill="1" applyBorder="1" applyAlignment="1">
      <alignment horizontal="center"/>
    </xf>
    <xf numFmtId="0" fontId="33" fillId="15" borderId="13" xfId="0" applyFont="1" applyFill="1" applyBorder="1" applyAlignment="1">
      <alignment horizontal="center"/>
    </xf>
    <xf numFmtId="0" fontId="33" fillId="15" borderId="38" xfId="0" applyFont="1" applyFill="1" applyBorder="1" applyAlignment="1">
      <alignment horizontal="center"/>
    </xf>
    <xf numFmtId="0" fontId="33" fillId="25" borderId="1" xfId="0" applyFont="1" applyFill="1" applyBorder="1" applyAlignment="1">
      <alignment horizontal="center"/>
    </xf>
    <xf numFmtId="0" fontId="33" fillId="24" borderId="13" xfId="0" applyFont="1" applyFill="1" applyBorder="1" applyAlignment="1">
      <alignment horizontal="center"/>
    </xf>
    <xf numFmtId="0" fontId="33" fillId="24" borderId="38" xfId="0" applyFont="1" applyFill="1" applyBorder="1" applyAlignment="1">
      <alignment horizontal="center"/>
    </xf>
    <xf numFmtId="0" fontId="33" fillId="24" borderId="5" xfId="0" applyFont="1" applyFill="1" applyBorder="1" applyAlignment="1">
      <alignment horizontal="center"/>
    </xf>
    <xf numFmtId="0" fontId="47" fillId="0" borderId="16" xfId="0" applyFont="1" applyBorder="1" applyAlignment="1">
      <alignment horizontal="center" wrapText="1"/>
    </xf>
    <xf numFmtId="0" fontId="47" fillId="0" borderId="33" xfId="0" applyFont="1" applyBorder="1" applyAlignment="1">
      <alignment horizontal="center" wrapText="1"/>
    </xf>
    <xf numFmtId="0" fontId="48" fillId="0" borderId="34" xfId="0" applyFont="1" applyBorder="1" applyAlignment="1">
      <alignment horizontal="right" wrapText="1"/>
    </xf>
    <xf numFmtId="0" fontId="48" fillId="0" borderId="47" xfId="0" applyFont="1" applyBorder="1" applyAlignment="1">
      <alignment horizontal="right" wrapText="1"/>
    </xf>
    <xf numFmtId="0" fontId="48" fillId="0" borderId="32" xfId="0" applyFont="1" applyBorder="1" applyAlignment="1">
      <alignment horizontal="right" wrapText="1"/>
    </xf>
    <xf numFmtId="0" fontId="48" fillId="21" borderId="34" xfId="0" applyFont="1" applyFill="1" applyBorder="1" applyAlignment="1">
      <alignment horizontal="right" wrapText="1"/>
    </xf>
    <xf numFmtId="0" fontId="48" fillId="21" borderId="47" xfId="0" applyFont="1" applyFill="1" applyBorder="1" applyAlignment="1">
      <alignment horizontal="right" wrapText="1"/>
    </xf>
    <xf numFmtId="0" fontId="48" fillId="21" borderId="32" xfId="0" applyFont="1" applyFill="1" applyBorder="1" applyAlignment="1">
      <alignment horizontal="right" wrapText="1"/>
    </xf>
    <xf numFmtId="0" fontId="43" fillId="0" borderId="16" xfId="0" applyFont="1" applyBorder="1" applyAlignment="1">
      <alignment horizontal="left" vertical="top" wrapText="1"/>
    </xf>
    <xf numFmtId="0" fontId="43" fillId="0" borderId="40" xfId="0" applyFont="1" applyBorder="1" applyAlignment="1">
      <alignment horizontal="left" vertical="top" wrapText="1"/>
    </xf>
    <xf numFmtId="0" fontId="43" fillId="0" borderId="33" xfId="0" applyFont="1" applyBorder="1" applyAlignment="1">
      <alignment horizontal="left" vertical="top" wrapText="1"/>
    </xf>
    <xf numFmtId="0" fontId="43" fillId="0" borderId="16" xfId="0" applyFont="1" applyBorder="1" applyAlignment="1">
      <alignment horizontal="center" vertical="top"/>
    </xf>
    <xf numFmtId="0" fontId="43" fillId="0" borderId="40" xfId="0" applyFont="1" applyBorder="1" applyAlignment="1">
      <alignment horizontal="center" vertical="top"/>
    </xf>
    <xf numFmtId="0" fontId="43" fillId="0" borderId="33" xfId="0" applyFont="1" applyBorder="1" applyAlignment="1">
      <alignment horizontal="center" vertical="top"/>
    </xf>
    <xf numFmtId="0" fontId="43" fillId="0" borderId="16" xfId="0" applyFont="1" applyBorder="1" applyAlignment="1">
      <alignment horizontal="center" vertical="top" wrapText="1"/>
    </xf>
    <xf numFmtId="0" fontId="43" fillId="0" borderId="40" xfId="0" applyFont="1" applyBorder="1" applyAlignment="1">
      <alignment horizontal="center" vertical="top" wrapText="1"/>
    </xf>
    <xf numFmtId="0" fontId="43" fillId="0" borderId="33" xfId="0" applyFont="1" applyBorder="1" applyAlignment="1">
      <alignment horizontal="center" vertical="top" wrapText="1"/>
    </xf>
    <xf numFmtId="0" fontId="1" fillId="0" borderId="7" xfId="0" applyFont="1" applyBorder="1" applyAlignment="1">
      <alignment horizontal="left" vertical="top" wrapText="1"/>
    </xf>
    <xf numFmtId="0" fontId="55" fillId="0" borderId="20" xfId="0" applyFont="1" applyBorder="1" applyAlignment="1">
      <alignment horizontal="left" vertical="top"/>
    </xf>
    <xf numFmtId="0" fontId="55" fillId="0" borderId="9" xfId="0" applyFont="1" applyBorder="1" applyAlignment="1">
      <alignment horizontal="left" vertical="top"/>
    </xf>
    <xf numFmtId="0" fontId="2" fillId="10" borderId="24" xfId="0" applyFont="1" applyFill="1" applyBorder="1" applyAlignment="1">
      <alignment horizontal="center" vertical="top"/>
    </xf>
    <xf numFmtId="0" fontId="2" fillId="10" borderId="74" xfId="0" applyFont="1" applyFill="1" applyBorder="1" applyAlignment="1">
      <alignment horizontal="center" vertical="top"/>
    </xf>
    <xf numFmtId="0" fontId="2" fillId="10" borderId="25" xfId="0" applyFont="1" applyFill="1" applyBorder="1" applyAlignment="1">
      <alignment horizontal="center" vertical="top"/>
    </xf>
    <xf numFmtId="0" fontId="1" fillId="0" borderId="4" xfId="0" applyFont="1" applyBorder="1" applyAlignment="1">
      <alignment horizontal="left" vertical="top"/>
    </xf>
    <xf numFmtId="0" fontId="1" fillId="0" borderId="1" xfId="0" applyFont="1" applyBorder="1" applyAlignment="1">
      <alignment horizontal="left" vertical="top"/>
    </xf>
    <xf numFmtId="0" fontId="1" fillId="0" borderId="8" xfId="0" applyFont="1" applyBorder="1" applyAlignment="1">
      <alignment horizontal="left" vertical="top"/>
    </xf>
    <xf numFmtId="0" fontId="1" fillId="0" borderId="17" xfId="0" applyFont="1" applyBorder="1" applyAlignment="1">
      <alignment horizontal="left" vertical="top" wrapText="1"/>
    </xf>
    <xf numFmtId="0" fontId="1" fillId="0" borderId="38" xfId="0" applyFont="1" applyBorder="1" applyAlignment="1">
      <alignment horizontal="left" vertical="top" wrapText="1"/>
    </xf>
    <xf numFmtId="0" fontId="1" fillId="0" borderId="75" xfId="0" applyFont="1" applyBorder="1" applyAlignment="1">
      <alignment horizontal="left" vertical="top" wrapText="1"/>
    </xf>
    <xf numFmtId="0" fontId="1" fillId="0" borderId="4" xfId="0" applyFont="1" applyBorder="1" applyAlignment="1">
      <alignment horizontal="left" vertical="top" wrapText="1"/>
    </xf>
    <xf numFmtId="0" fontId="55" fillId="0" borderId="1" xfId="0" applyFont="1" applyBorder="1" applyAlignment="1">
      <alignment horizontal="left" vertical="top"/>
    </xf>
    <xf numFmtId="0" fontId="55" fillId="0" borderId="8" xfId="0" applyFont="1" applyBorder="1" applyAlignment="1">
      <alignment horizontal="left" vertical="top"/>
    </xf>
    <xf numFmtId="0" fontId="1" fillId="0" borderId="1" xfId="0" applyFont="1" applyBorder="1" applyAlignment="1">
      <alignment horizontal="left" vertical="top" wrapText="1"/>
    </xf>
    <xf numFmtId="0" fontId="1" fillId="0" borderId="8" xfId="0" applyFont="1" applyBorder="1" applyAlignment="1">
      <alignment horizontal="left" vertical="top" wrapText="1"/>
    </xf>
  </cellXfs>
  <cellStyles count="3">
    <cellStyle name="Normal" xfId="0" builtinId="0"/>
    <cellStyle name="Normal 2" xfId="1"/>
    <cellStyle name="Normal 3" xfId="2"/>
  </cellStyles>
  <dxfs count="6">
    <dxf>
      <font>
        <condense val="0"/>
        <extend val="0"/>
        <color indexed="11"/>
      </font>
      <fill>
        <patternFill>
          <bgColor indexed="11"/>
        </patternFill>
      </fill>
    </dxf>
    <dxf>
      <font>
        <condense val="0"/>
        <extend val="0"/>
        <color indexed="43"/>
      </font>
      <fill>
        <patternFill>
          <bgColor indexed="43"/>
        </patternFill>
      </fill>
    </dxf>
    <dxf>
      <font>
        <condense val="0"/>
        <extend val="0"/>
        <color indexed="10"/>
      </font>
      <fill>
        <patternFill>
          <bgColor indexed="10"/>
        </patternFill>
      </fill>
    </dxf>
    <dxf>
      <font>
        <condense val="0"/>
        <extend val="0"/>
        <color indexed="15"/>
      </font>
      <fill>
        <patternFill>
          <bgColor indexed="15"/>
        </patternFill>
      </fill>
    </dxf>
    <dxf>
      <font>
        <condense val="0"/>
        <extend val="0"/>
        <color indexed="43"/>
      </font>
      <fill>
        <patternFill>
          <bgColor indexed="43"/>
        </patternFill>
      </fill>
    </dxf>
    <dxf>
      <font>
        <condense val="0"/>
        <extend val="0"/>
        <color indexed="10"/>
      </font>
      <fill>
        <patternFill>
          <bgColor indexed="1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Tushar Nayak" refreshedDate="40813.706734143518" createdVersion="1" refreshedVersion="3" recordCount="47" upgradeOnRefresh="1">
  <cacheSource type="worksheet">
    <worksheetSource ref="E16:H63" sheet="ManualTestCases"/>
  </cacheSource>
  <cacheFields count="4">
    <cacheField name="Rank" numFmtId="0">
      <sharedItems containsBlank="1" count="7">
        <s v="Very Easy"/>
        <s v="Easy"/>
        <m/>
        <s v="Med"/>
        <s v="Hard"/>
        <s v="Very Hard"/>
        <s v="Easy (incomplete)"/>
      </sharedItems>
    </cacheField>
    <cacheField name="Profile Class" numFmtId="0">
      <sharedItems containsBlank="1"/>
    </cacheField>
    <cacheField name="Products/Services" numFmtId="0">
      <sharedItems containsBlank="1"/>
    </cacheField>
    <cacheField name="Order Type"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47">
  <r>
    <x v="0"/>
    <s v="B2C"/>
    <s v="Any booked and processed Standard Order"/>
    <s v="Standard JUS"/>
  </r>
  <r>
    <x v="1"/>
    <s v="B2C"/>
    <s v="IFR Manual for Canada, with accessory kit and leather binders"/>
    <s v="Standard JDE"/>
  </r>
  <r>
    <x v="2"/>
    <m/>
    <m/>
    <s v="Standard JUS"/>
  </r>
  <r>
    <x v="2"/>
    <m/>
    <m/>
    <m/>
  </r>
  <r>
    <x v="2"/>
    <m/>
    <m/>
    <m/>
  </r>
  <r>
    <x v="2"/>
    <m/>
    <m/>
    <m/>
  </r>
  <r>
    <x v="3"/>
    <s v="B2C"/>
    <s v="Leather Binder 2”"/>
    <s v="Standard JDE"/>
  </r>
  <r>
    <x v="2"/>
    <m/>
    <m/>
    <m/>
  </r>
  <r>
    <x v="2"/>
    <m/>
    <m/>
    <m/>
  </r>
  <r>
    <x v="2"/>
    <m/>
    <m/>
    <m/>
  </r>
  <r>
    <x v="4"/>
    <s v="B2C"/>
    <s v="JeppView Trip Kit for Africa + Enroute Charts (TripKit)"/>
    <s v="Standard JDE"/>
  </r>
  <r>
    <x v="2"/>
    <m/>
    <m/>
    <m/>
  </r>
  <r>
    <x v="5"/>
    <s v="B2B"/>
    <s v="eLink Worldwide"/>
    <s v="NTS JUS"/>
  </r>
  <r>
    <x v="2"/>
    <m/>
    <m/>
    <m/>
  </r>
  <r>
    <x v="1"/>
    <s v="B2C"/>
    <s v="VFR Manual for Sweden with binders; IFR TripKit for Denmark; VFR+GPS Charts for Germany"/>
    <s v="Standard JDE"/>
  </r>
  <r>
    <x v="2"/>
    <m/>
    <m/>
    <m/>
  </r>
  <r>
    <x v="2"/>
    <m/>
    <m/>
    <m/>
  </r>
  <r>
    <x v="6"/>
    <s v="B2B"/>
    <s v="FliteStar Europe with a 56 Day Service"/>
    <s v="Standard JDE"/>
  </r>
  <r>
    <x v="2"/>
    <m/>
    <m/>
    <m/>
  </r>
  <r>
    <x v="6"/>
    <s v="B2C"/>
    <s v="Seven-Hole punch, Private Pilot Kit"/>
    <s v="Standard JDE"/>
  </r>
  <r>
    <x v="2"/>
    <m/>
    <m/>
    <m/>
  </r>
  <r>
    <x v="3"/>
    <s v="B2C"/>
    <s v="JeppView IFR for Europe and Mediterranean and Eastern Europe + Enroute Charts High and Low"/>
    <s v="Standard JDE"/>
  </r>
  <r>
    <x v="2"/>
    <m/>
    <m/>
    <m/>
  </r>
  <r>
    <x v="2"/>
    <m/>
    <m/>
    <m/>
  </r>
  <r>
    <x v="1"/>
    <s v="B2C"/>
    <s v="One time update for NavData Garmin 400/500 Europe; One year revision service for Avidyne EX5000 International"/>
    <s v="NTS JDE"/>
  </r>
  <r>
    <x v="2"/>
    <m/>
    <m/>
    <m/>
  </r>
  <r>
    <x v="3"/>
    <s v="B2C"/>
    <s v="IFR Manual for Africa with one year revision service"/>
    <s v="Standard JUS"/>
  </r>
  <r>
    <x v="2"/>
    <m/>
    <m/>
    <m/>
  </r>
  <r>
    <x v="1"/>
    <s v="B2C"/>
    <s v="IFR Manual for China with one year revision service w/o Accessory Kit and w/o binders"/>
    <s v="Standard JUS"/>
  </r>
  <r>
    <x v="2"/>
    <m/>
    <m/>
    <m/>
  </r>
  <r>
    <x v="1"/>
    <s v="B2B"/>
    <s v="IFR Manual for Atlantic International in leather binders; Tailored manual QAC in tailored binders"/>
    <s v="Standard JUS"/>
  </r>
  <r>
    <x v="2"/>
    <m/>
    <m/>
    <m/>
  </r>
  <r>
    <x v="1"/>
    <s v="B2B"/>
    <s v="Any IFR Revisions"/>
    <s v="Make Good JDE"/>
  </r>
  <r>
    <x v="2"/>
    <m/>
    <m/>
    <m/>
  </r>
  <r>
    <x v="1"/>
    <s v="B2C"/>
    <s v="Any active services, which are not in renewal yet"/>
    <s v="Service JDE"/>
  </r>
  <r>
    <x v="2"/>
    <m/>
    <m/>
    <m/>
  </r>
  <r>
    <x v="2"/>
    <m/>
    <m/>
    <m/>
  </r>
  <r>
    <x v="1"/>
    <s v="B2C"/>
    <s v="Any contract in entered status"/>
    <s v="Service JUS"/>
  </r>
  <r>
    <x v="2"/>
    <m/>
    <m/>
    <m/>
  </r>
  <r>
    <x v="2"/>
    <m/>
    <m/>
    <m/>
  </r>
  <r>
    <x v="1"/>
    <s v="B2B"/>
    <s v="IFR Manual for Middle East and South Asia with Accessory Kit and plastic binders"/>
    <s v="Standard JDE"/>
  </r>
  <r>
    <x v="0"/>
    <s v="B2B"/>
    <s v="Tailored manual AFL in tailored binders"/>
    <s v="Standard JUS"/>
  </r>
  <r>
    <x v="0"/>
    <s v="B2C"/>
    <s v="Leather flight case; IFR Kneeboard; Navigation Plotter"/>
    <s v="Standard JDE"/>
  </r>
  <r>
    <x v="0"/>
    <s v="B2M"/>
    <s v="Tailored manual TAR in standard leather binders"/>
    <s v="Standard JUS (Subscription Maintenance)"/>
  </r>
  <r>
    <x v="2"/>
    <m/>
    <m/>
    <m/>
  </r>
  <r>
    <x v="2"/>
    <m/>
    <m/>
    <m/>
  </r>
  <r>
    <x v="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dataOnRows="1" applyNumberFormats="0" applyBorderFormats="0" applyFontFormats="0" applyPatternFormats="0" applyAlignmentFormats="0" applyWidthHeightFormats="1" dataCaption="Data" updatedVersion="3" showMemberPropertyTips="0" useAutoFormatting="1" itemPrintTitles="1" createdVersion="1" indent="0" compact="0" compactData="0" gridDropZones="1">
  <location ref="B3:C12" firstHeaderRow="2" firstDataRow="2" firstDataCol="1"/>
  <pivotFields count="4">
    <pivotField axis="axisRow" compact="0" outline="0" subtotalTop="0" showAll="0" includeNewItemsInFilter="1">
      <items count="8">
        <item x="1"/>
        <item x="6"/>
        <item x="4"/>
        <item x="3"/>
        <item x="0"/>
        <item x="5"/>
        <item x="2"/>
        <item t="default"/>
      </items>
    </pivotField>
    <pivotField dataField="1" compact="0" outline="0" subtotalTop="0" showAll="0" includeNewItemsInFilter="1"/>
    <pivotField compact="0" outline="0" subtotalTop="0" showAll="0" includeNewItemsInFilter="1"/>
    <pivotField compact="0" outline="0" subtotalTop="0" showAll="0" includeNewItemsInFilter="1"/>
  </pivotFields>
  <rowFields count="1">
    <field x="0"/>
  </rowFields>
  <rowItems count="8">
    <i>
      <x/>
    </i>
    <i>
      <x v="1"/>
    </i>
    <i>
      <x v="2"/>
    </i>
    <i>
      <x v="3"/>
    </i>
    <i>
      <x v="4"/>
    </i>
    <i>
      <x v="5"/>
    </i>
    <i>
      <x v="6"/>
    </i>
    <i t="grand">
      <x/>
    </i>
  </rowItems>
  <colItems count="1">
    <i/>
  </colItems>
  <dataFields count="1">
    <dataField name="Count of Profile Class" fld="1" subtotal="count" baseField="0" baseItem="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M30"/>
  <sheetViews>
    <sheetView topLeftCell="A10" zoomScaleNormal="100" workbookViewId="0">
      <selection activeCell="D25" sqref="D25"/>
    </sheetView>
  </sheetViews>
  <sheetFormatPr defaultRowHeight="12" x14ac:dyDescent="0.2"/>
  <cols>
    <col min="1" max="1" width="4.85546875" style="116" customWidth="1"/>
    <col min="2" max="2" width="9" style="116" customWidth="1"/>
    <col min="3" max="3" width="33.140625" style="121" customWidth="1"/>
    <col min="4" max="4" width="10.28515625" style="121" customWidth="1"/>
    <col min="5" max="5" width="10.42578125" style="116" bestFit="1" customWidth="1"/>
    <col min="6" max="6" width="12.140625" style="116" customWidth="1"/>
    <col min="7" max="7" width="11.42578125" style="116" bestFit="1" customWidth="1"/>
    <col min="8" max="8" width="8.5703125" style="116" customWidth="1"/>
    <col min="9" max="9" width="6.42578125" style="119" bestFit="1" customWidth="1"/>
    <col min="10" max="10" width="7.85546875" style="73" bestFit="1" customWidth="1"/>
    <col min="11" max="12" width="9.140625" style="73"/>
    <col min="13" max="13" width="10.42578125" style="73" customWidth="1"/>
    <col min="14" max="16384" width="9.140625" style="73"/>
  </cols>
  <sheetData>
    <row r="1" spans="1:13" ht="16.5" customHeight="1" x14ac:dyDescent="0.3">
      <c r="A1" s="310" t="s">
        <v>98</v>
      </c>
      <c r="B1" s="311"/>
      <c r="C1" s="311"/>
      <c r="D1" s="311"/>
      <c r="E1" s="311"/>
      <c r="F1" s="311"/>
      <c r="G1" s="311"/>
      <c r="H1" s="311"/>
      <c r="I1" s="311"/>
      <c r="J1" s="312"/>
    </row>
    <row r="2" spans="1:13" s="79" customFormat="1" ht="33.75" x14ac:dyDescent="0.2">
      <c r="A2" s="313" t="s">
        <v>99</v>
      </c>
      <c r="B2" s="314"/>
      <c r="C2" s="74" t="s">
        <v>100</v>
      </c>
      <c r="D2" s="74" t="s">
        <v>101</v>
      </c>
      <c r="E2" s="75" t="s">
        <v>102</v>
      </c>
      <c r="F2" s="75" t="s">
        <v>103</v>
      </c>
      <c r="G2" s="75" t="s">
        <v>104</v>
      </c>
      <c r="H2" s="76" t="s">
        <v>105</v>
      </c>
      <c r="I2" s="77" t="s">
        <v>106</v>
      </c>
      <c r="J2" s="78" t="s">
        <v>107</v>
      </c>
      <c r="L2" s="78" t="s">
        <v>125</v>
      </c>
      <c r="M2" s="78" t="s">
        <v>121</v>
      </c>
    </row>
    <row r="3" spans="1:13" ht="12.75" x14ac:dyDescent="0.2">
      <c r="A3" s="298"/>
      <c r="B3" s="299"/>
      <c r="C3" s="82" t="s">
        <v>85</v>
      </c>
      <c r="D3" s="83"/>
      <c r="E3" s="124">
        <f t="shared" ref="E3:E10" si="0">F3*L$3%</f>
        <v>48</v>
      </c>
      <c r="F3" s="124">
        <f>Summary!D44</f>
        <v>60</v>
      </c>
      <c r="G3" s="124">
        <f>F3*M$3%</f>
        <v>90</v>
      </c>
      <c r="H3" s="125">
        <f t="shared" ref="H3:H11" si="1">ROUNDUP((E3+4*F3+G3)/6,0)</f>
        <v>63</v>
      </c>
      <c r="I3" s="86">
        <v>1</v>
      </c>
      <c r="J3" s="87">
        <f>G3</f>
        <v>90</v>
      </c>
      <c r="L3" s="73">
        <v>80</v>
      </c>
      <c r="M3" s="122">
        <v>150</v>
      </c>
    </row>
    <row r="4" spans="1:13" ht="12.75" x14ac:dyDescent="0.2">
      <c r="A4" s="298"/>
      <c r="B4" s="299"/>
      <c r="C4" s="82" t="s">
        <v>86</v>
      </c>
      <c r="D4" s="83"/>
      <c r="E4" s="124">
        <f t="shared" si="0"/>
        <v>96</v>
      </c>
      <c r="F4" s="124">
        <f>Summary!D45</f>
        <v>120</v>
      </c>
      <c r="G4" s="124">
        <f t="shared" ref="G4:G10" si="2">F4*M$3%</f>
        <v>180</v>
      </c>
      <c r="H4" s="125">
        <f t="shared" si="1"/>
        <v>126</v>
      </c>
      <c r="I4" s="86">
        <v>1</v>
      </c>
      <c r="J4" s="88">
        <f t="shared" ref="J4:J14" si="3">G4</f>
        <v>180</v>
      </c>
    </row>
    <row r="5" spans="1:13" ht="12.75" x14ac:dyDescent="0.2">
      <c r="A5" s="298"/>
      <c r="B5" s="299"/>
      <c r="C5" s="82" t="s">
        <v>108</v>
      </c>
      <c r="D5" s="83"/>
      <c r="E5" s="124">
        <f t="shared" si="0"/>
        <v>0</v>
      </c>
      <c r="F5" s="124">
        <v>0</v>
      </c>
      <c r="G5" s="124">
        <f t="shared" si="2"/>
        <v>0</v>
      </c>
      <c r="H5" s="125">
        <f t="shared" si="1"/>
        <v>0</v>
      </c>
      <c r="I5" s="86">
        <v>0</v>
      </c>
      <c r="J5" s="88">
        <f t="shared" si="3"/>
        <v>0</v>
      </c>
    </row>
    <row r="6" spans="1:13" ht="12.75" x14ac:dyDescent="0.2">
      <c r="A6" s="298"/>
      <c r="B6" s="299"/>
      <c r="C6" s="82" t="s">
        <v>136</v>
      </c>
      <c r="D6" s="83"/>
      <c r="E6" s="124" t="e">
        <f t="shared" si="0"/>
        <v>#REF!</v>
      </c>
      <c r="F6" s="124" t="e">
        <f>Summary!#REF!</f>
        <v>#REF!</v>
      </c>
      <c r="G6" s="124" t="e">
        <f t="shared" si="2"/>
        <v>#REF!</v>
      </c>
      <c r="H6" s="125" t="e">
        <f t="shared" si="1"/>
        <v>#REF!</v>
      </c>
      <c r="I6" s="86">
        <v>1</v>
      </c>
      <c r="J6" s="88" t="e">
        <f t="shared" si="3"/>
        <v>#REF!</v>
      </c>
    </row>
    <row r="7" spans="1:13" ht="12.75" x14ac:dyDescent="0.2">
      <c r="A7" s="298"/>
      <c r="B7" s="299"/>
      <c r="C7" s="82" t="s">
        <v>109</v>
      </c>
      <c r="D7" s="83"/>
      <c r="E7" s="124">
        <f t="shared" si="0"/>
        <v>0</v>
      </c>
      <c r="F7" s="124">
        <v>0</v>
      </c>
      <c r="G7" s="124">
        <f t="shared" si="2"/>
        <v>0</v>
      </c>
      <c r="H7" s="125">
        <f t="shared" si="1"/>
        <v>0</v>
      </c>
      <c r="I7" s="86">
        <v>1</v>
      </c>
      <c r="J7" s="88">
        <f t="shared" si="3"/>
        <v>0</v>
      </c>
    </row>
    <row r="8" spans="1:13" ht="12.75" x14ac:dyDescent="0.2">
      <c r="A8" s="298"/>
      <c r="B8" s="299"/>
      <c r="C8" s="123" t="s">
        <v>122</v>
      </c>
      <c r="D8" s="83"/>
      <c r="E8" s="124">
        <f t="shared" si="0"/>
        <v>55.2</v>
      </c>
      <c r="F8" s="124">
        <f>Summary!D46</f>
        <v>69</v>
      </c>
      <c r="G8" s="124">
        <f t="shared" si="2"/>
        <v>103.5</v>
      </c>
      <c r="H8" s="125">
        <f t="shared" si="1"/>
        <v>73</v>
      </c>
      <c r="I8" s="86">
        <v>1</v>
      </c>
      <c r="J8" s="88">
        <f t="shared" si="3"/>
        <v>103.5</v>
      </c>
    </row>
    <row r="9" spans="1:13" ht="12.75" x14ac:dyDescent="0.2">
      <c r="A9" s="80"/>
      <c r="B9" s="81"/>
      <c r="C9" s="82" t="s">
        <v>120</v>
      </c>
      <c r="D9" s="83"/>
      <c r="E9" s="124">
        <f t="shared" si="0"/>
        <v>21.6</v>
      </c>
      <c r="F9" s="124">
        <f>Summary!D47</f>
        <v>27</v>
      </c>
      <c r="G9" s="124">
        <f t="shared" si="2"/>
        <v>40.5</v>
      </c>
      <c r="H9" s="125"/>
      <c r="I9" s="86"/>
      <c r="J9" s="88"/>
    </row>
    <row r="10" spans="1:13" ht="12.75" x14ac:dyDescent="0.2">
      <c r="A10" s="298"/>
      <c r="B10" s="299"/>
      <c r="C10" s="82" t="s">
        <v>87</v>
      </c>
      <c r="D10" s="83"/>
      <c r="E10" s="124" t="e">
        <f t="shared" si="0"/>
        <v>#REF!</v>
      </c>
      <c r="F10" s="124" t="e">
        <f>Summary!#REF!</f>
        <v>#REF!</v>
      </c>
      <c r="G10" s="124" t="e">
        <f t="shared" si="2"/>
        <v>#REF!</v>
      </c>
      <c r="H10" s="125" t="e">
        <f t="shared" si="1"/>
        <v>#REF!</v>
      </c>
      <c r="I10" s="86">
        <v>1</v>
      </c>
      <c r="J10" s="88" t="e">
        <f t="shared" si="3"/>
        <v>#REF!</v>
      </c>
    </row>
    <row r="11" spans="1:13" ht="12.75" x14ac:dyDescent="0.2">
      <c r="A11" s="298"/>
      <c r="B11" s="299"/>
      <c r="C11" s="89"/>
      <c r="D11" s="83"/>
      <c r="E11" s="124"/>
      <c r="F11" s="124"/>
      <c r="G11" s="124"/>
      <c r="H11" s="125">
        <f t="shared" si="1"/>
        <v>0</v>
      </c>
      <c r="I11" s="86"/>
      <c r="J11" s="88">
        <f t="shared" si="3"/>
        <v>0</v>
      </c>
      <c r="L11" s="90"/>
    </row>
    <row r="12" spans="1:13" ht="12.75" x14ac:dyDescent="0.2">
      <c r="A12" s="298"/>
      <c r="B12" s="299"/>
      <c r="C12" s="89"/>
      <c r="D12" s="83"/>
      <c r="E12" s="124"/>
      <c r="F12" s="124"/>
      <c r="G12" s="124"/>
      <c r="H12" s="125"/>
      <c r="I12" s="86"/>
      <c r="J12" s="88">
        <f t="shared" si="3"/>
        <v>0</v>
      </c>
    </row>
    <row r="13" spans="1:13" ht="13.5" thickBot="1" x14ac:dyDescent="0.25">
      <c r="A13" s="298"/>
      <c r="B13" s="299"/>
      <c r="C13" s="89"/>
      <c r="D13" s="83"/>
      <c r="E13" s="124"/>
      <c r="F13" s="124"/>
      <c r="G13" s="124"/>
      <c r="H13" s="125"/>
      <c r="I13" s="86"/>
      <c r="J13" s="88">
        <f t="shared" si="3"/>
        <v>0</v>
      </c>
    </row>
    <row r="14" spans="1:13" ht="12.75" hidden="1" thickBot="1" x14ac:dyDescent="0.25">
      <c r="A14" s="91"/>
      <c r="B14" s="84"/>
      <c r="C14" s="92"/>
      <c r="D14" s="92"/>
      <c r="E14" s="84"/>
      <c r="F14" s="84"/>
      <c r="G14" s="84"/>
      <c r="H14" s="85">
        <f>ROUNDUP((E14+4*F14+G14)/6,0)</f>
        <v>0</v>
      </c>
      <c r="I14" s="93">
        <v>0</v>
      </c>
      <c r="J14" s="88">
        <f t="shared" si="3"/>
        <v>0</v>
      </c>
    </row>
    <row r="15" spans="1:13" ht="7.5" customHeight="1" x14ac:dyDescent="0.2">
      <c r="A15" s="300"/>
      <c r="B15" s="301"/>
      <c r="C15" s="301"/>
      <c r="D15" s="301"/>
      <c r="E15" s="301"/>
      <c r="F15" s="301"/>
      <c r="G15" s="301"/>
      <c r="H15" s="301"/>
      <c r="I15" s="301"/>
      <c r="J15" s="302"/>
    </row>
    <row r="16" spans="1:13" ht="12.75" customHeight="1" x14ac:dyDescent="0.2">
      <c r="A16" s="303" t="s">
        <v>110</v>
      </c>
      <c r="B16" s="304"/>
      <c r="C16" s="305"/>
      <c r="D16" s="94"/>
      <c r="E16" s="95"/>
      <c r="F16" s="95"/>
      <c r="G16" s="95"/>
      <c r="H16" s="96"/>
      <c r="I16" s="97"/>
      <c r="J16" s="98"/>
    </row>
    <row r="17" spans="1:12" ht="12.75" x14ac:dyDescent="0.2">
      <c r="A17" s="99"/>
      <c r="B17" s="306" t="s">
        <v>111</v>
      </c>
      <c r="C17" s="307"/>
      <c r="D17" s="100">
        <v>0.1</v>
      </c>
      <c r="E17" s="101" t="e">
        <f>E19*$D$17</f>
        <v>#REF!</v>
      </c>
      <c r="F17" s="101" t="e">
        <f>F19*$D$17</f>
        <v>#REF!</v>
      </c>
      <c r="G17" s="101" t="e">
        <f>G19*$D$17</f>
        <v>#REF!</v>
      </c>
      <c r="H17" s="102" t="e">
        <f>ROUNDUP((E17+4*F17+G17)/6,0)</f>
        <v>#REF!</v>
      </c>
      <c r="I17" s="103">
        <v>1</v>
      </c>
      <c r="J17" s="104" t="e">
        <f>G17</f>
        <v>#REF!</v>
      </c>
    </row>
    <row r="18" spans="1:12" ht="12.75" x14ac:dyDescent="0.2">
      <c r="A18" s="105"/>
      <c r="B18" s="308" t="s">
        <v>112</v>
      </c>
      <c r="C18" s="309"/>
      <c r="D18" s="100">
        <v>0.2</v>
      </c>
      <c r="E18" s="101" t="e">
        <f>E19*$D$18</f>
        <v>#REF!</v>
      </c>
      <c r="F18" s="101" t="e">
        <f>F19*$D$18</f>
        <v>#REF!</v>
      </c>
      <c r="G18" s="101" t="e">
        <f>G19*$D$18</f>
        <v>#REF!</v>
      </c>
      <c r="H18" s="102" t="e">
        <f>ROUNDUP((E18+4*F18+G18)/6,0)</f>
        <v>#REF!</v>
      </c>
      <c r="I18" s="103">
        <v>1</v>
      </c>
      <c r="J18" s="104" t="e">
        <f>G18</f>
        <v>#REF!</v>
      </c>
    </row>
    <row r="19" spans="1:12" ht="12" customHeight="1" x14ac:dyDescent="0.2">
      <c r="A19" s="294" t="s">
        <v>113</v>
      </c>
      <c r="B19" s="295"/>
      <c r="C19" s="295"/>
      <c r="D19" s="106"/>
      <c r="E19" s="107" t="e">
        <f>SUM(E3:E14)</f>
        <v>#REF!</v>
      </c>
      <c r="F19" s="107" t="e">
        <f>SUM(F3:F14)</f>
        <v>#REF!</v>
      </c>
      <c r="G19" s="107" t="e">
        <f>SUM(G3:G14)</f>
        <v>#REF!</v>
      </c>
      <c r="H19" s="108"/>
      <c r="I19" s="109"/>
      <c r="J19" s="110"/>
    </row>
    <row r="20" spans="1:12" ht="12" customHeight="1" thickBot="1" x14ac:dyDescent="0.25">
      <c r="A20" s="296" t="s">
        <v>114</v>
      </c>
      <c r="B20" s="297"/>
      <c r="C20" s="297"/>
      <c r="D20" s="111"/>
      <c r="E20" s="112" t="e">
        <f>SUM(E17:E19)</f>
        <v>#REF!</v>
      </c>
      <c r="F20" s="112" t="e">
        <f>SUM(F17:F19)</f>
        <v>#REF!</v>
      </c>
      <c r="G20" s="112" t="e">
        <f>SUM(G17:G19)</f>
        <v>#REF!</v>
      </c>
      <c r="H20" s="113" t="e">
        <f>ROUNDUP((E20+4*F20+G20)/6,0)</f>
        <v>#REF!</v>
      </c>
      <c r="I20" s="114"/>
      <c r="J20" s="115"/>
    </row>
    <row r="23" spans="1:12" x14ac:dyDescent="0.2">
      <c r="C23" s="117" t="s">
        <v>123</v>
      </c>
      <c r="D23" s="126" t="e">
        <f>H20</f>
        <v>#REF!</v>
      </c>
      <c r="E23" s="118"/>
    </row>
    <row r="24" spans="1:12" s="116" customFormat="1" x14ac:dyDescent="0.2">
      <c r="C24" s="117" t="s">
        <v>115</v>
      </c>
      <c r="D24" s="117" t="e">
        <f>ROUNDUP(D23/8,0)</f>
        <v>#REF!</v>
      </c>
      <c r="E24" s="118"/>
      <c r="I24" s="119"/>
      <c r="J24" s="73"/>
      <c r="K24" s="73"/>
      <c r="L24" s="73"/>
    </row>
    <row r="25" spans="1:12" s="116" customFormat="1" x14ac:dyDescent="0.2">
      <c r="C25" s="117" t="s">
        <v>116</v>
      </c>
      <c r="D25" s="117" t="e">
        <f>ROUNDUP(D24/21,0)</f>
        <v>#REF!</v>
      </c>
      <c r="E25" s="118"/>
      <c r="I25" s="119"/>
      <c r="J25" s="73"/>
      <c r="K25" s="73"/>
      <c r="L25" s="73"/>
    </row>
    <row r="26" spans="1:12" s="116" customFormat="1" x14ac:dyDescent="0.2">
      <c r="C26" s="117" t="s">
        <v>124</v>
      </c>
      <c r="D26" s="117">
        <v>2</v>
      </c>
      <c r="E26" s="118"/>
      <c r="I26" s="119"/>
      <c r="J26" s="73"/>
      <c r="K26" s="73"/>
      <c r="L26" s="73"/>
    </row>
    <row r="27" spans="1:12" s="116" customFormat="1" ht="12.75" thickBot="1" x14ac:dyDescent="0.25">
      <c r="C27" s="132" t="s">
        <v>117</v>
      </c>
      <c r="D27" s="132" t="e">
        <f>ROUNDUP(D25/D26,0)</f>
        <v>#REF!</v>
      </c>
      <c r="E27" s="118" t="s">
        <v>118</v>
      </c>
      <c r="I27" s="119"/>
      <c r="J27" s="73"/>
      <c r="K27" s="73"/>
      <c r="L27" s="73"/>
    </row>
    <row r="28" spans="1:12" ht="15.75" thickBot="1" x14ac:dyDescent="0.3">
      <c r="C28" s="133" t="s">
        <v>137</v>
      </c>
      <c r="D28" s="134" t="s">
        <v>138</v>
      </c>
    </row>
    <row r="30" spans="1:12" s="116" customFormat="1" ht="36" x14ac:dyDescent="0.2">
      <c r="C30" s="120" t="s">
        <v>119</v>
      </c>
      <c r="D30" s="121"/>
      <c r="I30" s="119"/>
      <c r="J30" s="73"/>
      <c r="K30" s="73"/>
      <c r="L30" s="73"/>
    </row>
  </sheetData>
  <sheetProtection selectLockedCells="1" autoFilter="0"/>
  <mergeCells count="18">
    <mergeCell ref="A1:J1"/>
    <mergeCell ref="A2:B2"/>
    <mergeCell ref="A3:B3"/>
    <mergeCell ref="A4:B4"/>
    <mergeCell ref="A5:B5"/>
    <mergeCell ref="A6:B6"/>
    <mergeCell ref="A7:B7"/>
    <mergeCell ref="A8:B8"/>
    <mergeCell ref="A10:B10"/>
    <mergeCell ref="B18:C18"/>
    <mergeCell ref="A11:B11"/>
    <mergeCell ref="A12:B12"/>
    <mergeCell ref="A19:C19"/>
    <mergeCell ref="A20:C20"/>
    <mergeCell ref="A13:B13"/>
    <mergeCell ref="A15:J15"/>
    <mergeCell ref="A16:C16"/>
    <mergeCell ref="B17:C17"/>
  </mergeCells>
  <conditionalFormatting sqref="J14">
    <cfRule type="cellIs" dxfId="5" priority="4" stopIfTrue="1" operator="greaterThan">
      <formula>$F14*1.5</formula>
    </cfRule>
    <cfRule type="cellIs" dxfId="4" priority="5" stopIfTrue="1" operator="between">
      <formula>$F14*1.5</formula>
      <formula>$F14*1.25</formula>
    </cfRule>
    <cfRule type="cellIs" dxfId="3" priority="6" stopIfTrue="1" operator="lessThan">
      <formula>$F14*1.25</formula>
    </cfRule>
  </conditionalFormatting>
  <conditionalFormatting sqref="J17:J18 J3:J13">
    <cfRule type="cellIs" dxfId="2" priority="1" stopIfTrue="1" operator="greaterThan">
      <formula>$F3*1.5</formula>
    </cfRule>
    <cfRule type="cellIs" dxfId="1" priority="2" stopIfTrue="1" operator="between">
      <formula>$F3*1.5</formula>
      <formula>$F3*1.25</formula>
    </cfRule>
    <cfRule type="cellIs" dxfId="0" priority="3" stopIfTrue="1" operator="lessThan">
      <formula>$F3*1.25</formula>
    </cfRule>
  </conditionalFormatting>
  <dataValidations count="1">
    <dataValidation type="list" allowBlank="1" showInputMessage="1" showErrorMessage="1" sqref="I16:I18 I3:I14">
      <formula1>"1,0"</formula1>
    </dataValidation>
  </dataValidations>
  <printOptions horizontalCentered="1" gridLines="1"/>
  <pageMargins left="0.75" right="0.75" top="1" bottom="1" header="0.5" footer="0.5"/>
  <pageSetup paperSize="9" fitToHeight="0" orientation="landscape" horizontalDpi="300" verticalDpi="300" r:id="rId1"/>
  <headerFooter alignWithMargins="0">
    <oddHeader>&amp;LAppLabs Technologies&amp;RPID-Test Estimation</oddHeader>
    <oddFooter>&amp;LTemplate ID - PMP-T25
Proprietary &amp; Confidential&amp;RPage &amp;P of &amp;N
V 1.1</oddFoot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M24"/>
  <sheetViews>
    <sheetView workbookViewId="0">
      <selection activeCell="I22" sqref="I22"/>
    </sheetView>
  </sheetViews>
  <sheetFormatPr defaultRowHeight="15" x14ac:dyDescent="0.25"/>
  <cols>
    <col min="1" max="1" width="12.42578125" customWidth="1"/>
    <col min="3" max="3" width="44.28515625" bestFit="1" customWidth="1"/>
    <col min="4" max="4" width="17.42578125" bestFit="1" customWidth="1"/>
    <col min="5" max="5" width="18.5703125" bestFit="1" customWidth="1"/>
    <col min="6" max="6" width="17.5703125" bestFit="1" customWidth="1"/>
    <col min="7" max="7" width="27.7109375" customWidth="1"/>
    <col min="9" max="9" width="24.7109375" customWidth="1"/>
    <col min="10" max="10" width="12.42578125" customWidth="1"/>
  </cols>
  <sheetData>
    <row r="1" spans="1:13" x14ac:dyDescent="0.25">
      <c r="A1" s="59" t="s">
        <v>82</v>
      </c>
      <c r="B1" s="59" t="s">
        <v>0</v>
      </c>
      <c r="C1" s="59" t="s">
        <v>78</v>
      </c>
      <c r="D1" s="59" t="s">
        <v>79</v>
      </c>
      <c r="E1" s="68" t="s">
        <v>83</v>
      </c>
      <c r="F1" s="68" t="s">
        <v>5</v>
      </c>
    </row>
    <row r="2" spans="1:13" x14ac:dyDescent="0.25">
      <c r="A2" s="59" t="s">
        <v>77</v>
      </c>
      <c r="B2" s="66"/>
      <c r="C2" s="66"/>
      <c r="D2" s="66"/>
      <c r="E2" s="66"/>
      <c r="F2" s="66"/>
      <c r="G2" s="8" t="s">
        <v>57</v>
      </c>
      <c r="H2" s="53"/>
      <c r="I2" s="52" t="s">
        <v>58</v>
      </c>
      <c r="J2" s="53">
        <v>101</v>
      </c>
    </row>
    <row r="3" spans="1:13" x14ac:dyDescent="0.25">
      <c r="A3" s="1"/>
      <c r="B3" s="2">
        <v>9.3000000000000007</v>
      </c>
      <c r="C3" s="1" t="s">
        <v>1</v>
      </c>
      <c r="D3" s="2">
        <v>136</v>
      </c>
      <c r="E3" s="2">
        <v>7</v>
      </c>
      <c r="F3" s="2">
        <v>4</v>
      </c>
      <c r="G3" s="8" t="s">
        <v>6</v>
      </c>
      <c r="H3" s="5">
        <v>7</v>
      </c>
      <c r="I3" s="8" t="s">
        <v>5</v>
      </c>
      <c r="J3" s="5">
        <v>101</v>
      </c>
    </row>
    <row r="4" spans="1:13" x14ac:dyDescent="0.25">
      <c r="A4" s="1"/>
      <c r="B4" s="2"/>
      <c r="C4" s="1" t="s">
        <v>18</v>
      </c>
      <c r="D4" s="2">
        <v>64</v>
      </c>
      <c r="E4" s="2">
        <v>0</v>
      </c>
      <c r="F4" s="2">
        <v>64</v>
      </c>
      <c r="G4" s="1" t="s">
        <v>8</v>
      </c>
      <c r="H4" s="2">
        <v>5</v>
      </c>
      <c r="I4" s="1" t="s">
        <v>8</v>
      </c>
      <c r="J4" s="2">
        <v>28</v>
      </c>
    </row>
    <row r="5" spans="1:13" x14ac:dyDescent="0.25">
      <c r="A5" s="1"/>
      <c r="B5" s="2"/>
      <c r="C5" s="1" t="s">
        <v>19</v>
      </c>
      <c r="D5" s="2">
        <v>23</v>
      </c>
      <c r="E5" s="2">
        <v>0</v>
      </c>
      <c r="F5" s="2">
        <v>23</v>
      </c>
      <c r="G5" s="1" t="s">
        <v>7</v>
      </c>
      <c r="H5" s="2">
        <v>2</v>
      </c>
      <c r="I5" s="1" t="s">
        <v>7</v>
      </c>
      <c r="J5" s="2">
        <v>57</v>
      </c>
    </row>
    <row r="6" spans="1:13" x14ac:dyDescent="0.25">
      <c r="A6" s="1"/>
      <c r="B6" s="2">
        <v>9.4</v>
      </c>
      <c r="C6" s="1" t="s">
        <v>2</v>
      </c>
      <c r="D6" s="2">
        <v>3</v>
      </c>
      <c r="E6" s="2">
        <v>0</v>
      </c>
      <c r="F6" s="2">
        <v>3</v>
      </c>
      <c r="G6" s="1" t="s">
        <v>37</v>
      </c>
      <c r="H6" s="2">
        <v>0</v>
      </c>
      <c r="I6" s="1" t="s">
        <v>37</v>
      </c>
      <c r="J6" s="2">
        <v>16</v>
      </c>
    </row>
    <row r="7" spans="1:13" x14ac:dyDescent="0.25">
      <c r="A7" s="1"/>
      <c r="B7" s="2"/>
      <c r="C7" s="1" t="s">
        <v>4</v>
      </c>
      <c r="D7" s="2">
        <v>3</v>
      </c>
      <c r="E7" s="2">
        <v>0</v>
      </c>
      <c r="F7" s="2">
        <v>3</v>
      </c>
      <c r="G7" s="71"/>
      <c r="H7" s="60"/>
      <c r="I7" s="60"/>
      <c r="J7" s="60"/>
    </row>
    <row r="8" spans="1:13" x14ac:dyDescent="0.25">
      <c r="A8" s="1"/>
      <c r="B8" s="2"/>
      <c r="C8" s="1" t="s">
        <v>3</v>
      </c>
      <c r="D8" s="2">
        <v>4</v>
      </c>
      <c r="E8" s="2">
        <v>0</v>
      </c>
      <c r="F8" s="2">
        <v>4</v>
      </c>
      <c r="G8" s="71"/>
      <c r="H8" s="60"/>
      <c r="I8" s="60"/>
      <c r="J8" s="60"/>
    </row>
    <row r="9" spans="1:13" x14ac:dyDescent="0.25">
      <c r="A9" s="62"/>
      <c r="B9" s="63"/>
      <c r="C9" s="62"/>
      <c r="D9" s="69"/>
      <c r="E9" s="69"/>
      <c r="F9" s="69"/>
      <c r="G9" s="64"/>
      <c r="H9" s="65"/>
      <c r="I9" s="65"/>
      <c r="J9" s="65"/>
      <c r="K9" s="67"/>
      <c r="L9" s="67"/>
      <c r="M9" s="67"/>
    </row>
    <row r="10" spans="1:13" x14ac:dyDescent="0.25">
      <c r="A10" s="59" t="s">
        <v>80</v>
      </c>
      <c r="B10" s="2">
        <v>9.1</v>
      </c>
      <c r="C10" s="4" t="s">
        <v>10</v>
      </c>
      <c r="D10" s="2">
        <v>11</v>
      </c>
      <c r="E10" s="2">
        <v>3</v>
      </c>
      <c r="F10" s="2">
        <v>0</v>
      </c>
      <c r="G10" s="8" t="s">
        <v>57</v>
      </c>
      <c r="H10" s="53"/>
      <c r="I10" s="8" t="s">
        <v>59</v>
      </c>
      <c r="J10" s="53">
        <v>98</v>
      </c>
    </row>
    <row r="11" spans="1:13" x14ac:dyDescent="0.25">
      <c r="A11" s="59"/>
      <c r="B11" s="2"/>
      <c r="C11" s="4" t="s">
        <v>9</v>
      </c>
      <c r="D11" s="2">
        <v>25</v>
      </c>
      <c r="E11" s="2">
        <v>0</v>
      </c>
      <c r="F11" s="2">
        <v>25</v>
      </c>
      <c r="G11" s="8" t="s">
        <v>6</v>
      </c>
      <c r="H11" s="2">
        <v>18</v>
      </c>
      <c r="I11" s="8" t="s">
        <v>5</v>
      </c>
      <c r="J11" s="5">
        <v>98</v>
      </c>
    </row>
    <row r="12" spans="1:13" x14ac:dyDescent="0.25">
      <c r="A12" s="1"/>
      <c r="B12" s="2">
        <v>9.1999999999999993</v>
      </c>
      <c r="C12" s="4" t="s">
        <v>11</v>
      </c>
      <c r="D12" s="2">
        <v>30</v>
      </c>
      <c r="E12" s="2">
        <v>0</v>
      </c>
      <c r="F12" s="2">
        <v>35</v>
      </c>
      <c r="G12" s="1" t="s">
        <v>8</v>
      </c>
      <c r="H12" s="2">
        <v>0</v>
      </c>
      <c r="I12" s="1" t="s">
        <v>8</v>
      </c>
      <c r="J12" s="2">
        <v>96</v>
      </c>
    </row>
    <row r="13" spans="1:13" x14ac:dyDescent="0.25">
      <c r="A13" s="1"/>
      <c r="B13" s="2"/>
      <c r="C13" s="4" t="s">
        <v>12</v>
      </c>
      <c r="D13" s="70">
        <v>33</v>
      </c>
      <c r="E13" s="70">
        <v>3</v>
      </c>
      <c r="F13" s="70">
        <v>24</v>
      </c>
      <c r="G13" s="1" t="s">
        <v>7</v>
      </c>
      <c r="H13" s="2">
        <v>18</v>
      </c>
      <c r="I13" s="1" t="s">
        <v>7</v>
      </c>
      <c r="J13" s="2">
        <v>2</v>
      </c>
    </row>
    <row r="14" spans="1:13" x14ac:dyDescent="0.25">
      <c r="A14" s="1"/>
      <c r="B14" s="2"/>
      <c r="C14" s="4" t="s">
        <v>13</v>
      </c>
      <c r="D14" s="2">
        <v>11</v>
      </c>
      <c r="E14" s="2">
        <v>6</v>
      </c>
      <c r="F14" s="2">
        <v>2</v>
      </c>
      <c r="G14" s="1" t="s">
        <v>37</v>
      </c>
      <c r="H14" s="2">
        <v>0</v>
      </c>
      <c r="I14" s="1" t="s">
        <v>37</v>
      </c>
      <c r="J14" s="2">
        <v>0</v>
      </c>
    </row>
    <row r="15" spans="1:13" x14ac:dyDescent="0.25">
      <c r="A15" s="1"/>
      <c r="B15" s="2"/>
      <c r="C15" s="4" t="s">
        <v>14</v>
      </c>
      <c r="D15" s="2">
        <v>15</v>
      </c>
      <c r="E15" s="2">
        <v>3</v>
      </c>
      <c r="F15" s="2">
        <v>2</v>
      </c>
      <c r="G15" s="1"/>
      <c r="H15" s="60"/>
      <c r="I15" s="60"/>
      <c r="J15" s="60"/>
    </row>
    <row r="16" spans="1:13" x14ac:dyDescent="0.25">
      <c r="A16" s="1"/>
      <c r="B16" s="61">
        <v>9.3000000000000007</v>
      </c>
      <c r="C16" s="1" t="s">
        <v>15</v>
      </c>
      <c r="D16" s="2">
        <v>10</v>
      </c>
      <c r="E16" s="2">
        <v>0</v>
      </c>
      <c r="F16" s="2">
        <v>10</v>
      </c>
      <c r="G16" s="1"/>
      <c r="H16" s="60"/>
      <c r="I16" s="60"/>
      <c r="J16" s="60"/>
    </row>
    <row r="17" spans="1:13" x14ac:dyDescent="0.25">
      <c r="A17" s="1"/>
      <c r="B17" s="61">
        <v>9.4</v>
      </c>
      <c r="C17" s="1" t="s">
        <v>16</v>
      </c>
      <c r="D17" s="2">
        <v>0</v>
      </c>
      <c r="E17" s="2">
        <v>0</v>
      </c>
      <c r="F17" s="2">
        <v>0</v>
      </c>
      <c r="G17" s="1"/>
      <c r="H17" s="60"/>
      <c r="I17" s="60"/>
      <c r="J17" s="60"/>
    </row>
    <row r="18" spans="1:13" x14ac:dyDescent="0.25">
      <c r="A18" s="1"/>
      <c r="B18" s="61"/>
      <c r="C18" s="1" t="s">
        <v>17</v>
      </c>
      <c r="D18" s="2">
        <v>17</v>
      </c>
      <c r="E18" s="2">
        <v>3</v>
      </c>
      <c r="F18" s="2">
        <v>0</v>
      </c>
      <c r="G18" s="1"/>
      <c r="H18" s="60"/>
      <c r="I18" s="60"/>
      <c r="J18" s="60"/>
    </row>
    <row r="19" spans="1:13" x14ac:dyDescent="0.25">
      <c r="A19" s="62"/>
      <c r="B19" s="63"/>
      <c r="C19" s="62"/>
      <c r="D19" s="63"/>
      <c r="E19" s="63"/>
      <c r="F19" s="63"/>
      <c r="G19" s="62"/>
      <c r="H19" s="65"/>
      <c r="I19" s="65"/>
      <c r="J19" s="65"/>
      <c r="K19" s="67"/>
      <c r="L19" s="67"/>
      <c r="M19" s="67"/>
    </row>
    <row r="20" spans="1:13" x14ac:dyDescent="0.25">
      <c r="A20" s="59" t="s">
        <v>81</v>
      </c>
      <c r="B20" s="6">
        <v>9.4</v>
      </c>
      <c r="C20" s="4" t="s">
        <v>20</v>
      </c>
      <c r="D20" s="2">
        <v>56</v>
      </c>
      <c r="E20" s="2">
        <v>5</v>
      </c>
      <c r="F20" s="2">
        <v>2</v>
      </c>
      <c r="G20" s="8" t="s">
        <v>57</v>
      </c>
      <c r="H20" s="53">
        <v>150</v>
      </c>
      <c r="I20" s="8" t="s">
        <v>59</v>
      </c>
      <c r="J20" s="53">
        <v>66</v>
      </c>
    </row>
    <row r="21" spans="1:13" x14ac:dyDescent="0.25">
      <c r="A21" s="1"/>
      <c r="B21" s="6">
        <v>9.4</v>
      </c>
      <c r="C21" s="4" t="s">
        <v>21</v>
      </c>
      <c r="D21" s="2">
        <v>160</v>
      </c>
      <c r="E21" s="2">
        <v>3</v>
      </c>
      <c r="F21" s="2">
        <v>64</v>
      </c>
      <c r="G21" s="8" t="s">
        <v>6</v>
      </c>
      <c r="H21" s="2">
        <v>8</v>
      </c>
      <c r="I21" s="8" t="s">
        <v>5</v>
      </c>
      <c r="J21" s="2">
        <v>66</v>
      </c>
    </row>
    <row r="22" spans="1:13" x14ac:dyDescent="0.25">
      <c r="A22" s="1"/>
      <c r="B22" s="2">
        <v>9.4</v>
      </c>
      <c r="C22" s="1" t="s">
        <v>76</v>
      </c>
      <c r="D22" s="2">
        <v>316</v>
      </c>
      <c r="E22" s="2">
        <v>1</v>
      </c>
      <c r="F22" s="2">
        <v>0</v>
      </c>
      <c r="G22" s="1" t="s">
        <v>8</v>
      </c>
      <c r="H22" s="2">
        <v>3</v>
      </c>
      <c r="I22" s="1" t="s">
        <v>8</v>
      </c>
      <c r="J22" s="2">
        <v>30</v>
      </c>
    </row>
    <row r="23" spans="1:13" x14ac:dyDescent="0.25">
      <c r="A23" s="72"/>
      <c r="B23" s="72"/>
      <c r="C23" s="72"/>
      <c r="D23" s="72"/>
      <c r="E23" s="72"/>
      <c r="F23" s="72"/>
      <c r="G23" s="1" t="s">
        <v>7</v>
      </c>
      <c r="H23" s="2">
        <v>4</v>
      </c>
      <c r="I23" s="1" t="s">
        <v>7</v>
      </c>
      <c r="J23" s="2">
        <v>0</v>
      </c>
      <c r="K23" s="67"/>
      <c r="L23" s="67"/>
      <c r="M23" s="67"/>
    </row>
    <row r="24" spans="1:13" x14ac:dyDescent="0.25">
      <c r="A24" s="60"/>
      <c r="B24" s="60"/>
      <c r="C24" s="60"/>
      <c r="D24" s="60"/>
      <c r="E24" s="60"/>
      <c r="F24" s="60"/>
      <c r="G24" s="1" t="s">
        <v>37</v>
      </c>
      <c r="H24" s="2">
        <v>1</v>
      </c>
      <c r="I24" s="1" t="s">
        <v>37</v>
      </c>
      <c r="J24" s="2">
        <v>36</v>
      </c>
    </row>
  </sheetData>
  <phoneticPr fontId="14"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2:K66"/>
  <sheetViews>
    <sheetView topLeftCell="A42" workbookViewId="0">
      <selection activeCell="B13" sqref="B13"/>
    </sheetView>
  </sheetViews>
  <sheetFormatPr defaultRowHeight="15" x14ac:dyDescent="0.25"/>
  <cols>
    <col min="2" max="2" width="46.85546875" customWidth="1"/>
    <col min="3" max="3" width="49.7109375" customWidth="1"/>
    <col min="4" max="4" width="26" bestFit="1" customWidth="1"/>
    <col min="5" max="5" width="21.140625" customWidth="1"/>
    <col min="6" max="6" width="12.7109375" customWidth="1"/>
  </cols>
  <sheetData>
    <row r="2" spans="2:4" ht="15" customHeight="1" thickBot="1" x14ac:dyDescent="0.3">
      <c r="B2" s="9" t="s">
        <v>22</v>
      </c>
      <c r="C2" s="10"/>
    </row>
    <row r="3" spans="2:4" x14ac:dyDescent="0.25">
      <c r="B3" s="11" t="s">
        <v>23</v>
      </c>
      <c r="C3" s="49" t="s">
        <v>24</v>
      </c>
      <c r="D3" s="51" t="s">
        <v>55</v>
      </c>
    </row>
    <row r="4" spans="2:4" ht="25.5" x14ac:dyDescent="0.25">
      <c r="B4" s="13" t="s">
        <v>56</v>
      </c>
      <c r="C4" s="50">
        <v>265</v>
      </c>
      <c r="D4" s="7">
        <v>265</v>
      </c>
    </row>
    <row r="5" spans="2:4" ht="18.75" customHeight="1" x14ac:dyDescent="0.25">
      <c r="B5" s="54" t="s">
        <v>54</v>
      </c>
      <c r="C5" s="19"/>
      <c r="D5" s="7">
        <v>33</v>
      </c>
    </row>
    <row r="6" spans="2:4" x14ac:dyDescent="0.25">
      <c r="B6" s="14"/>
      <c r="C6" s="15"/>
    </row>
    <row r="7" spans="2:4" x14ac:dyDescent="0.25">
      <c r="B7" s="9" t="s">
        <v>25</v>
      </c>
      <c r="C7" s="16"/>
    </row>
    <row r="8" spans="2:4" x14ac:dyDescent="0.25">
      <c r="B8" s="17" t="s">
        <v>26</v>
      </c>
      <c r="C8" s="17" t="s">
        <v>27</v>
      </c>
    </row>
    <row r="9" spans="2:4" ht="63.75" x14ac:dyDescent="0.25">
      <c r="B9" s="18" t="s">
        <v>84</v>
      </c>
      <c r="C9" s="19">
        <v>120</v>
      </c>
    </row>
    <row r="10" spans="2:4" ht="18" x14ac:dyDescent="0.25">
      <c r="B10" s="20"/>
      <c r="C10" s="16"/>
    </row>
    <row r="11" spans="2:4" ht="15.75" thickBot="1" x14ac:dyDescent="0.3">
      <c r="B11" s="9" t="s">
        <v>28</v>
      </c>
      <c r="C11" s="10"/>
    </row>
    <row r="12" spans="2:4" x14ac:dyDescent="0.25">
      <c r="B12" s="21" t="s">
        <v>29</v>
      </c>
      <c r="C12" s="12" t="s">
        <v>27</v>
      </c>
    </row>
    <row r="13" spans="2:4" ht="55.5" customHeight="1" thickBot="1" x14ac:dyDescent="0.3">
      <c r="B13" s="22" t="s">
        <v>30</v>
      </c>
      <c r="C13" s="23">
        <v>120</v>
      </c>
    </row>
    <row r="15" spans="2:4" ht="15.75" thickBot="1" x14ac:dyDescent="0.3">
      <c r="B15" s="9" t="s">
        <v>31</v>
      </c>
      <c r="C15" s="10"/>
    </row>
    <row r="16" spans="2:4" x14ac:dyDescent="0.25">
      <c r="B16" s="21" t="s">
        <v>32</v>
      </c>
      <c r="C16" s="12" t="s">
        <v>27</v>
      </c>
    </row>
    <row r="17" spans="2:6" x14ac:dyDescent="0.25">
      <c r="B17" s="24" t="s">
        <v>33</v>
      </c>
      <c r="C17" s="23">
        <v>160</v>
      </c>
    </row>
    <row r="18" spans="2:6" ht="26.25" x14ac:dyDescent="0.25">
      <c r="B18" s="3" t="s">
        <v>60</v>
      </c>
      <c r="C18" s="23">
        <v>200</v>
      </c>
    </row>
    <row r="19" spans="2:6" x14ac:dyDescent="0.25">
      <c r="B19" s="3" t="s">
        <v>72</v>
      </c>
      <c r="C19" s="23">
        <v>300</v>
      </c>
    </row>
    <row r="20" spans="2:6" x14ac:dyDescent="0.25">
      <c r="B20" s="25"/>
      <c r="C20" s="15"/>
    </row>
    <row r="21" spans="2:6" ht="15.75" thickBot="1" x14ac:dyDescent="0.3">
      <c r="B21" s="9" t="s">
        <v>61</v>
      </c>
    </row>
    <row r="22" spans="2:6" ht="15" customHeight="1" x14ac:dyDescent="0.25">
      <c r="B22" s="328" t="s">
        <v>34</v>
      </c>
      <c r="C22" s="315" t="s">
        <v>62</v>
      </c>
      <c r="D22" s="315" t="s">
        <v>63</v>
      </c>
      <c r="E22" s="317" t="s">
        <v>36</v>
      </c>
    </row>
    <row r="23" spans="2:6" x14ac:dyDescent="0.25">
      <c r="B23" s="329"/>
      <c r="C23" s="316"/>
      <c r="D23" s="316"/>
      <c r="E23" s="318"/>
    </row>
    <row r="24" spans="2:6" x14ac:dyDescent="0.25">
      <c r="B24" s="26" t="s">
        <v>8</v>
      </c>
      <c r="C24" s="27">
        <v>8</v>
      </c>
      <c r="D24" s="28">
        <v>12</v>
      </c>
      <c r="E24" s="29">
        <f>C24*D24</f>
        <v>96</v>
      </c>
    </row>
    <row r="25" spans="2:6" x14ac:dyDescent="0.25">
      <c r="B25" s="26" t="s">
        <v>7</v>
      </c>
      <c r="C25" s="27">
        <v>24</v>
      </c>
      <c r="D25" s="28">
        <v>10</v>
      </c>
      <c r="E25" s="29">
        <f>C25*D25</f>
        <v>240</v>
      </c>
    </row>
    <row r="26" spans="2:6" x14ac:dyDescent="0.25">
      <c r="B26" s="26" t="s">
        <v>37</v>
      </c>
      <c r="C26" s="27">
        <v>1</v>
      </c>
      <c r="D26" s="28">
        <v>8</v>
      </c>
      <c r="E26" s="29">
        <f>C26*D26</f>
        <v>8</v>
      </c>
    </row>
    <row r="27" spans="2:6" ht="15.75" thickBot="1" x14ac:dyDescent="0.3">
      <c r="B27" s="319" t="s">
        <v>69</v>
      </c>
      <c r="C27" s="320"/>
      <c r="D27" s="320"/>
      <c r="E27" s="321"/>
      <c r="F27" s="30">
        <f>SUM(E24:E26)</f>
        <v>344</v>
      </c>
    </row>
    <row r="28" spans="2:6" x14ac:dyDescent="0.25">
      <c r="B28" s="31"/>
      <c r="C28" s="32"/>
      <c r="D28" s="32"/>
      <c r="E28" s="32"/>
      <c r="F28" s="33"/>
    </row>
    <row r="29" spans="2:6" ht="15.75" thickBot="1" x14ac:dyDescent="0.3">
      <c r="B29" s="9" t="s">
        <v>38</v>
      </c>
      <c r="C29" s="32"/>
      <c r="D29" s="32"/>
      <c r="E29" s="32"/>
      <c r="F29" s="33"/>
    </row>
    <row r="30" spans="2:6" ht="15" customHeight="1" x14ac:dyDescent="0.25">
      <c r="B30" s="328" t="s">
        <v>34</v>
      </c>
      <c r="C30" s="315" t="s">
        <v>64</v>
      </c>
      <c r="D30" s="315" t="s">
        <v>35</v>
      </c>
      <c r="E30" s="317" t="s">
        <v>36</v>
      </c>
    </row>
    <row r="31" spans="2:6" x14ac:dyDescent="0.25">
      <c r="B31" s="329"/>
      <c r="C31" s="316"/>
      <c r="D31" s="316"/>
      <c r="E31" s="318"/>
    </row>
    <row r="32" spans="2:6" x14ac:dyDescent="0.25">
      <c r="B32" s="26" t="s">
        <v>8</v>
      </c>
      <c r="C32" s="27">
        <v>154</v>
      </c>
      <c r="D32" s="28">
        <v>8</v>
      </c>
      <c r="E32" s="29">
        <f>C32*D32</f>
        <v>1232</v>
      </c>
    </row>
    <row r="33" spans="2:6" x14ac:dyDescent="0.25">
      <c r="B33" s="26" t="s">
        <v>7</v>
      </c>
      <c r="C33" s="27">
        <v>59</v>
      </c>
      <c r="D33" s="28">
        <v>6</v>
      </c>
      <c r="E33" s="29">
        <f>C33*D33</f>
        <v>354</v>
      </c>
    </row>
    <row r="34" spans="2:6" x14ac:dyDescent="0.25">
      <c r="B34" s="26" t="s">
        <v>37</v>
      </c>
      <c r="C34" s="27">
        <v>52</v>
      </c>
      <c r="D34" s="28">
        <v>3</v>
      </c>
      <c r="E34" s="29">
        <f>C34*D34</f>
        <v>156</v>
      </c>
    </row>
    <row r="35" spans="2:6" ht="15.75" thickBot="1" x14ac:dyDescent="0.3">
      <c r="B35" s="319" t="s">
        <v>68</v>
      </c>
      <c r="C35" s="320"/>
      <c r="D35" s="320"/>
      <c r="E35" s="321"/>
      <c r="F35" s="30">
        <f>SUM(E32:E34)</f>
        <v>1742</v>
      </c>
    </row>
    <row r="37" spans="2:6" x14ac:dyDescent="0.25">
      <c r="B37" s="34" t="s">
        <v>39</v>
      </c>
    </row>
    <row r="38" spans="2:6" ht="30" x14ac:dyDescent="0.25">
      <c r="B38" s="35" t="s">
        <v>26</v>
      </c>
      <c r="C38" s="35" t="s">
        <v>65</v>
      </c>
      <c r="D38" s="35" t="s">
        <v>40</v>
      </c>
      <c r="E38" s="36" t="s">
        <v>41</v>
      </c>
    </row>
    <row r="39" spans="2:6" ht="15" customHeight="1" x14ac:dyDescent="0.25">
      <c r="B39" s="322" t="s">
        <v>42</v>
      </c>
      <c r="C39" s="27">
        <v>154</v>
      </c>
      <c r="D39" s="37">
        <v>1</v>
      </c>
      <c r="E39" s="37">
        <f>C39*D39</f>
        <v>154</v>
      </c>
    </row>
    <row r="40" spans="2:6" x14ac:dyDescent="0.25">
      <c r="B40" s="323"/>
      <c r="C40" s="27">
        <v>59</v>
      </c>
      <c r="D40" s="37">
        <v>0.75</v>
      </c>
      <c r="E40" s="37">
        <f>C40*D40</f>
        <v>44.25</v>
      </c>
    </row>
    <row r="41" spans="2:6" x14ac:dyDescent="0.25">
      <c r="B41" s="323"/>
      <c r="C41" s="27">
        <v>52</v>
      </c>
      <c r="D41" s="37">
        <v>0.5</v>
      </c>
      <c r="E41" s="37">
        <f>C41*D41</f>
        <v>26</v>
      </c>
    </row>
    <row r="42" spans="2:6" x14ac:dyDescent="0.25">
      <c r="B42" s="323"/>
      <c r="C42" s="19" t="s">
        <v>66</v>
      </c>
      <c r="D42" s="37"/>
      <c r="E42" s="37"/>
    </row>
    <row r="43" spans="2:6" x14ac:dyDescent="0.25">
      <c r="B43" s="323"/>
      <c r="C43" s="27">
        <v>8</v>
      </c>
      <c r="D43" s="37">
        <v>2</v>
      </c>
      <c r="E43" s="37">
        <f>C43*D43</f>
        <v>16</v>
      </c>
    </row>
    <row r="44" spans="2:6" x14ac:dyDescent="0.25">
      <c r="B44" s="323"/>
      <c r="C44" s="27">
        <v>24</v>
      </c>
      <c r="D44" s="37">
        <v>1.5</v>
      </c>
      <c r="E44" s="37">
        <f>C44*D44</f>
        <v>36</v>
      </c>
    </row>
    <row r="45" spans="2:6" x14ac:dyDescent="0.25">
      <c r="B45" s="324"/>
      <c r="C45" s="27">
        <v>1</v>
      </c>
      <c r="D45" s="37">
        <v>1</v>
      </c>
      <c r="E45" s="37">
        <f>C45*D45</f>
        <v>1</v>
      </c>
    </row>
    <row r="46" spans="2:6" x14ac:dyDescent="0.25">
      <c r="B46" s="325" t="s">
        <v>67</v>
      </c>
      <c r="C46" s="326"/>
      <c r="D46" s="326"/>
      <c r="E46" s="327"/>
      <c r="F46" s="23">
        <f>SUM(E39:E45)</f>
        <v>277.25</v>
      </c>
    </row>
    <row r="48" spans="2:6" ht="14.25" customHeight="1" x14ac:dyDescent="0.25">
      <c r="B48" s="38"/>
      <c r="C48" s="39"/>
    </row>
    <row r="49" spans="2:11" ht="14.25" customHeight="1" x14ac:dyDescent="0.25">
      <c r="B49" s="40" t="s">
        <v>44</v>
      </c>
      <c r="C49" s="39"/>
    </row>
    <row r="50" spans="2:11" ht="17.25" customHeight="1" x14ac:dyDescent="0.25">
      <c r="B50" s="35" t="s">
        <v>45</v>
      </c>
      <c r="C50" s="35" t="s">
        <v>43</v>
      </c>
    </row>
    <row r="51" spans="2:11" x14ac:dyDescent="0.25">
      <c r="B51" s="41" t="s">
        <v>46</v>
      </c>
      <c r="C51" s="23">
        <v>16</v>
      </c>
    </row>
    <row r="52" spans="2:11" x14ac:dyDescent="0.25">
      <c r="B52" s="38"/>
      <c r="C52" s="39"/>
    </row>
    <row r="54" spans="2:11" ht="15.75" thickBot="1" x14ac:dyDescent="0.3">
      <c r="B54" s="9" t="s">
        <v>47</v>
      </c>
    </row>
    <row r="55" spans="2:11" ht="19.5" customHeight="1" x14ac:dyDescent="0.25">
      <c r="B55" s="42" t="s">
        <v>48</v>
      </c>
      <c r="C55" s="43" t="s">
        <v>71</v>
      </c>
      <c r="D55" s="44"/>
      <c r="E55" s="44"/>
      <c r="F55" s="44"/>
      <c r="G55" s="44"/>
      <c r="H55" s="44"/>
      <c r="I55" s="44"/>
      <c r="J55" s="44"/>
      <c r="K55" s="44"/>
    </row>
    <row r="56" spans="2:11" x14ac:dyDescent="0.25">
      <c r="B56" s="45" t="s">
        <v>49</v>
      </c>
      <c r="C56" s="46">
        <f>C9</f>
        <v>120</v>
      </c>
      <c r="D56" s="55"/>
      <c r="E56" s="55"/>
      <c r="F56" s="44"/>
      <c r="G56" s="44"/>
      <c r="H56" s="44"/>
      <c r="I56" s="44"/>
      <c r="J56" s="44"/>
      <c r="K56" s="44"/>
    </row>
    <row r="57" spans="2:11" x14ac:dyDescent="0.25">
      <c r="B57" s="45" t="s">
        <v>50</v>
      </c>
      <c r="C57" s="46">
        <f>C13</f>
        <v>120</v>
      </c>
      <c r="D57" s="55"/>
      <c r="E57" s="55"/>
      <c r="F57" s="44"/>
      <c r="G57" s="44"/>
      <c r="H57" s="44"/>
      <c r="I57" s="44"/>
      <c r="J57" s="44"/>
      <c r="K57" s="44"/>
    </row>
    <row r="58" spans="2:11" x14ac:dyDescent="0.25">
      <c r="B58" s="45" t="s">
        <v>51</v>
      </c>
      <c r="C58" s="46">
        <f>SUM(F35+F27+C19+C18+C17)</f>
        <v>2746</v>
      </c>
      <c r="D58" s="55"/>
      <c r="E58" s="55"/>
      <c r="F58" s="44"/>
      <c r="G58" s="44"/>
      <c r="H58" s="44"/>
      <c r="I58" s="44"/>
      <c r="J58" s="44"/>
      <c r="K58" s="44"/>
    </row>
    <row r="59" spans="2:11" x14ac:dyDescent="0.25">
      <c r="B59" s="47" t="s">
        <v>52</v>
      </c>
      <c r="C59" s="37">
        <f>F46</f>
        <v>277.25</v>
      </c>
      <c r="D59" s="55"/>
      <c r="E59" s="55"/>
      <c r="F59" s="44"/>
      <c r="G59" s="44"/>
      <c r="H59" s="44"/>
      <c r="I59" s="44"/>
      <c r="J59" s="44"/>
      <c r="K59" s="44"/>
    </row>
    <row r="60" spans="2:11" x14ac:dyDescent="0.25">
      <c r="B60" s="47" t="s">
        <v>44</v>
      </c>
      <c r="C60" s="46">
        <f>C51</f>
        <v>16</v>
      </c>
      <c r="D60" s="55"/>
      <c r="E60" s="55"/>
      <c r="F60" s="44"/>
      <c r="G60" s="44"/>
      <c r="H60" s="44"/>
      <c r="I60" s="44"/>
      <c r="J60" s="44"/>
      <c r="K60" s="44"/>
    </row>
    <row r="61" spans="2:11" x14ac:dyDescent="0.25">
      <c r="B61" s="48" t="s">
        <v>53</v>
      </c>
      <c r="C61" s="46">
        <f>SUM(C56:C60)</f>
        <v>3279.25</v>
      </c>
      <c r="D61" s="55"/>
      <c r="E61" s="55"/>
      <c r="F61" s="44"/>
      <c r="G61" s="44"/>
      <c r="H61" s="44"/>
      <c r="I61" s="44"/>
      <c r="J61" s="44"/>
      <c r="K61" s="44"/>
    </row>
    <row r="62" spans="2:11" x14ac:dyDescent="0.25">
      <c r="D62" s="55"/>
      <c r="E62" s="56"/>
      <c r="F62" s="44"/>
      <c r="G62" s="44"/>
      <c r="H62" s="44"/>
      <c r="I62" s="44"/>
      <c r="J62" s="44"/>
      <c r="K62" s="44"/>
    </row>
    <row r="63" spans="2:11" x14ac:dyDescent="0.25">
      <c r="D63" s="44"/>
      <c r="E63" s="44"/>
      <c r="F63" s="44"/>
      <c r="G63" s="44"/>
      <c r="H63" s="44"/>
      <c r="I63" s="44"/>
      <c r="J63" s="44"/>
      <c r="K63" s="44"/>
    </row>
    <row r="64" spans="2:11" x14ac:dyDescent="0.25">
      <c r="B64" s="57" t="s">
        <v>73</v>
      </c>
      <c r="C64" s="58">
        <f>C61/8</f>
        <v>409.90625</v>
      </c>
      <c r="D64" s="44"/>
      <c r="E64" s="44"/>
      <c r="F64" s="44"/>
      <c r="G64" s="44"/>
      <c r="H64" s="44"/>
      <c r="I64" s="44"/>
      <c r="J64" s="44"/>
      <c r="K64" s="44"/>
    </row>
    <row r="65" spans="2:11" x14ac:dyDescent="0.25">
      <c r="B65" s="57" t="s">
        <v>74</v>
      </c>
      <c r="C65" s="58">
        <f>C64/22</f>
        <v>18.632102272727273</v>
      </c>
      <c r="D65" s="44"/>
      <c r="E65" s="44"/>
      <c r="F65" s="44"/>
      <c r="G65" s="44"/>
      <c r="H65" s="44"/>
      <c r="I65" s="44"/>
      <c r="J65" s="44"/>
      <c r="K65" s="44"/>
    </row>
    <row r="66" spans="2:11" x14ac:dyDescent="0.25">
      <c r="B66" s="57" t="s">
        <v>75</v>
      </c>
      <c r="C66" s="58">
        <f>C65/5</f>
        <v>3.7264204545454547</v>
      </c>
      <c r="D66" s="44"/>
      <c r="E66" s="44"/>
      <c r="F66" s="44"/>
      <c r="G66" s="44"/>
      <c r="H66" s="44"/>
      <c r="I66" s="44"/>
      <c r="J66" s="44"/>
      <c r="K66" s="44"/>
    </row>
  </sheetData>
  <mergeCells count="12">
    <mergeCell ref="B22:B23"/>
    <mergeCell ref="C22:C23"/>
    <mergeCell ref="D22:D23"/>
    <mergeCell ref="E22:E23"/>
    <mergeCell ref="B27:E27"/>
    <mergeCell ref="D30:D31"/>
    <mergeCell ref="E30:E31"/>
    <mergeCell ref="B35:E35"/>
    <mergeCell ref="B39:B45"/>
    <mergeCell ref="B46:E46"/>
    <mergeCell ref="B30:B31"/>
    <mergeCell ref="C30:C31"/>
  </mergeCells>
  <phoneticPr fontId="1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L24"/>
  <sheetViews>
    <sheetView showGridLines="0" zoomScaleNormal="100" workbookViewId="0">
      <selection activeCell="B4" sqref="B4:L4"/>
    </sheetView>
  </sheetViews>
  <sheetFormatPr defaultRowHeight="12.75" x14ac:dyDescent="0.2"/>
  <cols>
    <col min="1" max="11" width="9.140625" style="127"/>
    <col min="12" max="12" width="13.42578125" style="127" customWidth="1"/>
    <col min="13" max="16384" width="9.140625" style="127"/>
  </cols>
  <sheetData>
    <row r="1" spans="1:12" ht="15.75" thickTop="1" x14ac:dyDescent="0.25">
      <c r="A1" s="335" t="s">
        <v>126</v>
      </c>
      <c r="B1" s="336"/>
      <c r="C1" s="336"/>
      <c r="D1" s="336"/>
      <c r="E1" s="336"/>
      <c r="F1" s="336"/>
      <c r="G1" s="336"/>
      <c r="H1" s="336"/>
      <c r="I1" s="336"/>
      <c r="J1" s="336"/>
      <c r="K1" s="336"/>
      <c r="L1" s="337"/>
    </row>
    <row r="2" spans="1:12" ht="5.25" customHeight="1" x14ac:dyDescent="0.2">
      <c r="A2" s="338"/>
      <c r="B2" s="339"/>
      <c r="C2" s="339"/>
      <c r="D2" s="339"/>
      <c r="E2" s="339"/>
      <c r="F2" s="339"/>
      <c r="G2" s="339"/>
      <c r="H2" s="339"/>
      <c r="I2" s="339"/>
      <c r="J2" s="339"/>
      <c r="K2" s="339"/>
      <c r="L2" s="340"/>
    </row>
    <row r="3" spans="1:12" ht="30" customHeight="1" x14ac:dyDescent="0.2">
      <c r="A3" s="128">
        <v>1</v>
      </c>
      <c r="B3" s="331" t="s">
        <v>127</v>
      </c>
      <c r="C3" s="331"/>
      <c r="D3" s="331"/>
      <c r="E3" s="331"/>
      <c r="F3" s="331"/>
      <c r="G3" s="331"/>
      <c r="H3" s="331"/>
      <c r="I3" s="331"/>
      <c r="J3" s="331"/>
      <c r="K3" s="331"/>
      <c r="L3" s="332"/>
    </row>
    <row r="4" spans="1:12" ht="81.75" customHeight="1" x14ac:dyDescent="0.2">
      <c r="A4" s="128">
        <v>2</v>
      </c>
      <c r="B4" s="331" t="s">
        <v>128</v>
      </c>
      <c r="C4" s="331"/>
      <c r="D4" s="331"/>
      <c r="E4" s="331"/>
      <c r="F4" s="331"/>
      <c r="G4" s="331"/>
      <c r="H4" s="331"/>
      <c r="I4" s="331"/>
      <c r="J4" s="331"/>
      <c r="K4" s="331"/>
      <c r="L4" s="332"/>
    </row>
    <row r="5" spans="1:12" ht="57" customHeight="1" x14ac:dyDescent="0.2">
      <c r="A5" s="128">
        <v>3</v>
      </c>
      <c r="B5" s="331" t="s">
        <v>129</v>
      </c>
      <c r="C5" s="331"/>
      <c r="D5" s="331"/>
      <c r="E5" s="331"/>
      <c r="F5" s="331"/>
      <c r="G5" s="331"/>
      <c r="H5" s="331"/>
      <c r="I5" s="331"/>
      <c r="J5" s="331"/>
      <c r="K5" s="331"/>
      <c r="L5" s="332"/>
    </row>
    <row r="6" spans="1:12" ht="119.25" customHeight="1" x14ac:dyDescent="0.2">
      <c r="A6" s="128">
        <v>4</v>
      </c>
      <c r="B6" s="331" t="s">
        <v>130</v>
      </c>
      <c r="C6" s="331"/>
      <c r="D6" s="331"/>
      <c r="E6" s="331"/>
      <c r="F6" s="331"/>
      <c r="G6" s="331"/>
      <c r="H6" s="331"/>
      <c r="I6" s="331"/>
      <c r="J6" s="331"/>
      <c r="K6" s="331"/>
      <c r="L6" s="332"/>
    </row>
    <row r="7" spans="1:12" ht="37.5" customHeight="1" x14ac:dyDescent="0.2">
      <c r="A7" s="128">
        <v>5</v>
      </c>
      <c r="B7" s="331" t="s">
        <v>131</v>
      </c>
      <c r="C7" s="331"/>
      <c r="D7" s="331"/>
      <c r="E7" s="331"/>
      <c r="F7" s="331"/>
      <c r="G7" s="331"/>
      <c r="H7" s="331"/>
      <c r="I7" s="331"/>
      <c r="J7" s="331"/>
      <c r="K7" s="331"/>
      <c r="L7" s="332"/>
    </row>
    <row r="8" spans="1:12" ht="31.5" customHeight="1" x14ac:dyDescent="0.2">
      <c r="A8" s="129" t="s">
        <v>132</v>
      </c>
      <c r="B8" s="331" t="s">
        <v>133</v>
      </c>
      <c r="C8" s="331"/>
      <c r="D8" s="331"/>
      <c r="E8" s="331"/>
      <c r="F8" s="331"/>
      <c r="G8" s="331"/>
      <c r="H8" s="331"/>
      <c r="I8" s="331"/>
      <c r="J8" s="331"/>
      <c r="K8" s="331"/>
      <c r="L8" s="332"/>
    </row>
    <row r="9" spans="1:12" ht="13.5" thickBot="1" x14ac:dyDescent="0.25">
      <c r="A9" s="130"/>
      <c r="B9" s="333"/>
      <c r="C9" s="333"/>
      <c r="D9" s="333"/>
      <c r="E9" s="333"/>
      <c r="F9" s="333"/>
      <c r="G9" s="333"/>
      <c r="H9" s="333"/>
      <c r="I9" s="333"/>
      <c r="J9" s="333"/>
      <c r="K9" s="333"/>
      <c r="L9" s="334"/>
    </row>
    <row r="10" spans="1:12" ht="13.5" thickTop="1" x14ac:dyDescent="0.2">
      <c r="A10" s="131"/>
      <c r="B10" s="330"/>
      <c r="C10" s="330"/>
      <c r="D10" s="330"/>
      <c r="E10" s="330"/>
      <c r="F10" s="330"/>
      <c r="G10" s="330"/>
      <c r="H10" s="330"/>
      <c r="I10" s="330"/>
      <c r="J10" s="330"/>
      <c r="K10" s="330"/>
      <c r="L10" s="330"/>
    </row>
    <row r="11" spans="1:12" x14ac:dyDescent="0.2">
      <c r="A11" s="131"/>
      <c r="B11" s="330"/>
      <c r="C11" s="330"/>
      <c r="D11" s="330"/>
      <c r="E11" s="330"/>
      <c r="F11" s="330"/>
      <c r="G11" s="330"/>
      <c r="H11" s="330"/>
      <c r="I11" s="330"/>
      <c r="J11" s="330"/>
      <c r="K11" s="330"/>
      <c r="L11" s="330"/>
    </row>
    <row r="12" spans="1:12" x14ac:dyDescent="0.2">
      <c r="A12" s="131"/>
      <c r="B12" s="330"/>
      <c r="C12" s="330"/>
      <c r="D12" s="330"/>
      <c r="E12" s="330"/>
      <c r="F12" s="330"/>
      <c r="G12" s="330"/>
      <c r="H12" s="330"/>
      <c r="I12" s="330"/>
      <c r="J12" s="330"/>
      <c r="K12" s="330"/>
      <c r="L12" s="330"/>
    </row>
    <row r="13" spans="1:12" x14ac:dyDescent="0.2">
      <c r="A13" s="131"/>
      <c r="B13" s="330"/>
      <c r="C13" s="330"/>
      <c r="D13" s="330"/>
      <c r="E13" s="330"/>
      <c r="F13" s="330"/>
      <c r="G13" s="330"/>
      <c r="H13" s="330"/>
      <c r="I13" s="330"/>
      <c r="J13" s="330"/>
      <c r="K13" s="330"/>
      <c r="L13" s="330"/>
    </row>
    <row r="14" spans="1:12" x14ac:dyDescent="0.2">
      <c r="A14" s="131"/>
      <c r="B14" s="330"/>
      <c r="C14" s="330"/>
      <c r="D14" s="330"/>
      <c r="E14" s="330"/>
      <c r="F14" s="330"/>
      <c r="G14" s="330"/>
      <c r="H14" s="330"/>
      <c r="I14" s="330"/>
      <c r="J14" s="330"/>
      <c r="K14" s="330"/>
      <c r="L14" s="330"/>
    </row>
    <row r="15" spans="1:12" x14ac:dyDescent="0.2">
      <c r="A15" s="131"/>
      <c r="B15" s="330"/>
      <c r="C15" s="330"/>
      <c r="D15" s="330"/>
      <c r="E15" s="330"/>
      <c r="F15" s="330"/>
      <c r="G15" s="330"/>
      <c r="H15" s="330"/>
      <c r="I15" s="330"/>
      <c r="J15" s="330"/>
      <c r="K15" s="330"/>
      <c r="L15" s="330"/>
    </row>
    <row r="16" spans="1:12" x14ac:dyDescent="0.2">
      <c r="A16" s="131"/>
      <c r="B16" s="330"/>
      <c r="C16" s="330"/>
      <c r="D16" s="330"/>
      <c r="E16" s="330"/>
      <c r="F16" s="330"/>
      <c r="G16" s="330"/>
      <c r="H16" s="330"/>
      <c r="I16" s="330"/>
      <c r="J16" s="330"/>
      <c r="K16" s="330"/>
      <c r="L16" s="330"/>
    </row>
    <row r="17" spans="1:12" x14ac:dyDescent="0.2">
      <c r="A17" s="131"/>
      <c r="B17" s="330"/>
      <c r="C17" s="330"/>
      <c r="D17" s="330"/>
      <c r="E17" s="330"/>
      <c r="F17" s="330"/>
      <c r="G17" s="330"/>
      <c r="H17" s="330"/>
      <c r="I17" s="330"/>
      <c r="J17" s="330"/>
      <c r="K17" s="330"/>
      <c r="L17" s="330"/>
    </row>
    <row r="18" spans="1:12" x14ac:dyDescent="0.2">
      <c r="A18" s="131"/>
      <c r="B18" s="330"/>
      <c r="C18" s="330"/>
      <c r="D18" s="330"/>
      <c r="E18" s="330"/>
      <c r="F18" s="330"/>
      <c r="G18" s="330"/>
      <c r="H18" s="330"/>
      <c r="I18" s="330"/>
      <c r="J18" s="330"/>
      <c r="K18" s="330"/>
      <c r="L18" s="330"/>
    </row>
    <row r="19" spans="1:12" x14ac:dyDescent="0.2">
      <c r="A19" s="131"/>
      <c r="B19" s="330"/>
      <c r="C19" s="330"/>
      <c r="D19" s="330"/>
      <c r="E19" s="330"/>
      <c r="F19" s="330"/>
      <c r="G19" s="330"/>
      <c r="H19" s="330"/>
      <c r="I19" s="330"/>
      <c r="J19" s="330"/>
      <c r="K19" s="330"/>
      <c r="L19" s="330"/>
    </row>
    <row r="20" spans="1:12" x14ac:dyDescent="0.2">
      <c r="A20" s="131"/>
      <c r="B20" s="330"/>
      <c r="C20" s="330"/>
      <c r="D20" s="330"/>
      <c r="E20" s="330"/>
      <c r="F20" s="330"/>
      <c r="G20" s="330"/>
      <c r="H20" s="330"/>
      <c r="I20" s="330"/>
      <c r="J20" s="330"/>
      <c r="K20" s="330"/>
      <c r="L20" s="330"/>
    </row>
    <row r="21" spans="1:12" x14ac:dyDescent="0.2">
      <c r="A21" s="131"/>
      <c r="B21" s="330"/>
      <c r="C21" s="330"/>
      <c r="D21" s="330"/>
      <c r="E21" s="330"/>
      <c r="F21" s="330"/>
      <c r="G21" s="330"/>
      <c r="H21" s="330"/>
      <c r="I21" s="330"/>
      <c r="J21" s="330"/>
      <c r="K21" s="330"/>
      <c r="L21" s="330"/>
    </row>
    <row r="22" spans="1:12" x14ac:dyDescent="0.2">
      <c r="A22" s="131"/>
      <c r="B22" s="330"/>
      <c r="C22" s="330"/>
      <c r="D22" s="330"/>
      <c r="E22" s="330"/>
      <c r="F22" s="330"/>
      <c r="G22" s="330"/>
      <c r="H22" s="330"/>
      <c r="I22" s="330"/>
      <c r="J22" s="330"/>
      <c r="K22" s="330"/>
      <c r="L22" s="330"/>
    </row>
    <row r="23" spans="1:12" x14ac:dyDescent="0.2">
      <c r="A23" s="131"/>
    </row>
    <row r="24" spans="1:12" x14ac:dyDescent="0.2">
      <c r="A24" s="131"/>
    </row>
  </sheetData>
  <sheetProtection selectLockedCells="1"/>
  <mergeCells count="22">
    <mergeCell ref="A1:L1"/>
    <mergeCell ref="A2:L2"/>
    <mergeCell ref="B3:L3"/>
    <mergeCell ref="B4:L4"/>
    <mergeCell ref="B5:L5"/>
    <mergeCell ref="B6:L6"/>
    <mergeCell ref="B7:L7"/>
    <mergeCell ref="B8:L8"/>
    <mergeCell ref="B9:L9"/>
    <mergeCell ref="B10:L10"/>
    <mergeCell ref="B11:L11"/>
    <mergeCell ref="B12:L12"/>
    <mergeCell ref="B19:L19"/>
    <mergeCell ref="B20:L20"/>
    <mergeCell ref="B21:L21"/>
    <mergeCell ref="B22:L22"/>
    <mergeCell ref="B13:L13"/>
    <mergeCell ref="B14:L14"/>
    <mergeCell ref="B15:L15"/>
    <mergeCell ref="B16:L16"/>
    <mergeCell ref="B17:L17"/>
    <mergeCell ref="B18:L18"/>
  </mergeCells>
  <printOptions horizontalCentered="1" gridLines="1"/>
  <pageMargins left="0.75" right="0.75" top="1" bottom="1" header="0.5" footer="0.5"/>
  <pageSetup paperSize="9" orientation="landscape" r:id="rId1"/>
  <headerFooter alignWithMargins="0">
    <oddHeader>&amp;LAppLabs Technologies&amp;RPID-Test Estimation</oddHeader>
    <oddFooter>&amp;LTemplate ID - PMP-T25
Proprietary &amp; Confidential&amp;RPage &amp;P of &amp;N
V 1.1</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B1:J54"/>
  <sheetViews>
    <sheetView showGridLines="0" tabSelected="1" topLeftCell="A37" zoomScaleNormal="100" workbookViewId="0">
      <selection activeCell="H40" sqref="H40"/>
    </sheetView>
  </sheetViews>
  <sheetFormatPr defaultRowHeight="12.75" x14ac:dyDescent="0.2"/>
  <cols>
    <col min="1" max="1" width="5.5703125" style="210" customWidth="1"/>
    <col min="2" max="2" width="4.42578125" style="209" customWidth="1"/>
    <col min="3" max="3" width="46.5703125" style="210" bestFit="1" customWidth="1"/>
    <col min="4" max="4" width="20.85546875" style="210" bestFit="1" customWidth="1"/>
    <col min="5" max="5" width="18" style="210" customWidth="1"/>
    <col min="6" max="6" width="24.28515625" style="210" customWidth="1"/>
    <col min="7" max="7" width="15.7109375" style="210" customWidth="1"/>
    <col min="8" max="8" width="15.5703125" style="210" customWidth="1"/>
    <col min="9" max="9" width="10.7109375" style="210" customWidth="1"/>
    <col min="10" max="10" width="12" style="210" customWidth="1"/>
    <col min="11" max="11" width="13" style="210" bestFit="1" customWidth="1"/>
    <col min="12" max="12" width="15.28515625" style="210" bestFit="1" customWidth="1"/>
    <col min="13" max="13" width="11.28515625" style="210" bestFit="1" customWidth="1"/>
    <col min="14" max="16384" width="9.140625" style="210"/>
  </cols>
  <sheetData>
    <row r="1" spans="3:10" ht="13.5" thickBot="1" x14ac:dyDescent="0.25"/>
    <row r="2" spans="3:10" x14ac:dyDescent="0.2">
      <c r="C2" s="344" t="s">
        <v>340</v>
      </c>
      <c r="D2" s="345"/>
      <c r="E2" s="345"/>
      <c r="F2" s="345"/>
      <c r="G2" s="345"/>
      <c r="H2" s="346"/>
    </row>
    <row r="3" spans="3:10" ht="17.25" customHeight="1" thickBot="1" x14ac:dyDescent="0.25">
      <c r="C3" s="347"/>
      <c r="D3" s="348"/>
      <c r="E3" s="348"/>
      <c r="F3" s="348"/>
      <c r="G3" s="348"/>
      <c r="H3" s="349"/>
    </row>
    <row r="6" spans="3:10" ht="13.5" thickBot="1" x14ac:dyDescent="0.25"/>
    <row r="7" spans="3:10" ht="15.75" customHeight="1" thickBot="1" x14ac:dyDescent="0.25">
      <c r="C7" s="211" t="s">
        <v>22</v>
      </c>
      <c r="D7" s="212"/>
      <c r="F7" s="355" t="s">
        <v>343</v>
      </c>
      <c r="G7" s="356"/>
      <c r="H7" s="357"/>
      <c r="I7" s="213"/>
    </row>
    <row r="8" spans="3:10" ht="16.5" customHeight="1" thickBot="1" x14ac:dyDescent="0.25">
      <c r="C8" s="214" t="s">
        <v>23</v>
      </c>
      <c r="D8" s="215" t="s">
        <v>90</v>
      </c>
      <c r="F8" s="216" t="s">
        <v>8</v>
      </c>
      <c r="G8" s="214" t="s">
        <v>7</v>
      </c>
      <c r="H8" s="215" t="s">
        <v>37</v>
      </c>
    </row>
    <row r="9" spans="3:10" ht="13.5" thickBot="1" x14ac:dyDescent="0.25">
      <c r="C9" s="217" t="s">
        <v>318</v>
      </c>
      <c r="D9" s="269">
        <v>1</v>
      </c>
      <c r="F9" s="272">
        <f>Details!D$9</f>
        <v>80</v>
      </c>
      <c r="G9" s="273">
        <f>Details!C$9</f>
        <v>50</v>
      </c>
      <c r="H9" s="274">
        <f>Details!B$9</f>
        <v>70</v>
      </c>
    </row>
    <row r="10" spans="3:10" ht="13.5" thickBot="1" x14ac:dyDescent="0.25">
      <c r="C10" s="217" t="s">
        <v>316</v>
      </c>
      <c r="D10" s="270">
        <f>Details!B1</f>
        <v>200</v>
      </c>
      <c r="E10" s="218"/>
      <c r="I10" s="213"/>
    </row>
    <row r="11" spans="3:10" ht="13.5" thickBot="1" x14ac:dyDescent="0.25">
      <c r="C11" s="219" t="s">
        <v>317</v>
      </c>
      <c r="D11" s="271">
        <f>ROUND(D10/D9,0)</f>
        <v>200</v>
      </c>
      <c r="E11" s="218"/>
      <c r="F11" s="355" t="s">
        <v>346</v>
      </c>
      <c r="G11" s="356"/>
      <c r="H11" s="357"/>
      <c r="I11" s="213"/>
    </row>
    <row r="12" spans="3:10" ht="13.5" thickBot="1" x14ac:dyDescent="0.25">
      <c r="C12" s="220"/>
      <c r="D12" s="221"/>
      <c r="F12" s="216" t="s">
        <v>8</v>
      </c>
      <c r="G12" s="214" t="s">
        <v>7</v>
      </c>
      <c r="H12" s="215" t="s">
        <v>37</v>
      </c>
    </row>
    <row r="13" spans="3:10" ht="24.75" customHeight="1" thickBot="1" x14ac:dyDescent="0.3">
      <c r="C13" s="222" t="s">
        <v>319</v>
      </c>
      <c r="D13" s="223"/>
      <c r="F13" s="272">
        <v>30</v>
      </c>
      <c r="G13" s="273">
        <v>20</v>
      </c>
      <c r="H13" s="274">
        <v>10</v>
      </c>
      <c r="I13" s="224"/>
      <c r="J13" s="225"/>
    </row>
    <row r="14" spans="3:10" ht="29.25" customHeight="1" thickBot="1" x14ac:dyDescent="0.25">
      <c r="C14" s="214" t="s">
        <v>26</v>
      </c>
      <c r="D14" s="215" t="s">
        <v>353</v>
      </c>
      <c r="F14" s="226"/>
      <c r="G14" s="226"/>
      <c r="H14" s="226"/>
      <c r="I14" s="226"/>
      <c r="J14" s="226"/>
    </row>
    <row r="15" spans="3:10" ht="80.25" customHeight="1" thickBot="1" x14ac:dyDescent="0.25">
      <c r="C15" s="227" t="s">
        <v>341</v>
      </c>
      <c r="D15" s="228">
        <v>60</v>
      </c>
      <c r="F15" s="229"/>
      <c r="G15" s="229"/>
      <c r="H15" s="229"/>
      <c r="I15" s="229"/>
      <c r="J15" s="230"/>
    </row>
    <row r="16" spans="3:10" x14ac:dyDescent="0.2">
      <c r="C16" s="231"/>
      <c r="D16" s="232"/>
    </row>
    <row r="17" spans="3:8" ht="13.5" thickBot="1" x14ac:dyDescent="0.25">
      <c r="C17" s="231"/>
      <c r="D17" s="232"/>
    </row>
    <row r="18" spans="3:8" ht="18.75" customHeight="1" thickBot="1" x14ac:dyDescent="0.25">
      <c r="C18" s="233" t="s">
        <v>320</v>
      </c>
      <c r="D18" s="234"/>
    </row>
    <row r="19" spans="3:8" ht="27" customHeight="1" thickBot="1" x14ac:dyDescent="0.25">
      <c r="C19" s="214" t="s">
        <v>139</v>
      </c>
      <c r="D19" s="215" t="s">
        <v>353</v>
      </c>
    </row>
    <row r="20" spans="3:8" ht="51.75" thickBot="1" x14ac:dyDescent="0.25">
      <c r="C20" s="235" t="s">
        <v>342</v>
      </c>
      <c r="D20" s="236">
        <v>120</v>
      </c>
    </row>
    <row r="21" spans="3:8" x14ac:dyDescent="0.2">
      <c r="C21" s="231"/>
      <c r="D21" s="232"/>
    </row>
    <row r="22" spans="3:8" ht="13.5" thickBot="1" x14ac:dyDescent="0.25">
      <c r="C22" s="231"/>
      <c r="D22" s="232"/>
    </row>
    <row r="23" spans="3:8" ht="26.25" thickBot="1" x14ac:dyDescent="0.25">
      <c r="C23" s="275" t="s">
        <v>97</v>
      </c>
      <c r="D23" s="276"/>
      <c r="E23" s="276"/>
      <c r="F23" s="276"/>
      <c r="G23" s="237"/>
      <c r="H23" s="238"/>
    </row>
    <row r="24" spans="3:8" ht="26.25" thickBot="1" x14ac:dyDescent="0.25">
      <c r="C24" s="277" t="s">
        <v>34</v>
      </c>
      <c r="D24" s="277" t="s">
        <v>344</v>
      </c>
      <c r="E24" s="277" t="s">
        <v>134</v>
      </c>
      <c r="F24" s="277" t="s">
        <v>345</v>
      </c>
      <c r="H24" s="238"/>
    </row>
    <row r="25" spans="3:8" ht="13.5" thickBot="1" x14ac:dyDescent="0.25">
      <c r="C25" s="278" t="s">
        <v>8</v>
      </c>
      <c r="D25" s="272">
        <f>Details!D$9</f>
        <v>80</v>
      </c>
      <c r="E25" s="279">
        <v>4</v>
      </c>
      <c r="F25" s="279">
        <f>ROUND((D$25/2),0)</f>
        <v>40</v>
      </c>
      <c r="H25" s="238"/>
    </row>
    <row r="26" spans="3:8" ht="13.5" thickBot="1" x14ac:dyDescent="0.25">
      <c r="C26" s="280" t="s">
        <v>7</v>
      </c>
      <c r="D26" s="281">
        <f>Details!C$9</f>
        <v>50</v>
      </c>
      <c r="E26" s="282">
        <v>2.66</v>
      </c>
      <c r="F26" s="279">
        <f>ROUND((D$26/3),0)</f>
        <v>17</v>
      </c>
      <c r="H26" s="238"/>
    </row>
    <row r="27" spans="3:8" ht="13.5" thickBot="1" x14ac:dyDescent="0.25">
      <c r="C27" s="283" t="s">
        <v>37</v>
      </c>
      <c r="D27" s="284">
        <f>Details!B$9</f>
        <v>70</v>
      </c>
      <c r="E27" s="285">
        <v>1.33</v>
      </c>
      <c r="F27" s="279">
        <f>ROUND((D$27/6),0)</f>
        <v>12</v>
      </c>
      <c r="H27" s="238"/>
    </row>
    <row r="28" spans="3:8" ht="13.5" thickBot="1" x14ac:dyDescent="0.25">
      <c r="C28" s="341" t="s">
        <v>91</v>
      </c>
      <c r="D28" s="350"/>
      <c r="E28" s="351"/>
      <c r="F28" s="286">
        <f>SUM(F25:F27)</f>
        <v>69</v>
      </c>
      <c r="G28" s="238">
        <f>F28/D10</f>
        <v>0.34499999999999997</v>
      </c>
      <c r="H28" s="238">
        <f>F28/8/5/3</f>
        <v>0.57500000000000007</v>
      </c>
    </row>
    <row r="29" spans="3:8" ht="40.5" customHeight="1" thickBot="1" x14ac:dyDescent="0.25">
      <c r="C29" s="287" t="s">
        <v>312</v>
      </c>
      <c r="D29" s="287" t="s">
        <v>308</v>
      </c>
      <c r="E29" s="287">
        <v>0</v>
      </c>
      <c r="F29" s="288">
        <f>(F28*0.15)*E29</f>
        <v>0</v>
      </c>
      <c r="G29" s="238"/>
      <c r="H29" s="238"/>
    </row>
    <row r="30" spans="3:8" ht="39" thickBot="1" x14ac:dyDescent="0.25">
      <c r="C30" s="287" t="s">
        <v>311</v>
      </c>
      <c r="D30" s="289" t="s">
        <v>309</v>
      </c>
      <c r="E30" s="289">
        <v>0</v>
      </c>
      <c r="F30" s="288">
        <f>(F28*0.1)*E30</f>
        <v>0</v>
      </c>
      <c r="G30" s="238"/>
      <c r="H30" s="238"/>
    </row>
    <row r="31" spans="3:8" ht="15.75" thickBot="1" x14ac:dyDescent="0.3">
      <c r="C31" s="341" t="s">
        <v>310</v>
      </c>
      <c r="D31" s="342"/>
      <c r="E31" s="343"/>
      <c r="F31" s="288">
        <f>SUM(F28:F30)</f>
        <v>69</v>
      </c>
      <c r="G31" s="238"/>
      <c r="H31" s="238"/>
    </row>
    <row r="32" spans="3:8" x14ac:dyDescent="0.2">
      <c r="C32" s="239"/>
      <c r="D32" s="239"/>
      <c r="E32" s="239"/>
      <c r="F32" s="240"/>
      <c r="G32" s="238"/>
      <c r="H32" s="238"/>
    </row>
    <row r="33" spans="3:7" ht="13.5" thickBot="1" x14ac:dyDescent="0.25"/>
    <row r="34" spans="3:7" ht="26.25" thickBot="1" x14ac:dyDescent="0.25">
      <c r="C34" s="275" t="s">
        <v>96</v>
      </c>
      <c r="D34" s="276"/>
      <c r="E34" s="276"/>
      <c r="F34" s="276"/>
      <c r="G34" s="237"/>
    </row>
    <row r="35" spans="3:7" ht="43.5" customHeight="1" thickBot="1" x14ac:dyDescent="0.25">
      <c r="C35" s="290" t="s">
        <v>34</v>
      </c>
      <c r="D35" s="277" t="s">
        <v>344</v>
      </c>
      <c r="E35" s="291" t="s">
        <v>35</v>
      </c>
      <c r="F35" s="291" t="s">
        <v>36</v>
      </c>
    </row>
    <row r="36" spans="3:7" x14ac:dyDescent="0.2">
      <c r="C36" s="280" t="s">
        <v>8</v>
      </c>
      <c r="D36" s="292">
        <f>Details!D9</f>
        <v>80</v>
      </c>
      <c r="E36" s="282">
        <f>1/6</f>
        <v>0.16666666666666666</v>
      </c>
      <c r="F36" s="282">
        <f>D36*E36</f>
        <v>13.333333333333332</v>
      </c>
    </row>
    <row r="37" spans="3:7" x14ac:dyDescent="0.2">
      <c r="C37" s="280" t="s">
        <v>7</v>
      </c>
      <c r="D37" s="281">
        <f>Details!C$9</f>
        <v>50</v>
      </c>
      <c r="E37" s="282">
        <f>1/8</f>
        <v>0.125</v>
      </c>
      <c r="F37" s="282">
        <f>D37*E37</f>
        <v>6.25</v>
      </c>
    </row>
    <row r="38" spans="3:7" ht="13.5" thickBot="1" x14ac:dyDescent="0.25">
      <c r="C38" s="283" t="s">
        <v>37</v>
      </c>
      <c r="D38" s="284">
        <f>Details!B$9</f>
        <v>70</v>
      </c>
      <c r="E38" s="285">
        <f>1/10</f>
        <v>0.1</v>
      </c>
      <c r="F38" s="285">
        <f>D38*E38</f>
        <v>7</v>
      </c>
    </row>
    <row r="39" spans="3:7" ht="24.75" customHeight="1" thickBot="1" x14ac:dyDescent="0.25">
      <c r="C39" s="352" t="str">
        <f>"Total effort for Functional scenarios script execution, debugging and result analysis for "&amp; (E29+1) &amp; " Browsers  and " &amp; (E30+1) &amp; " OS"</f>
        <v>Total effort for Functional scenarios script execution, debugging and result analysis for 1 Browsers  and 1 OS</v>
      </c>
      <c r="D39" s="353"/>
      <c r="E39" s="354"/>
      <c r="F39" s="293">
        <f>SUM(F36:F38)*(E29+1)*(E30+1)</f>
        <v>26.583333333333332</v>
      </c>
    </row>
    <row r="41" spans="3:7" ht="13.5" thickBot="1" x14ac:dyDescent="0.25"/>
    <row r="42" spans="3:7" ht="13.5" thickBot="1" x14ac:dyDescent="0.25">
      <c r="C42" s="242" t="s">
        <v>47</v>
      </c>
    </row>
    <row r="43" spans="3:7" ht="55.5" customHeight="1" thickBot="1" x14ac:dyDescent="0.25">
      <c r="C43" s="214" t="s">
        <v>48</v>
      </c>
      <c r="D43" s="215" t="s">
        <v>347</v>
      </c>
      <c r="E43" s="243" t="s">
        <v>152</v>
      </c>
      <c r="F43" s="241" t="s">
        <v>273</v>
      </c>
      <c r="G43" s="241" t="s">
        <v>305</v>
      </c>
    </row>
    <row r="44" spans="3:7" x14ac:dyDescent="0.2">
      <c r="C44" s="244" t="s">
        <v>319</v>
      </c>
      <c r="D44" s="245">
        <f>ROUND(D15,0)</f>
        <v>60</v>
      </c>
      <c r="E44" s="246">
        <v>2</v>
      </c>
      <c r="F44" s="247" t="s">
        <v>338</v>
      </c>
      <c r="G44" s="248">
        <f>(D44/E44)/8</f>
        <v>3.75</v>
      </c>
    </row>
    <row r="45" spans="3:7" x14ac:dyDescent="0.2">
      <c r="C45" s="249" t="s">
        <v>334</v>
      </c>
      <c r="D45" s="250">
        <f>ROUND(D20,0)</f>
        <v>120</v>
      </c>
      <c r="E45" s="251">
        <v>2</v>
      </c>
      <c r="F45" s="247" t="s">
        <v>338</v>
      </c>
      <c r="G45" s="248">
        <f>(D45/E45)/8</f>
        <v>7.5</v>
      </c>
    </row>
    <row r="46" spans="3:7" x14ac:dyDescent="0.2">
      <c r="C46" s="252" t="s">
        <v>92</v>
      </c>
      <c r="D46" s="250">
        <f>ROUND(F31,0)</f>
        <v>69</v>
      </c>
      <c r="E46" s="253">
        <v>6</v>
      </c>
      <c r="F46" s="247" t="s">
        <v>339</v>
      </c>
      <c r="G46" s="248">
        <f>(D46/E46)/8</f>
        <v>1.4375</v>
      </c>
    </row>
    <row r="47" spans="3:7" ht="13.5" customHeight="1" x14ac:dyDescent="0.2">
      <c r="C47" s="254" t="s">
        <v>304</v>
      </c>
      <c r="D47" s="250">
        <f>ROUND(F39,0)</f>
        <v>27</v>
      </c>
      <c r="E47" s="253">
        <v>6</v>
      </c>
      <c r="F47" s="247" t="s">
        <v>339</v>
      </c>
      <c r="G47" s="248">
        <f>(D47/E47)/8</f>
        <v>0.5625</v>
      </c>
    </row>
    <row r="48" spans="3:7" ht="13.5" thickBot="1" x14ac:dyDescent="0.25">
      <c r="C48" s="255" t="s">
        <v>53</v>
      </c>
      <c r="D48" s="256">
        <f>SUM(D44:D47)</f>
        <v>276</v>
      </c>
      <c r="E48" s="257"/>
      <c r="F48" s="258"/>
      <c r="G48" s="259">
        <f>SUM(G44:G47)</f>
        <v>13.25</v>
      </c>
    </row>
    <row r="49" spans="3:9" ht="13.5" thickBot="1" x14ac:dyDescent="0.25">
      <c r="E49" s="260"/>
      <c r="H49" s="261"/>
      <c r="I49" s="261"/>
    </row>
    <row r="50" spans="3:9" x14ac:dyDescent="0.2">
      <c r="C50" s="262" t="s">
        <v>95</v>
      </c>
      <c r="D50" s="263">
        <f>ROUNDUP(D48/8,0)</f>
        <v>35</v>
      </c>
      <c r="E50" s="260"/>
      <c r="F50" s="264" t="s">
        <v>153</v>
      </c>
      <c r="H50" s="261"/>
      <c r="I50" s="261"/>
    </row>
    <row r="51" spans="3:9" ht="13.5" thickBot="1" x14ac:dyDescent="0.25">
      <c r="C51" s="265" t="s">
        <v>336</v>
      </c>
      <c r="D51" s="266">
        <f>D50/21</f>
        <v>1.6666666666666667</v>
      </c>
      <c r="E51" s="260"/>
      <c r="F51" s="267" t="s">
        <v>337</v>
      </c>
      <c r="H51" s="261"/>
      <c r="I51" s="261"/>
    </row>
    <row r="52" spans="3:9" x14ac:dyDescent="0.2">
      <c r="F52" s="267" t="s">
        <v>335</v>
      </c>
    </row>
    <row r="53" spans="3:9" x14ac:dyDescent="0.2">
      <c r="E53" s="268"/>
      <c r="F53" s="267" t="s">
        <v>314</v>
      </c>
    </row>
    <row r="54" spans="3:9" x14ac:dyDescent="0.2">
      <c r="D54" s="268"/>
      <c r="F54" s="267" t="s">
        <v>313</v>
      </c>
    </row>
  </sheetData>
  <sheetProtection algorithmName="SHA-512" hashValue="p04hlwtr05bicWaq6eOv85GbNYKrZstfko+POLZm76TeeqDHqjd992VEfSFcmuSzg0/56rXvZ7PZLqS+D4/rtA==" saltValue="h0K6ZCT5u1aEKSXbso6gAQ==" spinCount="100000" sheet="1" objects="1" scenarios="1"/>
  <mergeCells count="6">
    <mergeCell ref="C31:E31"/>
    <mergeCell ref="C2:H3"/>
    <mergeCell ref="C28:E28"/>
    <mergeCell ref="C39:E39"/>
    <mergeCell ref="F7:H7"/>
    <mergeCell ref="F11:H11"/>
  </mergeCells>
  <phoneticPr fontId="14" type="noConversion"/>
  <conditionalFormatting sqref="D44:D47">
    <cfRule type="dataBar" priority="10">
      <dataBar>
        <cfvo type="min"/>
        <cfvo type="max"/>
        <color rgb="FFC00000"/>
      </dataBar>
    </cfRule>
  </conditionalFormatting>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L30"/>
  <sheetViews>
    <sheetView workbookViewId="0">
      <selection activeCell="C28" sqref="C28"/>
    </sheetView>
  </sheetViews>
  <sheetFormatPr defaultRowHeight="15" x14ac:dyDescent="0.25"/>
  <cols>
    <col min="1" max="2" width="9.140625" style="135"/>
    <col min="3" max="3" width="28.42578125" style="135" bestFit="1" customWidth="1"/>
    <col min="4" max="4" width="10.42578125" style="135" customWidth="1"/>
    <col min="5" max="5" width="10.28515625" style="135" customWidth="1"/>
    <col min="6" max="6" width="8.85546875" style="135" customWidth="1"/>
    <col min="7" max="10" width="9.140625" style="135"/>
    <col min="11" max="11" width="12.7109375" style="135" bestFit="1" customWidth="1"/>
    <col min="12" max="12" width="9.85546875" style="135" bestFit="1" customWidth="1"/>
    <col min="13" max="16384" width="9.140625" style="135"/>
  </cols>
  <sheetData>
    <row r="2" spans="3:12" x14ac:dyDescent="0.25">
      <c r="C2" s="178" t="s">
        <v>268</v>
      </c>
      <c r="D2" s="358" t="s">
        <v>266</v>
      </c>
      <c r="E2" s="358"/>
      <c r="F2" s="358"/>
      <c r="G2" s="359" t="s">
        <v>267</v>
      </c>
      <c r="H2" s="359"/>
      <c r="I2" s="359"/>
      <c r="J2" s="359"/>
      <c r="K2" s="359"/>
      <c r="L2" s="359"/>
    </row>
    <row r="3" spans="3:12" x14ac:dyDescent="0.25">
      <c r="C3" s="172"/>
      <c r="D3" s="138" t="s">
        <v>85</v>
      </c>
      <c r="E3" s="139" t="s">
        <v>86</v>
      </c>
      <c r="F3" s="173" t="s">
        <v>108</v>
      </c>
      <c r="G3" s="362" t="s">
        <v>265</v>
      </c>
      <c r="H3" s="362"/>
      <c r="I3" s="362"/>
      <c r="J3" s="362"/>
      <c r="K3" s="362"/>
      <c r="L3" s="171" t="s">
        <v>87</v>
      </c>
    </row>
    <row r="4" spans="3:12" x14ac:dyDescent="0.25">
      <c r="C4" s="172"/>
      <c r="D4" s="161" t="s">
        <v>140</v>
      </c>
      <c r="E4" s="161" t="s">
        <v>141</v>
      </c>
      <c r="F4" s="161" t="s">
        <v>142</v>
      </c>
      <c r="G4" s="161" t="s">
        <v>143</v>
      </c>
      <c r="H4" s="161" t="s">
        <v>144</v>
      </c>
      <c r="I4" s="161" t="s">
        <v>145</v>
      </c>
      <c r="J4" s="161" t="s">
        <v>146</v>
      </c>
      <c r="K4" s="161" t="s">
        <v>147</v>
      </c>
      <c r="L4" s="161" t="s">
        <v>148</v>
      </c>
    </row>
    <row r="5" spans="3:12" x14ac:dyDescent="0.25">
      <c r="C5" s="137" t="s">
        <v>149</v>
      </c>
      <c r="D5" s="172">
        <v>2</v>
      </c>
      <c r="E5" s="172">
        <v>2</v>
      </c>
      <c r="F5" s="172">
        <v>3</v>
      </c>
      <c r="G5" s="172">
        <v>3</v>
      </c>
      <c r="H5" s="172">
        <v>3</v>
      </c>
      <c r="I5" s="172">
        <v>3</v>
      </c>
      <c r="J5" s="172">
        <v>3</v>
      </c>
      <c r="K5" s="172">
        <v>3</v>
      </c>
      <c r="L5" s="172">
        <v>1</v>
      </c>
    </row>
    <row r="6" spans="3:12" x14ac:dyDescent="0.25">
      <c r="C6" s="137" t="s">
        <v>150</v>
      </c>
      <c r="D6" s="172">
        <f>D5*8*5</f>
        <v>80</v>
      </c>
      <c r="E6" s="172">
        <f t="shared" ref="E6:L6" si="0">E5*8*5</f>
        <v>80</v>
      </c>
      <c r="F6" s="172">
        <f t="shared" si="0"/>
        <v>120</v>
      </c>
      <c r="G6" s="172">
        <f t="shared" si="0"/>
        <v>120</v>
      </c>
      <c r="H6" s="172">
        <f t="shared" si="0"/>
        <v>120</v>
      </c>
      <c r="I6" s="172">
        <f t="shared" si="0"/>
        <v>120</v>
      </c>
      <c r="J6" s="172">
        <f t="shared" si="0"/>
        <v>120</v>
      </c>
      <c r="K6" s="172">
        <f t="shared" si="0"/>
        <v>120</v>
      </c>
      <c r="L6" s="172">
        <f t="shared" si="0"/>
        <v>40</v>
      </c>
    </row>
    <row r="7" spans="3:12" x14ac:dyDescent="0.25">
      <c r="C7" s="137" t="s">
        <v>151</v>
      </c>
      <c r="D7" s="172">
        <f>D6</f>
        <v>80</v>
      </c>
      <c r="E7" s="172">
        <f>D7+E6</f>
        <v>160</v>
      </c>
      <c r="F7" s="172">
        <f t="shared" ref="F7:L7" si="1">E7+F6</f>
        <v>280</v>
      </c>
      <c r="G7" s="172">
        <f>F7+G6</f>
        <v>400</v>
      </c>
      <c r="H7" s="172">
        <f t="shared" si="1"/>
        <v>520</v>
      </c>
      <c r="I7" s="172">
        <f t="shared" si="1"/>
        <v>640</v>
      </c>
      <c r="J7" s="172">
        <f t="shared" si="1"/>
        <v>760</v>
      </c>
      <c r="K7" s="172">
        <f t="shared" si="1"/>
        <v>880</v>
      </c>
      <c r="L7" s="172">
        <f t="shared" si="1"/>
        <v>920</v>
      </c>
    </row>
    <row r="10" spans="3:12" x14ac:dyDescent="0.25">
      <c r="C10" s="136"/>
    </row>
    <row r="12" spans="3:12" x14ac:dyDescent="0.25">
      <c r="C12" s="178" t="s">
        <v>269</v>
      </c>
      <c r="D12" s="358" t="s">
        <v>266</v>
      </c>
      <c r="E12" s="358"/>
      <c r="F12" s="358"/>
      <c r="G12" s="363" t="s">
        <v>267</v>
      </c>
      <c r="H12" s="364"/>
      <c r="I12" s="364"/>
      <c r="J12" s="364"/>
      <c r="K12" s="365"/>
      <c r="L12" s="177"/>
    </row>
    <row r="13" spans="3:12" x14ac:dyDescent="0.25">
      <c r="C13" s="172"/>
      <c r="D13" s="138" t="s">
        <v>85</v>
      </c>
      <c r="E13" s="360" t="s">
        <v>270</v>
      </c>
      <c r="F13" s="361"/>
      <c r="G13" s="361"/>
      <c r="H13" s="362" t="s">
        <v>271</v>
      </c>
      <c r="I13" s="362"/>
      <c r="J13" s="362"/>
      <c r="K13" s="176" t="s">
        <v>272</v>
      </c>
      <c r="L13" s="174"/>
    </row>
    <row r="14" spans="3:12" x14ac:dyDescent="0.25">
      <c r="C14" s="172"/>
      <c r="D14" s="161" t="s">
        <v>140</v>
      </c>
      <c r="E14" s="161" t="s">
        <v>141</v>
      </c>
      <c r="F14" s="161" t="s">
        <v>142</v>
      </c>
      <c r="G14" s="161" t="s">
        <v>143</v>
      </c>
      <c r="H14" s="161" t="s">
        <v>144</v>
      </c>
      <c r="I14" s="161" t="s">
        <v>145</v>
      </c>
      <c r="J14" s="161" t="s">
        <v>146</v>
      </c>
      <c r="K14" s="161" t="s">
        <v>147</v>
      </c>
      <c r="L14" s="174"/>
    </row>
    <row r="15" spans="3:12" x14ac:dyDescent="0.25">
      <c r="C15" s="137" t="s">
        <v>149</v>
      </c>
      <c r="D15" s="172">
        <v>2</v>
      </c>
      <c r="E15" s="172">
        <v>3</v>
      </c>
      <c r="F15" s="172">
        <v>3</v>
      </c>
      <c r="G15" s="172">
        <v>3</v>
      </c>
      <c r="H15" s="172">
        <v>3</v>
      </c>
      <c r="I15" s="172">
        <v>3</v>
      </c>
      <c r="J15" s="172">
        <v>3</v>
      </c>
      <c r="K15" s="172">
        <v>1</v>
      </c>
      <c r="L15" s="175"/>
    </row>
    <row r="16" spans="3:12" x14ac:dyDescent="0.25">
      <c r="C16" s="137" t="s">
        <v>150</v>
      </c>
      <c r="D16" s="172">
        <f>D15*8*5</f>
        <v>80</v>
      </c>
      <c r="E16" s="172">
        <f t="shared" ref="E16:K16" si="2">E15*8*5</f>
        <v>120</v>
      </c>
      <c r="F16" s="172">
        <f t="shared" si="2"/>
        <v>120</v>
      </c>
      <c r="G16" s="172">
        <f t="shared" si="2"/>
        <v>120</v>
      </c>
      <c r="H16" s="172">
        <f t="shared" si="2"/>
        <v>120</v>
      </c>
      <c r="I16" s="172">
        <f t="shared" si="2"/>
        <v>120</v>
      </c>
      <c r="J16" s="172">
        <f t="shared" si="2"/>
        <v>120</v>
      </c>
      <c r="K16" s="172">
        <f t="shared" si="2"/>
        <v>40</v>
      </c>
      <c r="L16" s="175"/>
    </row>
    <row r="17" spans="3:12" x14ac:dyDescent="0.25">
      <c r="C17" s="137" t="s">
        <v>151</v>
      </c>
      <c r="D17" s="172">
        <f>D16</f>
        <v>80</v>
      </c>
      <c r="E17" s="172">
        <f t="shared" ref="E17:K17" si="3">D17+E16</f>
        <v>200</v>
      </c>
      <c r="F17" s="172">
        <f t="shared" si="3"/>
        <v>320</v>
      </c>
      <c r="G17" s="172">
        <f t="shared" si="3"/>
        <v>440</v>
      </c>
      <c r="H17" s="172">
        <f t="shared" si="3"/>
        <v>560</v>
      </c>
      <c r="I17" s="172">
        <f t="shared" si="3"/>
        <v>680</v>
      </c>
      <c r="J17" s="172">
        <f t="shared" si="3"/>
        <v>800</v>
      </c>
      <c r="K17" s="172">
        <f t="shared" si="3"/>
        <v>840</v>
      </c>
      <c r="L17" s="175"/>
    </row>
    <row r="18" spans="3:12" x14ac:dyDescent="0.25">
      <c r="H18" s="179"/>
      <c r="I18" s="179"/>
      <c r="J18" s="179"/>
    </row>
    <row r="19" spans="3:12" x14ac:dyDescent="0.25">
      <c r="H19" s="179"/>
      <c r="I19" s="179"/>
      <c r="J19" s="179"/>
    </row>
    <row r="21" spans="3:12" x14ac:dyDescent="0.25">
      <c r="F21" s="136"/>
    </row>
    <row r="22" spans="3:12" ht="18.75" x14ac:dyDescent="0.3">
      <c r="C22" s="186" t="s">
        <v>287</v>
      </c>
    </row>
    <row r="23" spans="3:12" ht="15.75" thickBot="1" x14ac:dyDescent="0.3"/>
    <row r="24" spans="3:12" ht="26.25" thickBot="1" x14ac:dyDescent="0.3">
      <c r="C24" s="180" t="s">
        <v>273</v>
      </c>
      <c r="D24" s="181" t="s">
        <v>274</v>
      </c>
      <c r="E24" s="181" t="s">
        <v>275</v>
      </c>
      <c r="F24" s="181" t="s">
        <v>276</v>
      </c>
      <c r="G24" s="181" t="s">
        <v>277</v>
      </c>
      <c r="H24" s="181" t="s">
        <v>278</v>
      </c>
      <c r="I24" s="181" t="s">
        <v>279</v>
      </c>
      <c r="J24" s="181" t="s">
        <v>280</v>
      </c>
    </row>
    <row r="25" spans="3:12" ht="15.75" thickBot="1" x14ac:dyDescent="0.3">
      <c r="C25" s="366" t="s">
        <v>281</v>
      </c>
      <c r="D25" s="366">
        <v>1</v>
      </c>
      <c r="E25" s="182" t="s">
        <v>282</v>
      </c>
      <c r="F25" s="182">
        <v>4</v>
      </c>
      <c r="G25" s="182">
        <v>20</v>
      </c>
      <c r="H25" s="182">
        <v>160</v>
      </c>
      <c r="I25" s="183">
        <v>90</v>
      </c>
      <c r="J25" s="183">
        <v>14400</v>
      </c>
      <c r="K25" s="187"/>
    </row>
    <row r="26" spans="3:12" ht="15.75" thickBot="1" x14ac:dyDescent="0.3">
      <c r="C26" s="367"/>
      <c r="D26" s="367"/>
      <c r="E26" s="182" t="s">
        <v>283</v>
      </c>
      <c r="F26" s="182">
        <v>4</v>
      </c>
      <c r="G26" s="182">
        <v>20</v>
      </c>
      <c r="H26" s="182">
        <v>170</v>
      </c>
      <c r="I26" s="183">
        <v>30</v>
      </c>
      <c r="J26" s="183">
        <v>5100</v>
      </c>
      <c r="K26" s="187"/>
    </row>
    <row r="27" spans="3:12" ht="15.75" thickBot="1" x14ac:dyDescent="0.3">
      <c r="C27" s="184" t="s">
        <v>284</v>
      </c>
      <c r="D27" s="182">
        <v>1</v>
      </c>
      <c r="E27" s="182" t="s">
        <v>283</v>
      </c>
      <c r="F27" s="182">
        <v>7</v>
      </c>
      <c r="G27" s="182">
        <v>35</v>
      </c>
      <c r="H27" s="182">
        <v>297.5</v>
      </c>
      <c r="I27" s="183">
        <v>24</v>
      </c>
      <c r="J27" s="183">
        <v>7140</v>
      </c>
      <c r="K27" s="187"/>
    </row>
    <row r="28" spans="3:12" ht="15.75" thickBot="1" x14ac:dyDescent="0.3">
      <c r="C28" s="184" t="s">
        <v>284</v>
      </c>
      <c r="D28" s="182">
        <v>1</v>
      </c>
      <c r="E28" s="182" t="s">
        <v>283</v>
      </c>
      <c r="F28" s="182">
        <v>6</v>
      </c>
      <c r="G28" s="182">
        <v>30</v>
      </c>
      <c r="H28" s="182">
        <v>255</v>
      </c>
      <c r="I28" s="183">
        <v>24</v>
      </c>
      <c r="J28" s="183">
        <v>6120</v>
      </c>
      <c r="K28" s="187"/>
    </row>
    <row r="29" spans="3:12" ht="15.75" thickBot="1" x14ac:dyDescent="0.3">
      <c r="C29" s="368" t="s">
        <v>285</v>
      </c>
      <c r="D29" s="369"/>
      <c r="E29" s="369"/>
      <c r="F29" s="369"/>
      <c r="G29" s="369"/>
      <c r="H29" s="369"/>
      <c r="I29" s="370"/>
      <c r="J29" s="183">
        <v>2500</v>
      </c>
    </row>
    <row r="30" spans="3:12" ht="15.75" thickBot="1" x14ac:dyDescent="0.3">
      <c r="C30" s="371" t="s">
        <v>286</v>
      </c>
      <c r="D30" s="372"/>
      <c r="E30" s="372"/>
      <c r="F30" s="372"/>
      <c r="G30" s="372"/>
      <c r="H30" s="372"/>
      <c r="I30" s="373"/>
      <c r="J30" s="185">
        <v>35260</v>
      </c>
    </row>
  </sheetData>
  <mergeCells count="11">
    <mergeCell ref="C25:C26"/>
    <mergeCell ref="D25:D26"/>
    <mergeCell ref="C29:I29"/>
    <mergeCell ref="C30:I30"/>
    <mergeCell ref="G3:K3"/>
    <mergeCell ref="D2:F2"/>
    <mergeCell ref="G2:L2"/>
    <mergeCell ref="D12:F12"/>
    <mergeCell ref="E13:G13"/>
    <mergeCell ref="H13:J13"/>
    <mergeCell ref="G12:K12"/>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K63"/>
  <sheetViews>
    <sheetView topLeftCell="E24" workbookViewId="0">
      <selection activeCell="I34" sqref="I34:I35"/>
    </sheetView>
  </sheetViews>
  <sheetFormatPr defaultColWidth="48.85546875" defaultRowHeight="15" x14ac:dyDescent="0.25"/>
  <cols>
    <col min="1" max="1" width="3.28515625" bestFit="1" customWidth="1"/>
    <col min="2" max="2" width="20.28515625" bestFit="1" customWidth="1"/>
    <col min="3" max="4" width="20.28515625" customWidth="1"/>
    <col min="5" max="5" width="20.140625" customWidth="1"/>
    <col min="6" max="6" width="18.140625" customWidth="1"/>
    <col min="7" max="7" width="36.140625" style="148" customWidth="1"/>
    <col min="8" max="8" width="26.42578125" customWidth="1"/>
    <col min="9" max="9" width="44.140625" style="148" customWidth="1"/>
  </cols>
  <sheetData>
    <row r="3" spans="1:11" ht="15.75" thickBot="1" x14ac:dyDescent="0.3">
      <c r="B3" s="152" t="s">
        <v>259</v>
      </c>
      <c r="C3" s="155"/>
      <c r="G3"/>
      <c r="I3"/>
    </row>
    <row r="4" spans="1:11" ht="15.75" thickBot="1" x14ac:dyDescent="0.3">
      <c r="B4" s="152" t="s">
        <v>154</v>
      </c>
      <c r="C4" s="155" t="s">
        <v>53</v>
      </c>
      <c r="E4" s="170" t="s">
        <v>261</v>
      </c>
      <c r="F4" s="168"/>
      <c r="G4" s="168"/>
      <c r="H4" s="169"/>
    </row>
    <row r="5" spans="1:11" x14ac:dyDescent="0.25">
      <c r="B5" s="151" t="s">
        <v>166</v>
      </c>
      <c r="C5" s="156">
        <v>9</v>
      </c>
      <c r="E5" s="135"/>
      <c r="F5" s="163" t="s">
        <v>37</v>
      </c>
      <c r="G5" s="163" t="s">
        <v>7</v>
      </c>
      <c r="H5" s="163" t="s">
        <v>8</v>
      </c>
    </row>
    <row r="6" spans="1:11" x14ac:dyDescent="0.25">
      <c r="B6" s="153" t="s">
        <v>198</v>
      </c>
      <c r="C6" s="157">
        <v>2</v>
      </c>
      <c r="E6" s="164" t="s">
        <v>262</v>
      </c>
      <c r="F6" s="165">
        <f>F7*$F$28</f>
        <v>0</v>
      </c>
      <c r="G6" s="165">
        <f>G7*$F$28</f>
        <v>0</v>
      </c>
      <c r="H6" s="165">
        <f>H7*$F$28</f>
        <v>0</v>
      </c>
    </row>
    <row r="7" spans="1:11" x14ac:dyDescent="0.25">
      <c r="B7" s="153" t="s">
        <v>181</v>
      </c>
      <c r="C7" s="157">
        <v>1</v>
      </c>
      <c r="E7" s="164" t="s">
        <v>263</v>
      </c>
      <c r="F7" s="166">
        <v>0.9</v>
      </c>
      <c r="G7" s="166">
        <v>0.05</v>
      </c>
      <c r="H7" s="166">
        <v>0.05</v>
      </c>
    </row>
    <row r="8" spans="1:11" x14ac:dyDescent="0.25">
      <c r="B8" s="153" t="s">
        <v>174</v>
      </c>
      <c r="C8" s="157">
        <v>3</v>
      </c>
      <c r="G8"/>
      <c r="I8"/>
    </row>
    <row r="9" spans="1:11" x14ac:dyDescent="0.25">
      <c r="B9" s="153" t="s">
        <v>160</v>
      </c>
      <c r="C9" s="157">
        <v>4</v>
      </c>
      <c r="G9"/>
      <c r="I9"/>
    </row>
    <row r="10" spans="1:11" x14ac:dyDescent="0.25">
      <c r="B10" s="153" t="s">
        <v>186</v>
      </c>
      <c r="C10" s="157">
        <v>1</v>
      </c>
      <c r="G10"/>
      <c r="I10"/>
    </row>
    <row r="11" spans="1:11" x14ac:dyDescent="0.25">
      <c r="B11" s="153" t="s">
        <v>257</v>
      </c>
      <c r="C11" s="157"/>
      <c r="G11"/>
      <c r="I11"/>
    </row>
    <row r="12" spans="1:11" x14ac:dyDescent="0.25">
      <c r="B12" s="154" t="s">
        <v>258</v>
      </c>
      <c r="C12" s="158">
        <v>20</v>
      </c>
      <c r="G12"/>
      <c r="I12"/>
    </row>
    <row r="13" spans="1:11" x14ac:dyDescent="0.25">
      <c r="G13"/>
      <c r="I13"/>
    </row>
    <row r="15" spans="1:11" ht="15.75" thickBot="1" x14ac:dyDescent="0.3"/>
    <row r="16" spans="1:11" ht="16.5" thickBot="1" x14ac:dyDescent="0.3">
      <c r="A16" s="140"/>
      <c r="B16" s="162" t="s">
        <v>260</v>
      </c>
      <c r="C16" s="162" t="s">
        <v>34</v>
      </c>
      <c r="D16" s="162" t="s">
        <v>264</v>
      </c>
      <c r="E16" s="167" t="s">
        <v>154</v>
      </c>
      <c r="F16" s="141" t="s">
        <v>155</v>
      </c>
      <c r="G16" s="149" t="s">
        <v>156</v>
      </c>
      <c r="H16" s="141" t="s">
        <v>157</v>
      </c>
      <c r="I16" s="149" t="s">
        <v>158</v>
      </c>
      <c r="J16" s="141" t="s">
        <v>159</v>
      </c>
      <c r="K16" s="142"/>
    </row>
    <row r="17" spans="1:11" ht="48" thickBot="1" x14ac:dyDescent="0.3">
      <c r="A17" s="143">
        <v>1</v>
      </c>
      <c r="B17" s="159"/>
      <c r="C17" s="159"/>
      <c r="D17" s="159"/>
      <c r="E17" s="144" t="s">
        <v>160</v>
      </c>
      <c r="F17" s="144" t="s">
        <v>161</v>
      </c>
      <c r="G17" s="150" t="s">
        <v>162</v>
      </c>
      <c r="H17" s="144" t="s">
        <v>163</v>
      </c>
      <c r="I17" s="150" t="s">
        <v>164</v>
      </c>
      <c r="J17" s="144" t="s">
        <v>165</v>
      </c>
      <c r="K17" s="142"/>
    </row>
    <row r="18" spans="1:11" ht="16.5" thickBot="1" x14ac:dyDescent="0.3">
      <c r="A18" s="377">
        <v>2</v>
      </c>
      <c r="B18" s="160"/>
      <c r="C18" s="160"/>
      <c r="D18" s="160"/>
      <c r="E18" s="380" t="s">
        <v>166</v>
      </c>
      <c r="F18" s="380" t="s">
        <v>161</v>
      </c>
      <c r="G18" s="374" t="s">
        <v>167</v>
      </c>
      <c r="H18" s="144" t="s">
        <v>168</v>
      </c>
      <c r="I18" s="374" t="s">
        <v>169</v>
      </c>
      <c r="J18" s="144" t="s">
        <v>170</v>
      </c>
      <c r="K18" s="142"/>
    </row>
    <row r="19" spans="1:11" ht="16.5" thickBot="1" x14ac:dyDescent="0.3">
      <c r="A19" s="378"/>
      <c r="B19" s="145"/>
      <c r="C19" s="146"/>
      <c r="D19" s="146"/>
      <c r="E19" s="381"/>
      <c r="F19" s="381"/>
      <c r="G19" s="375"/>
      <c r="H19" s="144" t="s">
        <v>163</v>
      </c>
      <c r="I19" s="375"/>
      <c r="J19" s="144" t="s">
        <v>171</v>
      </c>
      <c r="K19" s="142"/>
    </row>
    <row r="20" spans="1:11" ht="16.5" thickBot="1" x14ac:dyDescent="0.3">
      <c r="A20" s="378"/>
      <c r="B20" s="145"/>
      <c r="C20" s="146"/>
      <c r="D20" s="146"/>
      <c r="E20" s="381"/>
      <c r="F20" s="381"/>
      <c r="G20" s="375"/>
      <c r="H20" s="144"/>
      <c r="I20" s="375"/>
      <c r="J20" s="144"/>
      <c r="K20" s="142"/>
    </row>
    <row r="21" spans="1:11" ht="16.5" thickBot="1" x14ac:dyDescent="0.3">
      <c r="A21" s="378"/>
      <c r="B21" s="145"/>
      <c r="C21" s="146"/>
      <c r="D21" s="146"/>
      <c r="E21" s="381"/>
      <c r="F21" s="381"/>
      <c r="G21" s="375"/>
      <c r="H21" s="144"/>
      <c r="I21" s="375"/>
      <c r="J21" s="144" t="s">
        <v>172</v>
      </c>
      <c r="K21" s="142"/>
    </row>
    <row r="22" spans="1:11" ht="16.5" thickBot="1" x14ac:dyDescent="0.3">
      <c r="A22" s="379"/>
      <c r="B22" s="143"/>
      <c r="C22" s="147"/>
      <c r="D22" s="147"/>
      <c r="E22" s="382"/>
      <c r="F22" s="382"/>
      <c r="G22" s="376"/>
      <c r="H22" s="144"/>
      <c r="I22" s="376"/>
      <c r="J22" s="144" t="s">
        <v>173</v>
      </c>
      <c r="K22" s="142"/>
    </row>
    <row r="23" spans="1:11" ht="16.5" thickBot="1" x14ac:dyDescent="0.3">
      <c r="A23" s="377">
        <v>3</v>
      </c>
      <c r="B23" s="160"/>
      <c r="C23" s="160"/>
      <c r="D23" s="160"/>
      <c r="E23" s="380" t="s">
        <v>174</v>
      </c>
      <c r="F23" s="380" t="s">
        <v>161</v>
      </c>
      <c r="G23" s="374" t="s">
        <v>175</v>
      </c>
      <c r="H23" s="380" t="s">
        <v>168</v>
      </c>
      <c r="I23" s="374" t="s">
        <v>176</v>
      </c>
      <c r="J23" s="144" t="s">
        <v>177</v>
      </c>
      <c r="K23" s="142"/>
    </row>
    <row r="24" spans="1:11" ht="16.5" thickBot="1" x14ac:dyDescent="0.3">
      <c r="A24" s="378"/>
      <c r="B24" s="145"/>
      <c r="C24" s="146"/>
      <c r="D24" s="146"/>
      <c r="E24" s="381"/>
      <c r="F24" s="381"/>
      <c r="G24" s="375"/>
      <c r="H24" s="381"/>
      <c r="I24" s="375"/>
      <c r="J24" s="144" t="s">
        <v>178</v>
      </c>
      <c r="K24" s="142"/>
    </row>
    <row r="25" spans="1:11" ht="16.5" thickBot="1" x14ac:dyDescent="0.3">
      <c r="A25" s="378"/>
      <c r="B25" s="145"/>
      <c r="C25" s="146"/>
      <c r="D25" s="146"/>
      <c r="E25" s="381"/>
      <c r="F25" s="381"/>
      <c r="G25" s="375"/>
      <c r="H25" s="381"/>
      <c r="I25" s="375"/>
      <c r="J25" s="144" t="s">
        <v>179</v>
      </c>
      <c r="K25" s="142"/>
    </row>
    <row r="26" spans="1:11" ht="16.5" thickBot="1" x14ac:dyDescent="0.3">
      <c r="A26" s="379"/>
      <c r="B26" s="143"/>
      <c r="C26" s="147"/>
      <c r="D26" s="147"/>
      <c r="E26" s="382"/>
      <c r="F26" s="382"/>
      <c r="G26" s="376"/>
      <c r="H26" s="382"/>
      <c r="I26" s="376"/>
      <c r="J26" s="144" t="s">
        <v>180</v>
      </c>
      <c r="K26" s="142"/>
    </row>
    <row r="27" spans="1:11" ht="16.5" thickBot="1" x14ac:dyDescent="0.3">
      <c r="A27" s="377">
        <v>4</v>
      </c>
      <c r="B27" s="160"/>
      <c r="C27" s="160"/>
      <c r="D27" s="160"/>
      <c r="E27" s="380" t="s">
        <v>181</v>
      </c>
      <c r="F27" s="380" t="s">
        <v>161</v>
      </c>
      <c r="G27" s="374" t="s">
        <v>182</v>
      </c>
      <c r="H27" s="380" t="s">
        <v>168</v>
      </c>
      <c r="I27" s="374" t="s">
        <v>183</v>
      </c>
      <c r="J27" s="144" t="s">
        <v>184</v>
      </c>
      <c r="K27" s="142"/>
    </row>
    <row r="28" spans="1:11" ht="32.25" thickBot="1" x14ac:dyDescent="0.3">
      <c r="A28" s="379"/>
      <c r="B28" s="143"/>
      <c r="C28" s="147"/>
      <c r="D28" s="147"/>
      <c r="E28" s="382"/>
      <c r="F28" s="382"/>
      <c r="G28" s="376"/>
      <c r="H28" s="382"/>
      <c r="I28" s="376"/>
      <c r="J28" s="144" t="s">
        <v>185</v>
      </c>
      <c r="K28" s="142"/>
    </row>
    <row r="29" spans="1:11" ht="16.5" thickBot="1" x14ac:dyDescent="0.3">
      <c r="A29" s="377">
        <v>5</v>
      </c>
      <c r="B29" s="160"/>
      <c r="C29" s="160"/>
      <c r="D29" s="160"/>
      <c r="E29" s="380" t="s">
        <v>186</v>
      </c>
      <c r="F29" s="380" t="s">
        <v>187</v>
      </c>
      <c r="G29" s="374" t="s">
        <v>188</v>
      </c>
      <c r="H29" s="380" t="s">
        <v>189</v>
      </c>
      <c r="I29" s="374" t="s">
        <v>190</v>
      </c>
      <c r="J29" s="144" t="s">
        <v>191</v>
      </c>
      <c r="K29" s="142"/>
    </row>
    <row r="30" spans="1:11" ht="16.5" thickBot="1" x14ac:dyDescent="0.3">
      <c r="A30" s="379"/>
      <c r="B30" s="143"/>
      <c r="C30" s="147"/>
      <c r="D30" s="147"/>
      <c r="E30" s="382"/>
      <c r="F30" s="382"/>
      <c r="G30" s="376"/>
      <c r="H30" s="382"/>
      <c r="I30" s="376"/>
      <c r="J30" s="144" t="s">
        <v>192</v>
      </c>
      <c r="K30" s="142"/>
    </row>
    <row r="31" spans="1:11" ht="16.5" thickBot="1" x14ac:dyDescent="0.3">
      <c r="A31" s="377">
        <v>6</v>
      </c>
      <c r="B31" s="160"/>
      <c r="C31" s="160"/>
      <c r="D31" s="160"/>
      <c r="E31" s="380" t="s">
        <v>166</v>
      </c>
      <c r="F31" s="380" t="s">
        <v>161</v>
      </c>
      <c r="G31" s="374" t="s">
        <v>193</v>
      </c>
      <c r="H31" s="380" t="s">
        <v>168</v>
      </c>
      <c r="I31" s="374" t="s">
        <v>194</v>
      </c>
      <c r="J31" s="144" t="s">
        <v>195</v>
      </c>
      <c r="K31" s="142"/>
    </row>
    <row r="32" spans="1:11" ht="16.5" thickBot="1" x14ac:dyDescent="0.3">
      <c r="A32" s="378"/>
      <c r="B32" s="145"/>
      <c r="C32" s="146"/>
      <c r="D32" s="146"/>
      <c r="E32" s="381"/>
      <c r="F32" s="381"/>
      <c r="G32" s="375"/>
      <c r="H32" s="381"/>
      <c r="I32" s="375"/>
      <c r="J32" s="144" t="s">
        <v>196</v>
      </c>
      <c r="K32" s="142"/>
    </row>
    <row r="33" spans="1:11" ht="48" thickBot="1" x14ac:dyDescent="0.3">
      <c r="A33" s="379"/>
      <c r="B33" s="143"/>
      <c r="C33" s="147"/>
      <c r="D33" s="147"/>
      <c r="E33" s="382"/>
      <c r="F33" s="382"/>
      <c r="G33" s="376"/>
      <c r="H33" s="382"/>
      <c r="I33" s="376"/>
      <c r="J33" s="144" t="s">
        <v>197</v>
      </c>
      <c r="K33" s="142"/>
    </row>
    <row r="34" spans="1:11" ht="16.5" thickBot="1" x14ac:dyDescent="0.3">
      <c r="A34" s="377">
        <v>7</v>
      </c>
      <c r="B34" s="160"/>
      <c r="C34" s="160"/>
      <c r="D34" s="160"/>
      <c r="E34" s="380" t="s">
        <v>198</v>
      </c>
      <c r="F34" s="380" t="s">
        <v>187</v>
      </c>
      <c r="G34" s="374" t="s">
        <v>199</v>
      </c>
      <c r="H34" s="380" t="s">
        <v>168</v>
      </c>
      <c r="I34" s="374" t="s">
        <v>200</v>
      </c>
      <c r="J34" s="144" t="s">
        <v>201</v>
      </c>
      <c r="K34" s="142"/>
    </row>
    <row r="35" spans="1:11" ht="32.25" thickBot="1" x14ac:dyDescent="0.3">
      <c r="A35" s="379"/>
      <c r="B35" s="143"/>
      <c r="C35" s="147"/>
      <c r="D35" s="147"/>
      <c r="E35" s="382"/>
      <c r="F35" s="382"/>
      <c r="G35" s="376"/>
      <c r="H35" s="382"/>
      <c r="I35" s="376"/>
      <c r="J35" s="144" t="s">
        <v>202</v>
      </c>
      <c r="K35" s="142"/>
    </row>
    <row r="36" spans="1:11" ht="16.5" thickBot="1" x14ac:dyDescent="0.3">
      <c r="A36" s="377">
        <v>8</v>
      </c>
      <c r="B36" s="160"/>
      <c r="C36" s="160"/>
      <c r="D36" s="160"/>
      <c r="E36" s="380" t="s">
        <v>198</v>
      </c>
      <c r="F36" s="380" t="s">
        <v>161</v>
      </c>
      <c r="G36" s="374" t="s">
        <v>203</v>
      </c>
      <c r="H36" s="380" t="s">
        <v>168</v>
      </c>
      <c r="I36" s="374" t="s">
        <v>204</v>
      </c>
      <c r="J36" s="144" t="s">
        <v>205</v>
      </c>
      <c r="K36" s="142"/>
    </row>
    <row r="37" spans="1:11" ht="32.25" thickBot="1" x14ac:dyDescent="0.3">
      <c r="A37" s="379"/>
      <c r="B37" s="143"/>
      <c r="C37" s="147"/>
      <c r="D37" s="147"/>
      <c r="E37" s="382"/>
      <c r="F37" s="382"/>
      <c r="G37" s="376"/>
      <c r="H37" s="382"/>
      <c r="I37" s="376"/>
      <c r="J37" s="144" t="s">
        <v>206</v>
      </c>
      <c r="K37" s="142"/>
    </row>
    <row r="38" spans="1:11" ht="16.5" thickBot="1" x14ac:dyDescent="0.3">
      <c r="A38" s="377">
        <v>9</v>
      </c>
      <c r="B38" s="160"/>
      <c r="C38" s="160"/>
      <c r="D38" s="160"/>
      <c r="E38" s="380" t="s">
        <v>174</v>
      </c>
      <c r="F38" s="380" t="s">
        <v>161</v>
      </c>
      <c r="G38" s="374" t="s">
        <v>207</v>
      </c>
      <c r="H38" s="380" t="s">
        <v>168</v>
      </c>
      <c r="I38" s="374" t="s">
        <v>208</v>
      </c>
      <c r="J38" s="144" t="s">
        <v>209</v>
      </c>
      <c r="K38" s="142"/>
    </row>
    <row r="39" spans="1:11" ht="34.5" thickBot="1" x14ac:dyDescent="0.3">
      <c r="A39" s="378"/>
      <c r="B39" s="145"/>
      <c r="C39" s="146"/>
      <c r="D39" s="146"/>
      <c r="E39" s="381"/>
      <c r="F39" s="381"/>
      <c r="G39" s="375"/>
      <c r="H39" s="381"/>
      <c r="I39" s="375"/>
      <c r="J39" s="144" t="s">
        <v>210</v>
      </c>
      <c r="K39" s="142"/>
    </row>
    <row r="40" spans="1:11" ht="32.25" thickBot="1" x14ac:dyDescent="0.3">
      <c r="A40" s="379"/>
      <c r="B40" s="143"/>
      <c r="C40" s="147"/>
      <c r="D40" s="147"/>
      <c r="E40" s="382"/>
      <c r="F40" s="382"/>
      <c r="G40" s="376"/>
      <c r="H40" s="382"/>
      <c r="I40" s="376"/>
      <c r="J40" s="144" t="s">
        <v>211</v>
      </c>
      <c r="K40" s="142"/>
    </row>
    <row r="41" spans="1:11" ht="15.75" x14ac:dyDescent="0.25">
      <c r="A41" s="377">
        <v>10</v>
      </c>
      <c r="B41" s="160"/>
      <c r="C41" s="160"/>
      <c r="D41" s="160"/>
      <c r="E41" s="380" t="s">
        <v>166</v>
      </c>
      <c r="F41" s="380" t="s">
        <v>161</v>
      </c>
      <c r="G41" s="374" t="s">
        <v>212</v>
      </c>
      <c r="H41" s="380" t="s">
        <v>213</v>
      </c>
      <c r="I41" s="374" t="s">
        <v>214</v>
      </c>
      <c r="J41" s="380" t="s">
        <v>215</v>
      </c>
      <c r="K41" s="142"/>
    </row>
    <row r="42" spans="1:11" ht="16.5" thickBot="1" x14ac:dyDescent="0.3">
      <c r="A42" s="379"/>
      <c r="B42" s="143"/>
      <c r="C42" s="147"/>
      <c r="D42" s="147"/>
      <c r="E42" s="382"/>
      <c r="F42" s="382"/>
      <c r="G42" s="376"/>
      <c r="H42" s="382"/>
      <c r="I42" s="376"/>
      <c r="J42" s="382"/>
      <c r="K42" s="142"/>
    </row>
    <row r="43" spans="1:11" ht="15.75" x14ac:dyDescent="0.25">
      <c r="A43" s="377">
        <v>11</v>
      </c>
      <c r="B43" s="160"/>
      <c r="C43" s="160"/>
      <c r="D43" s="160"/>
      <c r="E43" s="380" t="s">
        <v>174</v>
      </c>
      <c r="F43" s="380" t="s">
        <v>161</v>
      </c>
      <c r="G43" s="374" t="s">
        <v>216</v>
      </c>
      <c r="H43" s="380" t="s">
        <v>163</v>
      </c>
      <c r="I43" s="374" t="s">
        <v>217</v>
      </c>
      <c r="J43" s="380" t="s">
        <v>218</v>
      </c>
      <c r="K43" s="142"/>
    </row>
    <row r="44" spans="1:11" ht="16.5" thickBot="1" x14ac:dyDescent="0.3">
      <c r="A44" s="379"/>
      <c r="B44" s="143"/>
      <c r="C44" s="147"/>
      <c r="D44" s="147"/>
      <c r="E44" s="382"/>
      <c r="F44" s="382"/>
      <c r="G44" s="376"/>
      <c r="H44" s="382"/>
      <c r="I44" s="376"/>
      <c r="J44" s="382"/>
      <c r="K44" s="142"/>
    </row>
    <row r="45" spans="1:11" ht="16.5" thickBot="1" x14ac:dyDescent="0.3">
      <c r="A45" s="377">
        <v>12</v>
      </c>
      <c r="B45" s="160"/>
      <c r="C45" s="160"/>
      <c r="D45" s="160"/>
      <c r="E45" s="380" t="s">
        <v>166</v>
      </c>
      <c r="F45" s="380" t="s">
        <v>161</v>
      </c>
      <c r="G45" s="374" t="s">
        <v>219</v>
      </c>
      <c r="H45" s="380" t="s">
        <v>163</v>
      </c>
      <c r="I45" s="374" t="s">
        <v>220</v>
      </c>
      <c r="J45" s="144" t="s">
        <v>221</v>
      </c>
      <c r="K45" s="142"/>
    </row>
    <row r="46" spans="1:11" ht="48" thickBot="1" x14ac:dyDescent="0.3">
      <c r="A46" s="379"/>
      <c r="B46" s="143"/>
      <c r="C46" s="147"/>
      <c r="D46" s="147"/>
      <c r="E46" s="382"/>
      <c r="F46" s="382"/>
      <c r="G46" s="376"/>
      <c r="H46" s="382"/>
      <c r="I46" s="376"/>
      <c r="J46" s="144" t="s">
        <v>222</v>
      </c>
      <c r="K46" s="142"/>
    </row>
    <row r="47" spans="1:11" ht="15.75" x14ac:dyDescent="0.25">
      <c r="A47" s="377">
        <v>13</v>
      </c>
      <c r="B47" s="160"/>
      <c r="C47" s="160"/>
      <c r="D47" s="160"/>
      <c r="E47" s="380" t="s">
        <v>166</v>
      </c>
      <c r="F47" s="380" t="s">
        <v>187</v>
      </c>
      <c r="G47" s="374" t="s">
        <v>223</v>
      </c>
      <c r="H47" s="380" t="s">
        <v>163</v>
      </c>
      <c r="I47" s="374" t="s">
        <v>224</v>
      </c>
      <c r="J47" s="380" t="s">
        <v>225</v>
      </c>
      <c r="K47" s="142"/>
    </row>
    <row r="48" spans="1:11" ht="16.5" thickBot="1" x14ac:dyDescent="0.3">
      <c r="A48" s="379"/>
      <c r="B48" s="143"/>
      <c r="C48" s="147"/>
      <c r="D48" s="147"/>
      <c r="E48" s="382"/>
      <c r="F48" s="382"/>
      <c r="G48" s="376"/>
      <c r="H48" s="382"/>
      <c r="I48" s="376"/>
      <c r="J48" s="382"/>
      <c r="K48" s="142"/>
    </row>
    <row r="49" spans="1:11" ht="16.5" thickBot="1" x14ac:dyDescent="0.3">
      <c r="A49" s="377">
        <v>14</v>
      </c>
      <c r="B49" s="160"/>
      <c r="C49" s="160"/>
      <c r="D49" s="160"/>
      <c r="E49" s="380" t="s">
        <v>166</v>
      </c>
      <c r="F49" s="380" t="s">
        <v>187</v>
      </c>
      <c r="G49" s="374" t="s">
        <v>226</v>
      </c>
      <c r="H49" s="380" t="s">
        <v>227</v>
      </c>
      <c r="I49" s="374" t="s">
        <v>228</v>
      </c>
      <c r="J49" s="144" t="s">
        <v>229</v>
      </c>
      <c r="K49" s="142"/>
    </row>
    <row r="50" spans="1:11" ht="16.5" thickBot="1" x14ac:dyDescent="0.3">
      <c r="A50" s="379"/>
      <c r="B50" s="143"/>
      <c r="C50" s="147"/>
      <c r="D50" s="147"/>
      <c r="E50" s="382"/>
      <c r="F50" s="382"/>
      <c r="G50" s="376"/>
      <c r="H50" s="382"/>
      <c r="I50" s="376"/>
      <c r="J50" s="144" t="s">
        <v>230</v>
      </c>
      <c r="K50" s="142"/>
    </row>
    <row r="51" spans="1:11" ht="16.5" thickBot="1" x14ac:dyDescent="0.3">
      <c r="A51" s="377">
        <v>15</v>
      </c>
      <c r="B51" s="160"/>
      <c r="C51" s="160"/>
      <c r="D51" s="160"/>
      <c r="E51" s="380" t="s">
        <v>166</v>
      </c>
      <c r="F51" s="380" t="s">
        <v>161</v>
      </c>
      <c r="G51" s="374" t="s">
        <v>231</v>
      </c>
      <c r="H51" s="380" t="s">
        <v>232</v>
      </c>
      <c r="I51" s="374" t="s">
        <v>233</v>
      </c>
      <c r="J51" s="144" t="s">
        <v>234</v>
      </c>
      <c r="K51" s="142"/>
    </row>
    <row r="52" spans="1:11" ht="16.5" thickBot="1" x14ac:dyDescent="0.3">
      <c r="A52" s="378"/>
      <c r="B52" s="145"/>
      <c r="C52" s="146"/>
      <c r="D52" s="146"/>
      <c r="E52" s="381"/>
      <c r="F52" s="381"/>
      <c r="G52" s="375"/>
      <c r="H52" s="381"/>
      <c r="I52" s="375"/>
      <c r="J52" s="144" t="s">
        <v>235</v>
      </c>
      <c r="K52" s="142"/>
    </row>
    <row r="53" spans="1:11" ht="16.5" thickBot="1" x14ac:dyDescent="0.3">
      <c r="A53" s="379"/>
      <c r="B53" s="143"/>
      <c r="C53" s="147"/>
      <c r="D53" s="147"/>
      <c r="E53" s="382"/>
      <c r="F53" s="382"/>
      <c r="G53" s="376"/>
      <c r="H53" s="382"/>
      <c r="I53" s="376"/>
      <c r="J53" s="144" t="s">
        <v>236</v>
      </c>
      <c r="K53" s="142"/>
    </row>
    <row r="54" spans="1:11" ht="16.5" thickBot="1" x14ac:dyDescent="0.3">
      <c r="A54" s="377">
        <v>16</v>
      </c>
      <c r="B54" s="160"/>
      <c r="C54" s="160"/>
      <c r="D54" s="160"/>
      <c r="E54" s="380" t="s">
        <v>166</v>
      </c>
      <c r="F54" s="380" t="s">
        <v>161</v>
      </c>
      <c r="G54" s="374" t="s">
        <v>237</v>
      </c>
      <c r="H54" s="380" t="s">
        <v>238</v>
      </c>
      <c r="I54" s="374" t="s">
        <v>239</v>
      </c>
      <c r="J54" s="144" t="s">
        <v>234</v>
      </c>
      <c r="K54" s="142"/>
    </row>
    <row r="55" spans="1:11" ht="16.5" thickBot="1" x14ac:dyDescent="0.3">
      <c r="A55" s="378"/>
      <c r="B55" s="145"/>
      <c r="C55" s="146"/>
      <c r="D55" s="146"/>
      <c r="E55" s="381"/>
      <c r="F55" s="381"/>
      <c r="G55" s="375"/>
      <c r="H55" s="381"/>
      <c r="I55" s="375"/>
      <c r="J55" s="144" t="s">
        <v>240</v>
      </c>
      <c r="K55" s="142"/>
    </row>
    <row r="56" spans="1:11" ht="16.5" thickBot="1" x14ac:dyDescent="0.3">
      <c r="A56" s="379"/>
      <c r="B56" s="143"/>
      <c r="C56" s="147"/>
      <c r="D56" s="147"/>
      <c r="E56" s="382"/>
      <c r="F56" s="382"/>
      <c r="G56" s="376"/>
      <c r="H56" s="382"/>
      <c r="I56" s="376"/>
      <c r="J56" s="144" t="s">
        <v>241</v>
      </c>
      <c r="K56" s="142"/>
    </row>
    <row r="57" spans="1:11" ht="79.5" thickBot="1" x14ac:dyDescent="0.3">
      <c r="A57" s="143">
        <v>17</v>
      </c>
      <c r="B57" s="159"/>
      <c r="C57" s="159"/>
      <c r="D57" s="159"/>
      <c r="E57" s="144" t="s">
        <v>166</v>
      </c>
      <c r="F57" s="144" t="s">
        <v>187</v>
      </c>
      <c r="G57" s="150" t="s">
        <v>242</v>
      </c>
      <c r="H57" s="144" t="s">
        <v>168</v>
      </c>
      <c r="I57" s="150" t="s">
        <v>243</v>
      </c>
      <c r="J57" s="144" t="s">
        <v>244</v>
      </c>
      <c r="K57" s="142"/>
    </row>
    <row r="58" spans="1:11" ht="48" thickBot="1" x14ac:dyDescent="0.3">
      <c r="A58" s="143">
        <v>18</v>
      </c>
      <c r="B58" s="159"/>
      <c r="C58" s="159"/>
      <c r="D58" s="159"/>
      <c r="E58" s="144" t="s">
        <v>160</v>
      </c>
      <c r="F58" s="144" t="s">
        <v>187</v>
      </c>
      <c r="G58" s="150" t="s">
        <v>245</v>
      </c>
      <c r="H58" s="144" t="s">
        <v>163</v>
      </c>
      <c r="I58" s="150" t="s">
        <v>246</v>
      </c>
      <c r="J58" s="144" t="s">
        <v>247</v>
      </c>
      <c r="K58" s="142"/>
    </row>
    <row r="59" spans="1:11" ht="48" thickBot="1" x14ac:dyDescent="0.3">
      <c r="A59" s="143">
        <v>19</v>
      </c>
      <c r="B59" s="159"/>
      <c r="C59" s="159"/>
      <c r="D59" s="159"/>
      <c r="E59" s="144" t="s">
        <v>160</v>
      </c>
      <c r="F59" s="144" t="s">
        <v>161</v>
      </c>
      <c r="G59" s="150" t="s">
        <v>248</v>
      </c>
      <c r="H59" s="144" t="s">
        <v>168</v>
      </c>
      <c r="I59" s="150" t="s">
        <v>249</v>
      </c>
      <c r="J59" s="144" t="s">
        <v>250</v>
      </c>
      <c r="K59" s="142"/>
    </row>
    <row r="60" spans="1:11" ht="16.5" thickBot="1" x14ac:dyDescent="0.3">
      <c r="A60" s="377">
        <v>20</v>
      </c>
      <c r="B60" s="160"/>
      <c r="C60" s="160"/>
      <c r="D60" s="160"/>
      <c r="E60" s="380" t="s">
        <v>160</v>
      </c>
      <c r="F60" s="380" t="s">
        <v>251</v>
      </c>
      <c r="G60" s="374" t="s">
        <v>252</v>
      </c>
      <c r="H60" s="380" t="s">
        <v>253</v>
      </c>
      <c r="I60" s="374" t="s">
        <v>254</v>
      </c>
      <c r="J60" s="144" t="s">
        <v>234</v>
      </c>
      <c r="K60" s="142"/>
    </row>
    <row r="61" spans="1:11" ht="16.5" thickBot="1" x14ac:dyDescent="0.3">
      <c r="A61" s="378"/>
      <c r="B61" s="145"/>
      <c r="C61" s="146"/>
      <c r="D61" s="146"/>
      <c r="E61" s="381"/>
      <c r="F61" s="381"/>
      <c r="G61" s="375"/>
      <c r="H61" s="381"/>
      <c r="I61" s="375"/>
      <c r="J61" s="144"/>
      <c r="K61" s="142"/>
    </row>
    <row r="62" spans="1:11" ht="16.5" thickBot="1" x14ac:dyDescent="0.3">
      <c r="A62" s="378"/>
      <c r="B62" s="145"/>
      <c r="C62" s="146"/>
      <c r="D62" s="146"/>
      <c r="E62" s="381"/>
      <c r="F62" s="381"/>
      <c r="G62" s="375"/>
      <c r="H62" s="381"/>
      <c r="I62" s="375"/>
      <c r="J62" s="144" t="s">
        <v>255</v>
      </c>
      <c r="K62" s="142"/>
    </row>
    <row r="63" spans="1:11" ht="32.25" thickBot="1" x14ac:dyDescent="0.3">
      <c r="A63" s="379"/>
      <c r="B63" s="143"/>
      <c r="C63" s="147"/>
      <c r="D63" s="147"/>
      <c r="E63" s="382"/>
      <c r="F63" s="382"/>
      <c r="G63" s="376"/>
      <c r="H63" s="382"/>
      <c r="I63" s="376"/>
      <c r="J63" s="144" t="s">
        <v>256</v>
      </c>
      <c r="K63" s="142"/>
    </row>
  </sheetData>
  <mergeCells count="98">
    <mergeCell ref="A18:A22"/>
    <mergeCell ref="E18:E22"/>
    <mergeCell ref="F18:F22"/>
    <mergeCell ref="G18:G22"/>
    <mergeCell ref="I18:I22"/>
    <mergeCell ref="I23:I26"/>
    <mergeCell ref="A27:A28"/>
    <mergeCell ref="E27:E28"/>
    <mergeCell ref="F27:F28"/>
    <mergeCell ref="G27:G28"/>
    <mergeCell ref="H27:H28"/>
    <mergeCell ref="I27:I28"/>
    <mergeCell ref="A23:A26"/>
    <mergeCell ref="E23:E26"/>
    <mergeCell ref="F23:F26"/>
    <mergeCell ref="G23:G26"/>
    <mergeCell ref="H23:H26"/>
    <mergeCell ref="I29:I30"/>
    <mergeCell ref="A31:A33"/>
    <mergeCell ref="E31:E33"/>
    <mergeCell ref="F31:F33"/>
    <mergeCell ref="G31:G33"/>
    <mergeCell ref="H31:H33"/>
    <mergeCell ref="I31:I33"/>
    <mergeCell ref="A29:A30"/>
    <mergeCell ref="E29:E30"/>
    <mergeCell ref="F29:F30"/>
    <mergeCell ref="G29:G30"/>
    <mergeCell ref="H29:H30"/>
    <mergeCell ref="I38:I40"/>
    <mergeCell ref="I34:I35"/>
    <mergeCell ref="A36:A37"/>
    <mergeCell ref="E36:E37"/>
    <mergeCell ref="F36:F37"/>
    <mergeCell ref="G36:G37"/>
    <mergeCell ref="H36:H37"/>
    <mergeCell ref="I36:I37"/>
    <mergeCell ref="A34:A35"/>
    <mergeCell ref="E34:E35"/>
    <mergeCell ref="F34:F35"/>
    <mergeCell ref="G34:G35"/>
    <mergeCell ref="H34:H35"/>
    <mergeCell ref="A38:A40"/>
    <mergeCell ref="E38:E40"/>
    <mergeCell ref="F38:F40"/>
    <mergeCell ref="G38:G40"/>
    <mergeCell ref="H38:H40"/>
    <mergeCell ref="I45:I46"/>
    <mergeCell ref="J41:J42"/>
    <mergeCell ref="A43:A44"/>
    <mergeCell ref="E43:E44"/>
    <mergeCell ref="F43:F44"/>
    <mergeCell ref="G43:G44"/>
    <mergeCell ref="H43:H44"/>
    <mergeCell ref="I43:I44"/>
    <mergeCell ref="J43:J44"/>
    <mergeCell ref="A41:A42"/>
    <mergeCell ref="E41:E42"/>
    <mergeCell ref="F41:F42"/>
    <mergeCell ref="G41:G42"/>
    <mergeCell ref="H41:H42"/>
    <mergeCell ref="I41:I42"/>
    <mergeCell ref="A45:A46"/>
    <mergeCell ref="E45:E46"/>
    <mergeCell ref="F45:F46"/>
    <mergeCell ref="G45:G46"/>
    <mergeCell ref="H45:H46"/>
    <mergeCell ref="J47:J48"/>
    <mergeCell ref="A49:A50"/>
    <mergeCell ref="E49:E50"/>
    <mergeCell ref="F49:F50"/>
    <mergeCell ref="G49:G50"/>
    <mergeCell ref="H49:H50"/>
    <mergeCell ref="I49:I50"/>
    <mergeCell ref="A47:A48"/>
    <mergeCell ref="E47:E48"/>
    <mergeCell ref="F47:F48"/>
    <mergeCell ref="G47:G48"/>
    <mergeCell ref="H47:H48"/>
    <mergeCell ref="I47:I48"/>
    <mergeCell ref="I51:I53"/>
    <mergeCell ref="A54:A56"/>
    <mergeCell ref="E54:E56"/>
    <mergeCell ref="F54:F56"/>
    <mergeCell ref="G54:G56"/>
    <mergeCell ref="H54:H56"/>
    <mergeCell ref="I54:I56"/>
    <mergeCell ref="A51:A53"/>
    <mergeCell ref="E51:E53"/>
    <mergeCell ref="F51:F53"/>
    <mergeCell ref="G51:G53"/>
    <mergeCell ref="H51:H53"/>
    <mergeCell ref="I60:I63"/>
    <mergeCell ref="A60:A63"/>
    <mergeCell ref="E60:E63"/>
    <mergeCell ref="F60:F63"/>
    <mergeCell ref="G60:G63"/>
    <mergeCell ref="H60:H63"/>
  </mergeCell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5:J57"/>
  <sheetViews>
    <sheetView topLeftCell="A46" workbookViewId="0">
      <selection activeCell="E48" sqref="E48:E50"/>
    </sheetView>
  </sheetViews>
  <sheetFormatPr defaultRowHeight="15" x14ac:dyDescent="0.25"/>
  <cols>
    <col min="1" max="4" width="9.140625" style="135"/>
    <col min="5" max="5" width="16.140625" style="135" bestFit="1" customWidth="1"/>
    <col min="6" max="6" width="24.5703125" style="135" customWidth="1"/>
    <col min="7" max="16384" width="9.140625" style="135"/>
  </cols>
  <sheetData>
    <row r="5" spans="3:9" x14ac:dyDescent="0.25">
      <c r="C5" s="190" t="s">
        <v>289</v>
      </c>
    </row>
    <row r="6" spans="3:9" x14ac:dyDescent="0.25">
      <c r="D6" s="135" t="s">
        <v>294</v>
      </c>
      <c r="G6" s="135">
        <v>150</v>
      </c>
    </row>
    <row r="7" spans="3:9" x14ac:dyDescent="0.25">
      <c r="D7" s="135" t="s">
        <v>290</v>
      </c>
    </row>
    <row r="8" spans="3:9" x14ac:dyDescent="0.25">
      <c r="D8" s="135" t="s">
        <v>295</v>
      </c>
    </row>
    <row r="9" spans="3:9" x14ac:dyDescent="0.25">
      <c r="D9" s="135" t="s">
        <v>296</v>
      </c>
      <c r="I9" s="136"/>
    </row>
    <row r="10" spans="3:9" x14ac:dyDescent="0.25">
      <c r="I10" s="136"/>
    </row>
    <row r="13" spans="3:9" x14ac:dyDescent="0.25">
      <c r="E13" s="135" t="s">
        <v>288</v>
      </c>
      <c r="F13" s="135" t="s">
        <v>291</v>
      </c>
      <c r="G13" s="135" t="s">
        <v>292</v>
      </c>
    </row>
    <row r="14" spans="3:9" x14ac:dyDescent="0.25">
      <c r="D14" s="136" t="s">
        <v>8</v>
      </c>
      <c r="E14" s="135">
        <v>60</v>
      </c>
      <c r="F14" s="179">
        <v>30</v>
      </c>
      <c r="G14" s="135">
        <f>E14*F14</f>
        <v>1800</v>
      </c>
    </row>
    <row r="15" spans="3:9" x14ac:dyDescent="0.25">
      <c r="D15" s="136" t="s">
        <v>7</v>
      </c>
      <c r="E15" s="135">
        <v>45</v>
      </c>
      <c r="F15" s="179">
        <v>25</v>
      </c>
      <c r="G15" s="135">
        <f>E15*F15</f>
        <v>1125</v>
      </c>
    </row>
    <row r="16" spans="3:9" ht="15.75" thickBot="1" x14ac:dyDescent="0.3">
      <c r="D16" s="136" t="s">
        <v>37</v>
      </c>
      <c r="E16" s="135">
        <v>45</v>
      </c>
      <c r="F16" s="179">
        <v>20</v>
      </c>
      <c r="G16" s="135">
        <f>E16*F16</f>
        <v>900</v>
      </c>
    </row>
    <row r="17" spans="3:8" ht="15.75" thickBot="1" x14ac:dyDescent="0.3">
      <c r="D17" s="136" t="s">
        <v>299</v>
      </c>
      <c r="G17" s="189">
        <f>SUM(G14:G16)</f>
        <v>3825</v>
      </c>
    </row>
    <row r="18" spans="3:8" ht="15.75" thickBot="1" x14ac:dyDescent="0.3">
      <c r="G18" s="188"/>
    </row>
    <row r="19" spans="3:8" ht="15.75" thickBot="1" x14ac:dyDescent="0.3">
      <c r="D19" s="136" t="s">
        <v>297</v>
      </c>
      <c r="G19" s="189">
        <f>0.8*G17</f>
        <v>3060</v>
      </c>
      <c r="H19" s="135" t="s">
        <v>298</v>
      </c>
    </row>
    <row r="20" spans="3:8" x14ac:dyDescent="0.25">
      <c r="G20" s="188"/>
    </row>
    <row r="21" spans="3:8" x14ac:dyDescent="0.25">
      <c r="D21" s="136" t="s">
        <v>293</v>
      </c>
    </row>
    <row r="22" spans="3:8" x14ac:dyDescent="0.25">
      <c r="E22" s="179" t="s">
        <v>8</v>
      </c>
      <c r="F22" s="179" t="s">
        <v>7</v>
      </c>
      <c r="G22" s="179" t="s">
        <v>37</v>
      </c>
    </row>
    <row r="23" spans="3:8" x14ac:dyDescent="0.25">
      <c r="E23" s="179">
        <f>ROUND(G14/G17*100,0)</f>
        <v>47</v>
      </c>
      <c r="F23" s="179">
        <f>ROUND(G15/G17*100,0)</f>
        <v>29</v>
      </c>
      <c r="G23" s="179">
        <f>ROUND(G16/G17*100,0)</f>
        <v>24</v>
      </c>
    </row>
    <row r="28" spans="3:8" x14ac:dyDescent="0.25">
      <c r="C28" s="190" t="s">
        <v>300</v>
      </c>
      <c r="E28" s="135" t="s">
        <v>288</v>
      </c>
      <c r="F28" s="135">
        <v>150</v>
      </c>
    </row>
    <row r="30" spans="3:8" x14ac:dyDescent="0.25">
      <c r="E30" s="135" t="s">
        <v>288</v>
      </c>
      <c r="F30" s="135" t="s">
        <v>291</v>
      </c>
      <c r="G30" s="135" t="s">
        <v>292</v>
      </c>
    </row>
    <row r="31" spans="3:8" x14ac:dyDescent="0.25">
      <c r="D31" s="136" t="s">
        <v>8</v>
      </c>
      <c r="E31" s="135">
        <v>60</v>
      </c>
      <c r="F31" s="179">
        <v>40</v>
      </c>
      <c r="G31" s="135">
        <f>E31*F31</f>
        <v>2400</v>
      </c>
    </row>
    <row r="32" spans="3:8" x14ac:dyDescent="0.25">
      <c r="D32" s="136" t="s">
        <v>7</v>
      </c>
      <c r="E32" s="135">
        <v>45</v>
      </c>
      <c r="F32" s="179">
        <v>35</v>
      </c>
      <c r="G32" s="135">
        <f>E32*F32</f>
        <v>1575</v>
      </c>
    </row>
    <row r="33" spans="3:10" ht="15.75" thickBot="1" x14ac:dyDescent="0.3">
      <c r="D33" s="136" t="s">
        <v>37</v>
      </c>
      <c r="E33" s="135">
        <v>45</v>
      </c>
      <c r="F33" s="179">
        <v>30</v>
      </c>
      <c r="G33" s="135">
        <f>E33*F33</f>
        <v>1350</v>
      </c>
    </row>
    <row r="34" spans="3:10" ht="15.75" thickBot="1" x14ac:dyDescent="0.3">
      <c r="D34" s="136" t="s">
        <v>299</v>
      </c>
      <c r="G34" s="189">
        <f>SUM(G31:G33)</f>
        <v>5325</v>
      </c>
    </row>
    <row r="35" spans="3:10" ht="15.75" thickBot="1" x14ac:dyDescent="0.3">
      <c r="G35" s="188"/>
    </row>
    <row r="36" spans="3:10" ht="15.75" thickBot="1" x14ac:dyDescent="0.3">
      <c r="D36" s="136" t="s">
        <v>297</v>
      </c>
      <c r="G36" s="189">
        <f>0.8*G34</f>
        <v>4260</v>
      </c>
      <c r="H36" s="135" t="s">
        <v>298</v>
      </c>
    </row>
    <row r="37" spans="3:10" x14ac:dyDescent="0.25">
      <c r="G37" s="188"/>
      <c r="H37" s="135" t="s">
        <v>301</v>
      </c>
      <c r="J37" s="136">
        <f>0.2*G34</f>
        <v>1065</v>
      </c>
    </row>
    <row r="38" spans="3:10" x14ac:dyDescent="0.25">
      <c r="D38" s="136" t="s">
        <v>293</v>
      </c>
    </row>
    <row r="39" spans="3:10" x14ac:dyDescent="0.25">
      <c r="E39" s="179" t="s">
        <v>8</v>
      </c>
      <c r="F39" s="179" t="s">
        <v>7</v>
      </c>
      <c r="G39" s="179" t="s">
        <v>37</v>
      </c>
    </row>
    <row r="40" spans="3:10" x14ac:dyDescent="0.25">
      <c r="E40" s="179">
        <f>ROUND(G31/G34*100,0)</f>
        <v>45</v>
      </c>
      <c r="F40" s="179">
        <f>ROUND(G32/G34*100,0)</f>
        <v>30</v>
      </c>
      <c r="G40" s="179">
        <f>ROUND(G33/G34*100,0)</f>
        <v>25</v>
      </c>
    </row>
    <row r="45" spans="3:10" x14ac:dyDescent="0.25">
      <c r="C45" s="190" t="s">
        <v>302</v>
      </c>
      <c r="E45" s="135" t="s">
        <v>288</v>
      </c>
      <c r="F45" s="135">
        <v>150</v>
      </c>
    </row>
    <row r="47" spans="3:10" x14ac:dyDescent="0.25">
      <c r="E47" s="135" t="s">
        <v>288</v>
      </c>
      <c r="F47" s="135" t="s">
        <v>291</v>
      </c>
      <c r="G47" s="135" t="s">
        <v>292</v>
      </c>
    </row>
    <row r="48" spans="3:10" x14ac:dyDescent="0.25">
      <c r="D48" s="136" t="s">
        <v>8</v>
      </c>
      <c r="E48" s="191">
        <f>F45*0.4</f>
        <v>60</v>
      </c>
      <c r="F48" s="179">
        <v>40</v>
      </c>
      <c r="G48" s="135">
        <f>E48*F48</f>
        <v>2400</v>
      </c>
    </row>
    <row r="49" spans="4:8" x14ac:dyDescent="0.25">
      <c r="D49" s="136" t="s">
        <v>7</v>
      </c>
      <c r="E49" s="135">
        <v>45</v>
      </c>
      <c r="F49" s="179">
        <v>35</v>
      </c>
      <c r="G49" s="135">
        <f>E49*F49</f>
        <v>1575</v>
      </c>
    </row>
    <row r="50" spans="4:8" ht="15.75" thickBot="1" x14ac:dyDescent="0.3">
      <c r="D50" s="136" t="s">
        <v>37</v>
      </c>
      <c r="E50" s="192">
        <f>0.3*F45</f>
        <v>45</v>
      </c>
      <c r="F50" s="179">
        <v>30</v>
      </c>
      <c r="G50" s="135">
        <f>E50*F50</f>
        <v>1350</v>
      </c>
    </row>
    <row r="51" spans="4:8" ht="15.75" thickBot="1" x14ac:dyDescent="0.3">
      <c r="D51" s="136" t="s">
        <v>299</v>
      </c>
      <c r="G51" s="189">
        <f>SUM(G48:G50)</f>
        <v>5325</v>
      </c>
    </row>
    <row r="52" spans="4:8" ht="15.75" thickBot="1" x14ac:dyDescent="0.3">
      <c r="G52" s="188"/>
    </row>
    <row r="53" spans="4:8" ht="15.75" thickBot="1" x14ac:dyDescent="0.3">
      <c r="D53" s="136" t="s">
        <v>297</v>
      </c>
      <c r="G53" s="189">
        <f>0.8*G51</f>
        <v>4260</v>
      </c>
      <c r="H53" s="135" t="s">
        <v>298</v>
      </c>
    </row>
    <row r="54" spans="4:8" x14ac:dyDescent="0.25">
      <c r="G54" s="188"/>
      <c r="H54" s="135" t="s">
        <v>301</v>
      </c>
    </row>
    <row r="55" spans="4:8" x14ac:dyDescent="0.25">
      <c r="D55" s="136" t="s">
        <v>293</v>
      </c>
    </row>
    <row r="56" spans="4:8" x14ac:dyDescent="0.25">
      <c r="E56" s="179" t="s">
        <v>8</v>
      </c>
      <c r="F56" s="179" t="s">
        <v>7</v>
      </c>
      <c r="G56" s="179" t="s">
        <v>37</v>
      </c>
    </row>
    <row r="57" spans="4:8" x14ac:dyDescent="0.25">
      <c r="E57" s="193">
        <v>40</v>
      </c>
      <c r="F57" s="193">
        <v>40</v>
      </c>
      <c r="G57" s="193">
        <v>20</v>
      </c>
      <c r="H57" s="135" t="s">
        <v>303</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zoomScale="115" zoomScaleNormal="115" workbookViewId="0">
      <pane xSplit="1" ySplit="2" topLeftCell="B3" activePane="bottomRight" state="frozen"/>
      <selection pane="topRight" activeCell="B1" sqref="B1"/>
      <selection pane="bottomLeft" activeCell="A3" sqref="A3"/>
      <selection pane="bottomRight" activeCell="E12" sqref="E12"/>
    </sheetView>
  </sheetViews>
  <sheetFormatPr defaultRowHeight="12.75" x14ac:dyDescent="0.25"/>
  <cols>
    <col min="1" max="1" width="27.85546875" style="202" customWidth="1"/>
    <col min="2" max="2" width="11.140625" style="202" customWidth="1"/>
    <col min="3" max="3" width="13.7109375" style="202" customWidth="1"/>
    <col min="4" max="4" width="15.7109375" style="202" customWidth="1"/>
    <col min="5" max="5" width="13.7109375" style="202" customWidth="1"/>
    <col min="6" max="6" width="13.42578125" style="202" customWidth="1"/>
    <col min="7" max="7" width="11.28515625" style="202" customWidth="1"/>
    <col min="8" max="8" width="11" style="202" bestFit="1" customWidth="1"/>
    <col min="9" max="9" width="23.28515625" style="202" customWidth="1"/>
    <col min="10" max="10" width="11.42578125" style="202" customWidth="1"/>
    <col min="11" max="11" width="16.28515625" style="202" customWidth="1"/>
    <col min="12" max="12" width="16.5703125" style="202" bestFit="1" customWidth="1"/>
    <col min="13" max="13" width="20.28515625" style="202" bestFit="1" customWidth="1"/>
    <col min="14" max="16384" width="9.140625" style="202"/>
  </cols>
  <sheetData>
    <row r="1" spans="1:10" ht="37.5" customHeight="1" x14ac:dyDescent="0.25">
      <c r="A1" s="200" t="s">
        <v>333</v>
      </c>
      <c r="B1" s="208">
        <f>E9</f>
        <v>200</v>
      </c>
      <c r="C1" s="201"/>
      <c r="D1" s="201"/>
      <c r="E1" s="201"/>
    </row>
    <row r="2" spans="1:10" ht="25.5" x14ac:dyDescent="0.25">
      <c r="A2" s="203" t="s">
        <v>321</v>
      </c>
      <c r="B2" s="203" t="s">
        <v>324</v>
      </c>
      <c r="C2" s="203" t="s">
        <v>323</v>
      </c>
      <c r="D2" s="203" t="s">
        <v>325</v>
      </c>
      <c r="E2" s="203" t="s">
        <v>53</v>
      </c>
      <c r="G2" s="194" t="s">
        <v>37</v>
      </c>
      <c r="H2" s="194" t="s">
        <v>7</v>
      </c>
      <c r="I2" s="194" t="s">
        <v>8</v>
      </c>
      <c r="J2" s="194" t="s">
        <v>332</v>
      </c>
    </row>
    <row r="3" spans="1:10" x14ac:dyDescent="0.25">
      <c r="A3" s="204" t="s">
        <v>322</v>
      </c>
      <c r="B3" s="205">
        <v>15</v>
      </c>
      <c r="C3" s="205">
        <v>15</v>
      </c>
      <c r="D3" s="205">
        <v>15</v>
      </c>
      <c r="E3" s="207">
        <f>SUM(B3:D3)</f>
        <v>45</v>
      </c>
      <c r="F3" s="201"/>
      <c r="G3" s="195">
        <f>B3*10</f>
        <v>150</v>
      </c>
      <c r="H3" s="195">
        <f>C3*20</f>
        <v>300</v>
      </c>
      <c r="I3" s="195">
        <f>D3*30</f>
        <v>450</v>
      </c>
      <c r="J3" s="195">
        <f>ROUND(SUM(G3:I3)/60,0)</f>
        <v>15</v>
      </c>
    </row>
    <row r="4" spans="1:10" x14ac:dyDescent="0.25">
      <c r="A4" s="204" t="s">
        <v>326</v>
      </c>
      <c r="B4" s="205">
        <v>10</v>
      </c>
      <c r="C4" s="205">
        <v>5</v>
      </c>
      <c r="D4" s="205">
        <v>15</v>
      </c>
      <c r="E4" s="207">
        <f t="shared" ref="E4:E8" si="0">SUM(B4:D4)</f>
        <v>30</v>
      </c>
      <c r="F4" s="201"/>
      <c r="G4" s="195">
        <f t="shared" ref="G4:G8" si="1">B4*10</f>
        <v>100</v>
      </c>
      <c r="H4" s="195">
        <f t="shared" ref="H4:H8" si="2">C4*20</f>
        <v>100</v>
      </c>
      <c r="I4" s="195">
        <f t="shared" ref="I4:I8" si="3">D4*30</f>
        <v>450</v>
      </c>
      <c r="J4" s="195">
        <f>ROUND(SUM(G4:I4)/60,0)</f>
        <v>11</v>
      </c>
    </row>
    <row r="5" spans="1:10" x14ac:dyDescent="0.25">
      <c r="A5" s="204" t="s">
        <v>327</v>
      </c>
      <c r="B5" s="205">
        <v>10</v>
      </c>
      <c r="C5" s="205">
        <v>5</v>
      </c>
      <c r="D5" s="205">
        <v>15</v>
      </c>
      <c r="E5" s="207">
        <f t="shared" si="0"/>
        <v>30</v>
      </c>
      <c r="F5" s="201"/>
      <c r="G5" s="195">
        <f t="shared" si="1"/>
        <v>100</v>
      </c>
      <c r="H5" s="195">
        <f>C5*20</f>
        <v>100</v>
      </c>
      <c r="I5" s="195">
        <f t="shared" si="3"/>
        <v>450</v>
      </c>
      <c r="J5" s="195">
        <f t="shared" ref="J5:J9" si="4">ROUND(SUM(G5:I5)/60,0)</f>
        <v>11</v>
      </c>
    </row>
    <row r="6" spans="1:10" x14ac:dyDescent="0.25">
      <c r="A6" s="204" t="s">
        <v>328</v>
      </c>
      <c r="B6" s="205">
        <v>0</v>
      </c>
      <c r="C6" s="205">
        <v>0</v>
      </c>
      <c r="D6" s="205">
        <v>10</v>
      </c>
      <c r="E6" s="207">
        <f t="shared" si="0"/>
        <v>10</v>
      </c>
      <c r="F6" s="201"/>
      <c r="G6" s="195">
        <f t="shared" si="1"/>
        <v>0</v>
      </c>
      <c r="H6" s="195">
        <f t="shared" si="2"/>
        <v>0</v>
      </c>
      <c r="I6" s="195">
        <f t="shared" si="3"/>
        <v>300</v>
      </c>
      <c r="J6" s="195">
        <f t="shared" si="4"/>
        <v>5</v>
      </c>
    </row>
    <row r="7" spans="1:10" x14ac:dyDescent="0.25">
      <c r="A7" s="204" t="s">
        <v>329</v>
      </c>
      <c r="B7" s="205">
        <v>15</v>
      </c>
      <c r="C7" s="205">
        <v>15</v>
      </c>
      <c r="D7" s="205">
        <v>10</v>
      </c>
      <c r="E7" s="207">
        <f t="shared" si="0"/>
        <v>40</v>
      </c>
      <c r="F7" s="201"/>
      <c r="G7" s="195">
        <f t="shared" si="1"/>
        <v>150</v>
      </c>
      <c r="H7" s="195">
        <f t="shared" si="2"/>
        <v>300</v>
      </c>
      <c r="I7" s="195">
        <f t="shared" si="3"/>
        <v>300</v>
      </c>
      <c r="J7" s="195">
        <f t="shared" si="4"/>
        <v>13</v>
      </c>
    </row>
    <row r="8" spans="1:10" x14ac:dyDescent="0.25">
      <c r="A8" s="204" t="s">
        <v>330</v>
      </c>
      <c r="B8" s="205">
        <v>20</v>
      </c>
      <c r="C8" s="205">
        <v>10</v>
      </c>
      <c r="D8" s="205">
        <v>15</v>
      </c>
      <c r="E8" s="207">
        <f t="shared" si="0"/>
        <v>45</v>
      </c>
      <c r="F8" s="201"/>
      <c r="G8" s="195">
        <f t="shared" si="1"/>
        <v>200</v>
      </c>
      <c r="H8" s="195">
        <f t="shared" si="2"/>
        <v>200</v>
      </c>
      <c r="I8" s="195">
        <f t="shared" si="3"/>
        <v>450</v>
      </c>
      <c r="J8" s="195">
        <f t="shared" si="4"/>
        <v>14</v>
      </c>
    </row>
    <row r="9" spans="1:10" x14ac:dyDescent="0.25">
      <c r="A9" s="206" t="s">
        <v>53</v>
      </c>
      <c r="B9" s="206">
        <f>SUM(B3:B8)</f>
        <v>70</v>
      </c>
      <c r="C9" s="206">
        <f t="shared" ref="C9:D9" si="5">SUM(C3:C8)</f>
        <v>50</v>
      </c>
      <c r="D9" s="206">
        <f t="shared" si="5"/>
        <v>80</v>
      </c>
      <c r="E9" s="196">
        <f>SUM(E3:E8)</f>
        <v>200</v>
      </c>
      <c r="F9" s="201"/>
      <c r="G9" s="196">
        <f>SUM(G3:G8)</f>
        <v>700</v>
      </c>
      <c r="H9" s="196">
        <f>SUM(H3:H8)</f>
        <v>1000</v>
      </c>
      <c r="I9" s="196">
        <f>SUM(I3:I8)</f>
        <v>2400</v>
      </c>
      <c r="J9" s="195">
        <f t="shared" si="4"/>
        <v>68</v>
      </c>
    </row>
    <row r="10" spans="1:10" x14ac:dyDescent="0.25">
      <c r="G10" s="194"/>
      <c r="H10" s="194"/>
      <c r="I10" s="197" t="s">
        <v>331</v>
      </c>
      <c r="J10" s="194">
        <f>J9</f>
        <v>68</v>
      </c>
    </row>
    <row r="12" spans="1:10" x14ac:dyDescent="0.25">
      <c r="G12" s="198" t="s">
        <v>34</v>
      </c>
      <c r="H12" s="198" t="s">
        <v>306</v>
      </c>
      <c r="I12" s="198" t="s">
        <v>307</v>
      </c>
      <c r="J12" s="199"/>
    </row>
    <row r="13" spans="1:10" x14ac:dyDescent="0.25">
      <c r="G13" s="199" t="s">
        <v>37</v>
      </c>
      <c r="H13" s="195">
        <f>B9</f>
        <v>70</v>
      </c>
      <c r="I13" s="195">
        <v>1.33</v>
      </c>
      <c r="J13" s="195">
        <f>ROUND(H13/6,0)</f>
        <v>12</v>
      </c>
    </row>
    <row r="14" spans="1:10" x14ac:dyDescent="0.25">
      <c r="G14" s="199" t="s">
        <v>7</v>
      </c>
      <c r="H14" s="195">
        <f>C9</f>
        <v>50</v>
      </c>
      <c r="I14" s="195">
        <v>2.66</v>
      </c>
      <c r="J14" s="195">
        <f>ROUND(H14/3,0)</f>
        <v>17</v>
      </c>
    </row>
    <row r="15" spans="1:10" x14ac:dyDescent="0.25">
      <c r="G15" s="199" t="s">
        <v>8</v>
      </c>
      <c r="H15" s="195">
        <f>D9</f>
        <v>80</v>
      </c>
      <c r="I15" s="195">
        <v>4</v>
      </c>
      <c r="J15" s="195">
        <f>ROUND(H15/2,0)</f>
        <v>40</v>
      </c>
    </row>
    <row r="16" spans="1:10" x14ac:dyDescent="0.25">
      <c r="G16" s="197" t="s">
        <v>53</v>
      </c>
      <c r="H16" s="194">
        <f>SUM(H13:H15)</f>
        <v>200</v>
      </c>
      <c r="I16" s="197" t="s">
        <v>331</v>
      </c>
      <c r="J16" s="194">
        <f t="shared" ref="J16" si="6">SUM(J13:J15)</f>
        <v>69</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1:H13"/>
  <sheetViews>
    <sheetView showGridLines="0" topLeftCell="A4" workbookViewId="0">
      <selection activeCell="L12" sqref="L12"/>
    </sheetView>
  </sheetViews>
  <sheetFormatPr defaultRowHeight="15" x14ac:dyDescent="0.25"/>
  <cols>
    <col min="8" max="8" width="56.28515625" customWidth="1"/>
  </cols>
  <sheetData>
    <row r="1" spans="2:8" ht="15.75" thickBot="1" x14ac:dyDescent="0.3"/>
    <row r="2" spans="2:8" ht="15.75" thickBot="1" x14ac:dyDescent="0.3">
      <c r="B2" s="386" t="s">
        <v>70</v>
      </c>
      <c r="C2" s="387"/>
      <c r="D2" s="387"/>
      <c r="E2" s="387"/>
      <c r="F2" s="387"/>
      <c r="G2" s="387"/>
      <c r="H2" s="388"/>
    </row>
    <row r="3" spans="2:8" x14ac:dyDescent="0.25">
      <c r="B3" s="389" t="s">
        <v>348</v>
      </c>
      <c r="C3" s="390"/>
      <c r="D3" s="390"/>
      <c r="E3" s="390"/>
      <c r="F3" s="390"/>
      <c r="G3" s="390"/>
      <c r="H3" s="391"/>
    </row>
    <row r="4" spans="2:8" x14ac:dyDescent="0.25">
      <c r="B4" s="389" t="s">
        <v>94</v>
      </c>
      <c r="C4" s="390"/>
      <c r="D4" s="390"/>
      <c r="E4" s="390"/>
      <c r="F4" s="390"/>
      <c r="G4" s="390"/>
      <c r="H4" s="391"/>
    </row>
    <row r="5" spans="2:8" x14ac:dyDescent="0.25">
      <c r="B5" s="395" t="s">
        <v>88</v>
      </c>
      <c r="C5" s="396"/>
      <c r="D5" s="396"/>
      <c r="E5" s="396"/>
      <c r="F5" s="396"/>
      <c r="G5" s="396"/>
      <c r="H5" s="397"/>
    </row>
    <row r="6" spans="2:8" x14ac:dyDescent="0.25">
      <c r="B6" s="395" t="s">
        <v>89</v>
      </c>
      <c r="C6" s="390"/>
      <c r="D6" s="390"/>
      <c r="E6" s="390"/>
      <c r="F6" s="390"/>
      <c r="G6" s="390"/>
      <c r="H6" s="391"/>
    </row>
    <row r="7" spans="2:8" ht="15" customHeight="1" x14ac:dyDescent="0.25">
      <c r="B7" s="395" t="s">
        <v>315</v>
      </c>
      <c r="C7" s="398"/>
      <c r="D7" s="398"/>
      <c r="E7" s="398"/>
      <c r="F7" s="398"/>
      <c r="G7" s="398"/>
      <c r="H7" s="399"/>
    </row>
    <row r="8" spans="2:8" ht="15" customHeight="1" x14ac:dyDescent="0.25">
      <c r="B8" s="395" t="s">
        <v>93</v>
      </c>
      <c r="C8" s="398"/>
      <c r="D8" s="398"/>
      <c r="E8" s="398"/>
      <c r="F8" s="398"/>
      <c r="G8" s="398"/>
      <c r="H8" s="399"/>
    </row>
    <row r="9" spans="2:8" x14ac:dyDescent="0.25">
      <c r="B9" s="395" t="s">
        <v>135</v>
      </c>
      <c r="C9" s="396"/>
      <c r="D9" s="396"/>
      <c r="E9" s="396"/>
      <c r="F9" s="396"/>
      <c r="G9" s="396"/>
      <c r="H9" s="397"/>
    </row>
    <row r="10" spans="2:8" x14ac:dyDescent="0.25">
      <c r="B10" s="392" t="s">
        <v>349</v>
      </c>
      <c r="C10" s="393"/>
      <c r="D10" s="393"/>
      <c r="E10" s="393"/>
      <c r="F10" s="393"/>
      <c r="G10" s="393"/>
      <c r="H10" s="394"/>
    </row>
    <row r="11" spans="2:8" ht="15.75" thickBot="1" x14ac:dyDescent="0.3">
      <c r="B11" s="383" t="s">
        <v>350</v>
      </c>
      <c r="C11" s="384"/>
      <c r="D11" s="384"/>
      <c r="E11" s="384"/>
      <c r="F11" s="384"/>
      <c r="G11" s="384"/>
      <c r="H11" s="385"/>
    </row>
    <row r="12" spans="2:8" ht="105" customHeight="1" thickBot="1" x14ac:dyDescent="0.3">
      <c r="B12" s="383" t="s">
        <v>352</v>
      </c>
      <c r="C12" s="384"/>
      <c r="D12" s="384"/>
      <c r="E12" s="384"/>
      <c r="F12" s="384"/>
      <c r="G12" s="384"/>
      <c r="H12" s="385"/>
    </row>
    <row r="13" spans="2:8" ht="58.5" customHeight="1" thickBot="1" x14ac:dyDescent="0.3">
      <c r="B13" s="383" t="s">
        <v>351</v>
      </c>
      <c r="C13" s="384"/>
      <c r="D13" s="384"/>
      <c r="E13" s="384"/>
      <c r="F13" s="384"/>
      <c r="G13" s="384"/>
      <c r="H13" s="385"/>
    </row>
  </sheetData>
  <mergeCells count="12">
    <mergeCell ref="B12:H12"/>
    <mergeCell ref="B13:H13"/>
    <mergeCell ref="B2:H2"/>
    <mergeCell ref="B3:H3"/>
    <mergeCell ref="B10:H10"/>
    <mergeCell ref="B9:H9"/>
    <mergeCell ref="B4:H4"/>
    <mergeCell ref="B5:H5"/>
    <mergeCell ref="B7:H7"/>
    <mergeCell ref="B6:H6"/>
    <mergeCell ref="B8:H8"/>
    <mergeCell ref="B11:H11"/>
  </mergeCells>
  <phoneticPr fontId="1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vt:i4>
      </vt:variant>
    </vt:vector>
  </HeadingPairs>
  <TitlesOfParts>
    <vt:vector size="14" baseType="lpstr">
      <vt:lpstr>3 Point Estimates</vt:lpstr>
      <vt:lpstr>High Priority TCs Data</vt:lpstr>
      <vt:lpstr>High Priority TCs Estimations</vt:lpstr>
      <vt:lpstr>Help</vt:lpstr>
      <vt:lpstr>Summary</vt:lpstr>
      <vt:lpstr>Resource</vt:lpstr>
      <vt:lpstr>ManualTestCases</vt:lpstr>
      <vt:lpstr>Analysis</vt:lpstr>
      <vt:lpstr>Details</vt:lpstr>
      <vt:lpstr>Assumptions</vt:lpstr>
      <vt:lpstr>'3 Point Estimates'!lastbutonerow</vt:lpstr>
      <vt:lpstr>Help!Print_Area</vt:lpstr>
      <vt:lpstr>'3 Point Estimates'!totalrow</vt:lpstr>
      <vt:lpstr>'3 Point Estimates'!unhiderow</vt:lpstr>
    </vt:vector>
  </TitlesOfParts>
  <Company>AppLabs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Automation  </dc:title>
  <dc:subject>Efforts Estimation</dc:subject>
  <dc:creator>IN211101, ITS (AppLabs) </dc:creator>
  <cp:lastModifiedBy>Mohan Kumar Panigrahi</cp:lastModifiedBy>
  <cp:lastPrinted>2012-01-05T14:50:58Z</cp:lastPrinted>
  <dcterms:created xsi:type="dcterms:W3CDTF">2010-01-29T08:57:48Z</dcterms:created>
  <dcterms:modified xsi:type="dcterms:W3CDTF">2017-07-30T12:28:04Z</dcterms:modified>
</cp:coreProperties>
</file>