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6"/>
  </bookViews>
  <sheets>
    <sheet name="Simple Exponential Smoothing" sheetId="1" r:id="rId1"/>
    <sheet name="Sheet2" sheetId="5" r:id="rId2"/>
    <sheet name="Trend Corrected (Holts)" sheetId="4" r:id="rId3"/>
    <sheet name="Sheet1" sheetId="6" r:id="rId4"/>
    <sheet name="Deseasonalized demand" sheetId="3" r:id="rId5"/>
    <sheet name="Seasonal factor" sheetId="7" r:id="rId6"/>
    <sheet name="Winters model" sheetId="8" r:id="rId7"/>
  </sheets>
  <calcPr calcId="125725"/>
</workbook>
</file>

<file path=xl/calcChain.xml><?xml version="1.0" encoding="utf-8"?>
<calcChain xmlns="http://schemas.openxmlformats.org/spreadsheetml/2006/main">
  <c r="F19" i="8"/>
  <c r="F18"/>
  <c r="F17"/>
  <c r="F16"/>
  <c r="F5"/>
  <c r="F6"/>
  <c r="F7"/>
  <c r="F8"/>
  <c r="F9"/>
  <c r="F10"/>
  <c r="F11"/>
  <c r="F12"/>
  <c r="F13"/>
  <c r="F14"/>
  <c r="F15"/>
  <c r="F4"/>
  <c r="C5"/>
  <c r="D5" s="1"/>
  <c r="C6" s="1"/>
  <c r="D4"/>
  <c r="D3"/>
  <c r="C4"/>
  <c r="E2" i="7"/>
  <c r="E3"/>
  <c r="E4"/>
  <c r="E5"/>
  <c r="E6"/>
  <c r="E7"/>
  <c r="E8"/>
  <c r="E9"/>
  <c r="E10"/>
  <c r="E11"/>
  <c r="E12"/>
  <c r="E13"/>
  <c r="D3"/>
  <c r="D4"/>
  <c r="D5"/>
  <c r="D6"/>
  <c r="D7"/>
  <c r="D8"/>
  <c r="D9"/>
  <c r="D10"/>
  <c r="D11"/>
  <c r="D12"/>
  <c r="D13"/>
  <c r="D2"/>
  <c r="C3"/>
  <c r="C4"/>
  <c r="C5"/>
  <c r="C6"/>
  <c r="C7"/>
  <c r="C8"/>
  <c r="C9"/>
  <c r="C10"/>
  <c r="C11"/>
  <c r="C12"/>
  <c r="C13"/>
  <c r="C2"/>
  <c r="C7" i="3"/>
  <c r="C8"/>
  <c r="C9"/>
  <c r="C10"/>
  <c r="C11"/>
  <c r="C12"/>
  <c r="C13"/>
  <c r="C6"/>
  <c r="E4" i="4"/>
  <c r="D4"/>
  <c r="C5" s="1"/>
  <c r="C4"/>
  <c r="E5" s="1"/>
  <c r="D3"/>
  <c r="F4"/>
  <c r="K5" i="1"/>
  <c r="K6"/>
  <c r="K7"/>
  <c r="K8"/>
  <c r="K9"/>
  <c r="K10"/>
  <c r="K11"/>
  <c r="K12"/>
  <c r="K13"/>
  <c r="K14"/>
  <c r="K15"/>
  <c r="K4"/>
  <c r="J5"/>
  <c r="J6"/>
  <c r="J7"/>
  <c r="J8"/>
  <c r="J9"/>
  <c r="J10"/>
  <c r="J11"/>
  <c r="J12"/>
  <c r="J13"/>
  <c r="J14"/>
  <c r="J15"/>
  <c r="J4"/>
  <c r="I5"/>
  <c r="I6"/>
  <c r="I7"/>
  <c r="I8"/>
  <c r="I9"/>
  <c r="I10"/>
  <c r="I11"/>
  <c r="I12"/>
  <c r="I13"/>
  <c r="I14"/>
  <c r="I15"/>
  <c r="I4"/>
  <c r="H5"/>
  <c r="H6"/>
  <c r="H7"/>
  <c r="H8"/>
  <c r="H9"/>
  <c r="H10"/>
  <c r="H11"/>
  <c r="H12"/>
  <c r="H13"/>
  <c r="H14"/>
  <c r="H15"/>
  <c r="H4"/>
  <c r="G5"/>
  <c r="G6"/>
  <c r="G7"/>
  <c r="G8"/>
  <c r="G9"/>
  <c r="G10"/>
  <c r="G11"/>
  <c r="G12"/>
  <c r="G13"/>
  <c r="G14"/>
  <c r="G15"/>
  <c r="G4"/>
  <c r="D16"/>
  <c r="F5"/>
  <c r="F6"/>
  <c r="F7"/>
  <c r="F8"/>
  <c r="F9"/>
  <c r="F10"/>
  <c r="F11"/>
  <c r="F12"/>
  <c r="F13"/>
  <c r="F14"/>
  <c r="F15"/>
  <c r="F4"/>
  <c r="E5"/>
  <c r="E6"/>
  <c r="E7"/>
  <c r="E8"/>
  <c r="E9"/>
  <c r="E10"/>
  <c r="E11"/>
  <c r="E12"/>
  <c r="E13"/>
  <c r="E14"/>
  <c r="E15"/>
  <c r="E4"/>
  <c r="D5"/>
  <c r="D6"/>
  <c r="D7"/>
  <c r="D8"/>
  <c r="D9"/>
  <c r="D10"/>
  <c r="D11"/>
  <c r="D12"/>
  <c r="D13"/>
  <c r="D14"/>
  <c r="D15"/>
  <c r="D4"/>
  <c r="C5"/>
  <c r="C6" s="1"/>
  <c r="C7" s="1"/>
  <c r="C8" s="1"/>
  <c r="C9" s="1"/>
  <c r="C10" s="1"/>
  <c r="C11" s="1"/>
  <c r="C12" s="1"/>
  <c r="C13" s="1"/>
  <c r="C14" s="1"/>
  <c r="C15" s="1"/>
  <c r="C4"/>
  <c r="C3"/>
  <c r="G4" i="8" l="1"/>
  <c r="I4" s="1"/>
  <c r="D5" i="4"/>
  <c r="C6" s="1"/>
  <c r="F5"/>
  <c r="G5" s="1"/>
  <c r="J5" s="1"/>
  <c r="G4"/>
  <c r="H4"/>
  <c r="H4" i="8" l="1"/>
  <c r="J4" s="1"/>
  <c r="M4" s="1"/>
  <c r="G5"/>
  <c r="H5" s="1"/>
  <c r="K5" s="1"/>
  <c r="G6"/>
  <c r="D6" i="4"/>
  <c r="C7" s="1"/>
  <c r="E6"/>
  <c r="F6" s="1"/>
  <c r="G6" s="1"/>
  <c r="J6" s="1"/>
  <c r="H6"/>
  <c r="H5"/>
  <c r="I5"/>
  <c r="L5" s="1"/>
  <c r="J4"/>
  <c r="I6"/>
  <c r="L6" s="1"/>
  <c r="I4"/>
  <c r="L4" s="1"/>
  <c r="K4" i="8" l="1"/>
  <c r="L4" s="1"/>
  <c r="I5"/>
  <c r="J5"/>
  <c r="M5" s="1"/>
  <c r="H6"/>
  <c r="I6"/>
  <c r="E8" i="4"/>
  <c r="F8" s="1"/>
  <c r="H8" s="1"/>
  <c r="E7"/>
  <c r="F7" s="1"/>
  <c r="D7"/>
  <c r="C8" s="1"/>
  <c r="K6"/>
  <c r="K4"/>
  <c r="K5"/>
  <c r="L5" i="8" l="1"/>
  <c r="D6"/>
  <c r="K6"/>
  <c r="J6"/>
  <c r="M6" s="1"/>
  <c r="G7" i="4"/>
  <c r="H7"/>
  <c r="E9"/>
  <c r="D8"/>
  <c r="C9"/>
  <c r="F9"/>
  <c r="H9" s="1"/>
  <c r="G8"/>
  <c r="J8" s="1"/>
  <c r="G7" i="8" l="1"/>
  <c r="I7" s="1"/>
  <c r="C7"/>
  <c r="L6"/>
  <c r="D9" i="4"/>
  <c r="E10"/>
  <c r="J7"/>
  <c r="K7" s="1"/>
  <c r="I7"/>
  <c r="L7" s="1"/>
  <c r="G9"/>
  <c r="J9" s="1"/>
  <c r="C10"/>
  <c r="F10"/>
  <c r="H10" s="1"/>
  <c r="I8"/>
  <c r="L8" s="1"/>
  <c r="G10"/>
  <c r="G8" i="8" l="1"/>
  <c r="H8" s="1"/>
  <c r="J8" s="1"/>
  <c r="M8" s="1"/>
  <c r="C8"/>
  <c r="D7"/>
  <c r="H7"/>
  <c r="K7" s="1"/>
  <c r="L7" s="1"/>
  <c r="I8"/>
  <c r="J7"/>
  <c r="M7" s="1"/>
  <c r="C11" i="4"/>
  <c r="K8"/>
  <c r="K9"/>
  <c r="D10"/>
  <c r="E11"/>
  <c r="F11" s="1"/>
  <c r="I9"/>
  <c r="L9" s="1"/>
  <c r="H11"/>
  <c r="J10"/>
  <c r="G11"/>
  <c r="I10"/>
  <c r="L10" s="1"/>
  <c r="C9" i="8" l="1"/>
  <c r="D8"/>
  <c r="K8"/>
  <c r="L8" s="1"/>
  <c r="G9"/>
  <c r="H9" s="1"/>
  <c r="D11" i="4"/>
  <c r="C12" s="1"/>
  <c r="K10"/>
  <c r="J11"/>
  <c r="K11" s="1"/>
  <c r="I11"/>
  <c r="L11" s="1"/>
  <c r="D9" i="8" l="1"/>
  <c r="G10" s="1"/>
  <c r="H10" s="1"/>
  <c r="J10" s="1"/>
  <c r="M10" s="1"/>
  <c r="I9"/>
  <c r="K9"/>
  <c r="L9" s="1"/>
  <c r="J9"/>
  <c r="M9" s="1"/>
  <c r="D12" i="4"/>
  <c r="C13" s="1"/>
  <c r="E12"/>
  <c r="F12" s="1"/>
  <c r="K10" i="8" l="1"/>
  <c r="C10"/>
  <c r="I10"/>
  <c r="L10"/>
  <c r="D13" i="4"/>
  <c r="C14" s="1"/>
  <c r="E13"/>
  <c r="F13" s="1"/>
  <c r="H12"/>
  <c r="G12"/>
  <c r="D10" i="8" l="1"/>
  <c r="G11" s="1"/>
  <c r="I11" s="1"/>
  <c r="D14" i="4"/>
  <c r="C15" s="1"/>
  <c r="E14"/>
  <c r="F14" s="1"/>
  <c r="I12"/>
  <c r="L12" s="1"/>
  <c r="J12"/>
  <c r="K12" s="1"/>
  <c r="G13"/>
  <c r="H13"/>
  <c r="H11" i="8" l="1"/>
  <c r="J11" s="1"/>
  <c r="M11" s="1"/>
  <c r="C11"/>
  <c r="D11" s="1"/>
  <c r="G12" s="1"/>
  <c r="D15" i="4"/>
  <c r="E18" s="1"/>
  <c r="E19"/>
  <c r="E15"/>
  <c r="F15" s="1"/>
  <c r="J13"/>
  <c r="K13" s="1"/>
  <c r="I13"/>
  <c r="L13" s="1"/>
  <c r="H14"/>
  <c r="G14"/>
  <c r="K11" i="8" l="1"/>
  <c r="L11" s="1"/>
  <c r="C12"/>
  <c r="H12"/>
  <c r="I12"/>
  <c r="I14" i="4"/>
  <c r="L14" s="1"/>
  <c r="J14"/>
  <c r="K14" s="1"/>
  <c r="H15"/>
  <c r="G15"/>
  <c r="J15" s="1"/>
  <c r="K15" s="1"/>
  <c r="E17"/>
  <c r="E16"/>
  <c r="I15"/>
  <c r="L15" s="1"/>
  <c r="K12" i="8" l="1"/>
  <c r="J12"/>
  <c r="M12" s="1"/>
  <c r="D12"/>
  <c r="G13" s="1"/>
  <c r="C13" l="1"/>
  <c r="L12"/>
  <c r="I13"/>
  <c r="H13"/>
  <c r="D13" l="1"/>
  <c r="G14" s="1"/>
  <c r="I14" s="1"/>
  <c r="K13"/>
  <c r="L13" s="1"/>
  <c r="J13"/>
  <c r="M13" s="1"/>
  <c r="C14" l="1"/>
  <c r="H14"/>
  <c r="K14" l="1"/>
  <c r="L14" s="1"/>
  <c r="J14"/>
  <c r="M14" s="1"/>
  <c r="C15"/>
  <c r="D14"/>
  <c r="G15" s="1"/>
  <c r="H15"/>
  <c r="I15"/>
  <c r="K15" l="1"/>
  <c r="L15" s="1"/>
  <c r="J15"/>
  <c r="M15" s="1"/>
  <c r="D15"/>
</calcChain>
</file>

<file path=xl/sharedStrings.xml><?xml version="1.0" encoding="utf-8"?>
<sst xmlns="http://schemas.openxmlformats.org/spreadsheetml/2006/main" count="109" uniqueCount="50">
  <si>
    <t>Abs. Error</t>
  </si>
  <si>
    <t>MSEt</t>
  </si>
  <si>
    <t>MADt</t>
  </si>
  <si>
    <t>%Error</t>
  </si>
  <si>
    <t>MAPEt</t>
  </si>
  <si>
    <t>TSt</t>
  </si>
  <si>
    <r>
      <t>Simple Exponential Smoothing (</t>
    </r>
    <r>
      <rPr>
        <sz val="11"/>
        <color theme="1"/>
        <rFont val="Calibri"/>
        <family val="2"/>
      </rPr>
      <t>α = 0.1)</t>
    </r>
  </si>
  <si>
    <t>Period t</t>
  </si>
  <si>
    <t>Demand Dt</t>
  </si>
  <si>
    <t>Level Lt</t>
  </si>
  <si>
    <t>Forecast Ft</t>
  </si>
  <si>
    <t>Error Et</t>
  </si>
  <si>
    <t>Trend Tt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</si>
  <si>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</si>
  <si>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</si>
  <si>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</si>
  <si>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</si>
  <si>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</si>
  <si>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</si>
  <si>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</si>
  <si>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</si>
  <si>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</si>
  <si>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</si>
  <si>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</si>
  <si>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</si>
  <si>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</si>
  <si>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</si>
  <si>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</si>
  <si>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</si>
  <si>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</si>
  <si>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</si>
  <si>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</si>
  <si>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</si>
  <si>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</si>
  <si>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</si>
  <si>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</si>
  <si>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</si>
  <si>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</si>
  <si>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</si>
  <si>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</si>
  <si>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</si>
  <si>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</si>
  <si>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r>
      <t>Trend Corrected Exponential Smoothing (Holts Model</t>
    </r>
    <r>
      <rPr>
        <sz val="11"/>
        <color theme="1"/>
        <rFont val="Calibri"/>
        <family val="2"/>
      </rPr>
      <t>) (α</t>
    </r>
    <r>
      <rPr>
        <sz val="11"/>
        <color theme="1"/>
        <rFont val="Calibri"/>
        <family val="2"/>
        <scheme val="minor"/>
      </rPr>
      <t xml:space="preserve"> = 0.1) (</t>
    </r>
    <r>
      <rPr>
        <sz val="11"/>
        <color theme="1"/>
        <rFont val="Calibri"/>
        <family val="2"/>
      </rPr>
      <t>β = 0.2)</t>
    </r>
  </si>
  <si>
    <t>Deseasonalized demand for Tahoe salt</t>
  </si>
  <si>
    <t>Deseasonalized Demand</t>
  </si>
  <si>
    <t>Deseasonalized demand</t>
  </si>
  <si>
    <t>Seasonal Factor</t>
  </si>
  <si>
    <t>intercept</t>
  </si>
  <si>
    <t>x-variable</t>
  </si>
  <si>
    <t>Trend and seasonality corrected exponential smoothing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</si>
</sst>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0" borderId="0" xfId="0" applyAlignment="1">
      <alignment wrapText="1"/>
    </xf>
    <xf numFmtId="2" fontId="0" fillId="0" borderId="0" xfId="0" applyNumberForma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'Trend Corrected (Holts)'!$A$4:$A$15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Sheet2!$C$25:$C$36</c:f>
              <c:numCache>
                <c:formatCode>General</c:formatCode>
                <c:ptCount val="12"/>
                <c:pt idx="0">
                  <c:v>-5564.102564102559</c:v>
                </c:pt>
                <c:pt idx="1">
                  <c:v>-2113.0536130536093</c:v>
                </c:pt>
                <c:pt idx="2">
                  <c:v>6337.9953379953404</c:v>
                </c:pt>
                <c:pt idx="3">
                  <c:v>15789.044289044294</c:v>
                </c:pt>
                <c:pt idx="4">
                  <c:v>-9759.9067599067566</c:v>
                </c:pt>
                <c:pt idx="5">
                  <c:v>-3308.857808857807</c:v>
                </c:pt>
                <c:pt idx="6">
                  <c:v>142.19114219114272</c:v>
                </c:pt>
                <c:pt idx="7">
                  <c:v>13593.240093240092</c:v>
                </c:pt>
                <c:pt idx="8">
                  <c:v>-13955.710955710958</c:v>
                </c:pt>
                <c:pt idx="9">
                  <c:v>-14504.662004662005</c:v>
                </c:pt>
                <c:pt idx="10">
                  <c:v>2946.3869463869487</c:v>
                </c:pt>
                <c:pt idx="11">
                  <c:v>10397.435897435898</c:v>
                </c:pt>
              </c:numCache>
            </c:numRef>
          </c:yVal>
        </c:ser>
        <c:axId val="68853760"/>
        <c:axId val="68856064"/>
      </c:scatterChart>
      <c:valAx>
        <c:axId val="68853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</c:title>
        <c:numFmt formatCode="General" sourceLinked="1"/>
        <c:tickLblPos val="nextTo"/>
        <c:crossAx val="68856064"/>
        <c:crosses val="autoZero"/>
        <c:crossBetween val="midCat"/>
      </c:valAx>
      <c:valAx>
        <c:axId val="6885606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</c:title>
        <c:numFmt formatCode="General" sourceLinked="1"/>
        <c:tickLblPos val="nextTo"/>
        <c:crossAx val="68853760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'Deseasonalized demand'!$A$6:$A$13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Sheet1!$C$25:$C$32</c:f>
              <c:numCache>
                <c:formatCode>General</c:formatCode>
                <c:ptCount val="8"/>
                <c:pt idx="0">
                  <c:v>-260.41666666666788</c:v>
                </c:pt>
                <c:pt idx="1">
                  <c:v>90.773809523809177</c:v>
                </c:pt>
                <c:pt idx="2">
                  <c:v>191.96428571428623</c:v>
                </c:pt>
                <c:pt idx="3">
                  <c:v>168.15476190476329</c:v>
                </c:pt>
                <c:pt idx="4">
                  <c:v>394.34523809523671</c:v>
                </c:pt>
                <c:pt idx="5">
                  <c:v>-504.46428571428623</c:v>
                </c:pt>
                <c:pt idx="6">
                  <c:v>-528.27380952380918</c:v>
                </c:pt>
                <c:pt idx="7">
                  <c:v>447.91666666666424</c:v>
                </c:pt>
              </c:numCache>
            </c:numRef>
          </c:yVal>
        </c:ser>
        <c:axId val="64981248"/>
        <c:axId val="68231552"/>
      </c:scatterChart>
      <c:valAx>
        <c:axId val="649812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</c:title>
        <c:numFmt formatCode="General" sourceLinked="1"/>
        <c:tickLblPos val="nextTo"/>
        <c:crossAx val="68231552"/>
        <c:crosses val="autoZero"/>
        <c:crossBetween val="midCat"/>
      </c:valAx>
      <c:valAx>
        <c:axId val="6823155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</c:title>
        <c:numFmt formatCode="General" sourceLinked="1"/>
        <c:tickLblPos val="nextTo"/>
        <c:crossAx val="6498124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</xdr:rowOff>
    </xdr:from>
    <xdr:to>
      <xdr:col>15</xdr:col>
      <xdr:colOff>0</xdr:colOff>
      <xdr:row>10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</xdr:rowOff>
    </xdr:from>
    <xdr:to>
      <xdr:col>15</xdr:col>
      <xdr:colOff>0</xdr:colOff>
      <xdr:row>10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4" sqref="B4:B15"/>
    </sheetView>
  </sheetViews>
  <sheetFormatPr defaultRowHeight="15"/>
  <cols>
    <col min="3" max="3" width="10.5703125" bestFit="1" customWidth="1"/>
    <col min="4" max="4" width="13.28515625" customWidth="1"/>
    <col min="5" max="5" width="12.5703125" customWidth="1"/>
    <col min="6" max="6" width="12.28515625" customWidth="1"/>
    <col min="7" max="7" width="11.5703125" customWidth="1"/>
  </cols>
  <sheetData>
    <row r="1" spans="1:11">
      <c r="A1" t="s">
        <v>6</v>
      </c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 spans="1:11">
      <c r="A3" s="1">
        <v>0</v>
      </c>
      <c r="B3" s="1"/>
      <c r="C3" s="2">
        <f>AVERAGE(B4:B15)</f>
        <v>22083.333333333332</v>
      </c>
      <c r="D3" s="1"/>
      <c r="E3" s="1"/>
      <c r="F3" s="1"/>
      <c r="G3" s="1"/>
      <c r="H3" s="1"/>
      <c r="I3" s="1"/>
      <c r="J3" s="1"/>
      <c r="K3" s="1"/>
    </row>
    <row r="4" spans="1:11">
      <c r="A4" s="1">
        <v>1</v>
      </c>
      <c r="B4" s="1">
        <v>8000</v>
      </c>
      <c r="C4" s="1">
        <f>0.1*B4+(1-0.1)*C3</f>
        <v>20675</v>
      </c>
      <c r="D4" s="2">
        <f>C3</f>
        <v>22083.333333333332</v>
      </c>
      <c r="E4" s="2">
        <f>D4-B4</f>
        <v>14083.333333333332</v>
      </c>
      <c r="F4" s="2">
        <f>ABS(E4)</f>
        <v>14083.333333333332</v>
      </c>
      <c r="G4" s="1">
        <f>SUMSQ($E$4:E4)/A4</f>
        <v>198340277.77777773</v>
      </c>
      <c r="H4" s="2">
        <f>AVERAGE($F$4:F4)</f>
        <v>14083.333333333332</v>
      </c>
      <c r="I4" s="2">
        <f>(F4/B4)*100</f>
        <v>176.04166666666666</v>
      </c>
      <c r="J4" s="2">
        <f>AVERAGE($I$4:I4)</f>
        <v>176.04166666666666</v>
      </c>
      <c r="K4" s="1">
        <f>SUM($E$4:E4)/H4</f>
        <v>1</v>
      </c>
    </row>
    <row r="5" spans="1:11">
      <c r="A5" s="1">
        <v>2</v>
      </c>
      <c r="B5" s="1">
        <v>13000</v>
      </c>
      <c r="C5" s="2">
        <f t="shared" ref="C5:C15" si="0">0.1*B5+(1-0.1)*C4</f>
        <v>19907.5</v>
      </c>
      <c r="D5" s="2">
        <f t="shared" ref="D5:D16" si="1">C4</f>
        <v>20675</v>
      </c>
      <c r="E5" s="2">
        <f t="shared" ref="E5:E15" si="2">D5-B5</f>
        <v>7675</v>
      </c>
      <c r="F5" s="2">
        <f t="shared" ref="F5:F15" si="3">ABS(E5)</f>
        <v>7675</v>
      </c>
      <c r="G5" s="1">
        <f>SUMSQ($E$4:E5)/A5</f>
        <v>128622951.38888887</v>
      </c>
      <c r="H5" s="2">
        <f>AVERAGE($F$4:F5)</f>
        <v>10879.166666666666</v>
      </c>
      <c r="I5" s="2">
        <f t="shared" ref="I5:I15" si="4">(F5/B5)*100</f>
        <v>59.03846153846154</v>
      </c>
      <c r="J5" s="2">
        <f>AVERAGE($I$4:I5)</f>
        <v>117.5400641025641</v>
      </c>
      <c r="K5" s="1">
        <f>SUM($E$4:E5)/H5</f>
        <v>2</v>
      </c>
    </row>
    <row r="6" spans="1:11">
      <c r="A6" s="1">
        <v>3</v>
      </c>
      <c r="B6" s="1">
        <v>23000</v>
      </c>
      <c r="C6" s="2">
        <f t="shared" si="0"/>
        <v>20216.75</v>
      </c>
      <c r="D6" s="2">
        <f t="shared" si="1"/>
        <v>19907.5</v>
      </c>
      <c r="E6" s="2">
        <f t="shared" si="2"/>
        <v>-3092.5</v>
      </c>
      <c r="F6" s="2">
        <f t="shared" si="3"/>
        <v>3092.5</v>
      </c>
      <c r="G6" s="2">
        <f>SUMSQ($E$4:E6)/A6</f>
        <v>88936486.342592582</v>
      </c>
      <c r="H6" s="2">
        <f>AVERAGE($F$4:F6)</f>
        <v>8283.6111111111113</v>
      </c>
      <c r="I6" s="2">
        <f t="shared" si="4"/>
        <v>13.445652173913045</v>
      </c>
      <c r="J6" s="2">
        <f>AVERAGE($I$4:I6)</f>
        <v>82.841926793013741</v>
      </c>
      <c r="K6" s="3">
        <f>SUM($E$4:E6)/H6</f>
        <v>2.2533449582508966</v>
      </c>
    </row>
    <row r="7" spans="1:11">
      <c r="A7" s="1">
        <v>4</v>
      </c>
      <c r="B7" s="1">
        <v>34000</v>
      </c>
      <c r="C7" s="2">
        <f t="shared" si="0"/>
        <v>21595.075000000001</v>
      </c>
      <c r="D7" s="2">
        <f t="shared" si="1"/>
        <v>20216.75</v>
      </c>
      <c r="E7" s="2">
        <f t="shared" si="2"/>
        <v>-13783.25</v>
      </c>
      <c r="F7" s="2">
        <f t="shared" si="3"/>
        <v>13783.25</v>
      </c>
      <c r="G7" s="1">
        <f>SUMSQ($E$4:E7)/A7</f>
        <v>114196859.89756943</v>
      </c>
      <c r="H7" s="2">
        <f>AVERAGE($F$4:F7)</f>
        <v>9658.5208333333321</v>
      </c>
      <c r="I7" s="2">
        <f t="shared" si="4"/>
        <v>40.538970588235294</v>
      </c>
      <c r="J7" s="2">
        <f>AVERAGE($I$4:I7)</f>
        <v>72.266187741819138</v>
      </c>
      <c r="K7" s="3">
        <f>SUM($E$4:E7)/H7</f>
        <v>0.50552081603247556</v>
      </c>
    </row>
    <row r="8" spans="1:11">
      <c r="A8" s="1">
        <v>5</v>
      </c>
      <c r="B8" s="1">
        <v>10000</v>
      </c>
      <c r="C8" s="2">
        <f t="shared" si="0"/>
        <v>20435.567500000001</v>
      </c>
      <c r="D8" s="2">
        <f t="shared" si="1"/>
        <v>21595.075000000001</v>
      </c>
      <c r="E8" s="2">
        <f t="shared" si="2"/>
        <v>11595.075000000001</v>
      </c>
      <c r="F8" s="2">
        <f t="shared" si="3"/>
        <v>11595.075000000001</v>
      </c>
      <c r="G8" s="1">
        <f>SUMSQ($E$4:E8)/A8</f>
        <v>118246640.76918054</v>
      </c>
      <c r="H8" s="2">
        <f>AVERAGE($F$4:F8)</f>
        <v>10045.831666666665</v>
      </c>
      <c r="I8" s="2">
        <f t="shared" si="4"/>
        <v>115.95075000000001</v>
      </c>
      <c r="J8" s="2">
        <f>AVERAGE($I$4:I8)</f>
        <v>81.00310019345531</v>
      </c>
      <c r="K8" s="3">
        <f>SUM($E$4:E8)/H8</f>
        <v>1.6402483019905936</v>
      </c>
    </row>
    <row r="9" spans="1:11">
      <c r="A9" s="1">
        <v>6</v>
      </c>
      <c r="B9" s="1">
        <v>18000</v>
      </c>
      <c r="C9" s="2">
        <f t="shared" si="0"/>
        <v>20192.010750000001</v>
      </c>
      <c r="D9" s="2">
        <f t="shared" si="1"/>
        <v>20435.567500000001</v>
      </c>
      <c r="E9" s="2">
        <f t="shared" si="2"/>
        <v>2435.567500000001</v>
      </c>
      <c r="F9" s="2">
        <f t="shared" si="3"/>
        <v>2435.567500000001</v>
      </c>
      <c r="G9" s="1">
        <f>SUMSQ($E$4:E9)/A9</f>
        <v>99527532.14882648</v>
      </c>
      <c r="H9" s="2">
        <f>AVERAGE($F$4:F9)</f>
        <v>8777.454305555555</v>
      </c>
      <c r="I9" s="2">
        <f t="shared" si="4"/>
        <v>13.530930555555562</v>
      </c>
      <c r="J9" s="2">
        <f>AVERAGE($I$4:I9)</f>
        <v>69.757738587138689</v>
      </c>
      <c r="K9" s="3">
        <f>SUM($E$4:E9)/H9</f>
        <v>2.154750702759284</v>
      </c>
    </row>
    <row r="10" spans="1:11">
      <c r="A10" s="1">
        <v>7</v>
      </c>
      <c r="B10" s="1">
        <v>23000</v>
      </c>
      <c r="C10" s="2">
        <f t="shared" si="0"/>
        <v>20472.809675</v>
      </c>
      <c r="D10" s="2">
        <f t="shared" si="1"/>
        <v>20192.010750000001</v>
      </c>
      <c r="E10" s="2">
        <f t="shared" si="2"/>
        <v>-2807.9892499999987</v>
      </c>
      <c r="F10" s="2">
        <f t="shared" si="3"/>
        <v>2807.9892499999987</v>
      </c>
      <c r="G10" s="1">
        <f>SUMSQ($E$4:E10)/A10</f>
        <v>86435713.788724914</v>
      </c>
      <c r="H10" s="2">
        <f>AVERAGE($F$4:F10)</f>
        <v>7924.6735833333323</v>
      </c>
      <c r="I10" s="2">
        <f t="shared" si="4"/>
        <v>12.208648913043472</v>
      </c>
      <c r="J10" s="2">
        <f>AVERAGE($I$4:I10)</f>
        <v>61.53644006226795</v>
      </c>
      <c r="K10" s="3">
        <f>SUM($E$4:E10)/H10</f>
        <v>2.0322902153603954</v>
      </c>
    </row>
    <row r="11" spans="1:11">
      <c r="A11" s="1">
        <v>8</v>
      </c>
      <c r="B11" s="1">
        <v>38000</v>
      </c>
      <c r="C11" s="2">
        <f t="shared" si="0"/>
        <v>22225.528707500001</v>
      </c>
      <c r="D11" s="2">
        <f t="shared" si="1"/>
        <v>20472.809675</v>
      </c>
      <c r="E11" s="2">
        <f t="shared" si="2"/>
        <v>-17527.190325</v>
      </c>
      <c r="F11" s="2">
        <f t="shared" si="3"/>
        <v>17527.190325</v>
      </c>
      <c r="G11" s="1">
        <f>SUMSQ($E$4:E11)/A11</f>
        <v>114031549.65123099</v>
      </c>
      <c r="H11" s="2">
        <f>AVERAGE($F$4:F11)</f>
        <v>9124.9881760416665</v>
      </c>
      <c r="I11" s="2">
        <f t="shared" si="4"/>
        <v>46.124185065789476</v>
      </c>
      <c r="J11" s="2">
        <f>AVERAGE($I$4:I11)</f>
        <v>59.609908187708143</v>
      </c>
      <c r="K11" s="3">
        <f>SUM($E$4:E11)/H11</f>
        <v>-0.15583074895374763</v>
      </c>
    </row>
    <row r="12" spans="1:11">
      <c r="A12" s="1">
        <v>9</v>
      </c>
      <c r="B12" s="1">
        <v>12000</v>
      </c>
      <c r="C12" s="2">
        <f t="shared" si="0"/>
        <v>21202.975836750004</v>
      </c>
      <c r="D12" s="2">
        <f t="shared" si="1"/>
        <v>22225.528707500001</v>
      </c>
      <c r="E12" s="2">
        <f t="shared" si="2"/>
        <v>10225.528707500001</v>
      </c>
      <c r="F12" s="2">
        <f t="shared" si="3"/>
        <v>10225.528707500001</v>
      </c>
      <c r="G12" s="1">
        <f>SUMSQ($E$4:E12)/A12</f>
        <v>112979314.95086162</v>
      </c>
      <c r="H12" s="2">
        <f>AVERAGE($F$4:F12)</f>
        <v>9247.2704573148148</v>
      </c>
      <c r="I12" s="2">
        <f t="shared" si="4"/>
        <v>85.212739229166672</v>
      </c>
      <c r="J12" s="2">
        <f>AVERAGE($I$4:I12)</f>
        <v>62.454667192314645</v>
      </c>
      <c r="K12" s="3">
        <f>SUM($E$4:E12)/H12</f>
        <v>0.95201876126262708</v>
      </c>
    </row>
    <row r="13" spans="1:11">
      <c r="A13" s="1">
        <v>10</v>
      </c>
      <c r="B13" s="1">
        <v>13000</v>
      </c>
      <c r="C13" s="2">
        <f t="shared" si="0"/>
        <v>20382.678253075002</v>
      </c>
      <c r="D13" s="2">
        <f t="shared" si="1"/>
        <v>21202.975836750004</v>
      </c>
      <c r="E13" s="2">
        <f t="shared" si="2"/>
        <v>8202.9758367500035</v>
      </c>
      <c r="F13" s="2">
        <f t="shared" si="3"/>
        <v>8202.9758367500035</v>
      </c>
      <c r="G13" s="1">
        <f>SUMSQ($E$4:E13)/A13</f>
        <v>108410264.71360591</v>
      </c>
      <c r="H13" s="2">
        <f>AVERAGE($F$4:F13)</f>
        <v>9142.8409952583352</v>
      </c>
      <c r="I13" s="2">
        <f t="shared" si="4"/>
        <v>63.099814128846177</v>
      </c>
      <c r="J13" s="2">
        <f>AVERAGE($I$4:I13)</f>
        <v>62.519181885967804</v>
      </c>
      <c r="K13" s="3">
        <f>SUM($E$4:E13)/H13</f>
        <v>1.860094779227079</v>
      </c>
    </row>
    <row r="14" spans="1:11">
      <c r="A14" s="1">
        <v>11</v>
      </c>
      <c r="B14" s="1">
        <v>32000</v>
      </c>
      <c r="C14" s="2">
        <f t="shared" si="0"/>
        <v>21544.410427767503</v>
      </c>
      <c r="D14" s="2">
        <f t="shared" si="1"/>
        <v>20382.678253075002</v>
      </c>
      <c r="E14" s="2">
        <f t="shared" si="2"/>
        <v>-11617.321746924998</v>
      </c>
      <c r="F14" s="2">
        <f t="shared" si="3"/>
        <v>11617.321746924998</v>
      </c>
      <c r="G14" s="1">
        <f>SUMSQ($E$4:E14)/A14</f>
        <v>110824073.79160322</v>
      </c>
      <c r="H14" s="2">
        <f>AVERAGE($F$4:F14)</f>
        <v>9367.7937908643944</v>
      </c>
      <c r="I14" s="2">
        <f t="shared" si="4"/>
        <v>36.304130459140616</v>
      </c>
      <c r="J14" s="2">
        <f>AVERAGE($I$4:I14)</f>
        <v>60.135995392619883</v>
      </c>
      <c r="K14" s="3">
        <f>SUM($E$4:E14)/H14</f>
        <v>0.57529330555012814</v>
      </c>
    </row>
    <row r="15" spans="1:11">
      <c r="A15" s="1">
        <v>12</v>
      </c>
      <c r="B15" s="1">
        <v>41000</v>
      </c>
      <c r="C15" s="2">
        <f t="shared" si="0"/>
        <v>23489.969384990753</v>
      </c>
      <c r="D15" s="2">
        <f t="shared" si="1"/>
        <v>21544.410427767503</v>
      </c>
      <c r="E15" s="2">
        <f t="shared" si="2"/>
        <v>-19455.589572232497</v>
      </c>
      <c r="F15" s="2">
        <f t="shared" si="3"/>
        <v>19455.589572232497</v>
      </c>
      <c r="G15" s="1">
        <f>SUMSQ($E$4:E15)/A15</f>
        <v>133132064.77589977</v>
      </c>
      <c r="H15" s="2">
        <f>AVERAGE($F$4:F15)</f>
        <v>10208.443439311735</v>
      </c>
      <c r="I15" s="2">
        <f t="shared" si="4"/>
        <v>47.452657493249994</v>
      </c>
      <c r="J15" s="2">
        <f>AVERAGE($I$4:I15)</f>
        <v>59.07905056767239</v>
      </c>
      <c r="K15" s="3">
        <f>SUM($E$4:E15)/H15</f>
        <v>-1.3779143314254894</v>
      </c>
    </row>
    <row r="16" spans="1:11">
      <c r="A16" s="1">
        <v>13</v>
      </c>
      <c r="B16" s="1"/>
      <c r="C16" s="1"/>
      <c r="D16" s="2">
        <f t="shared" si="1"/>
        <v>23489.969384990753</v>
      </c>
      <c r="E16" s="1"/>
      <c r="F16" s="1"/>
      <c r="G16" s="1"/>
      <c r="H16" s="1"/>
      <c r="I16" s="1"/>
      <c r="J16" s="1"/>
      <c r="K16" s="1"/>
    </row>
    <row r="17" spans="1:11">
      <c r="A17" s="1">
        <v>14</v>
      </c>
      <c r="B17" s="1"/>
      <c r="C17" s="1"/>
      <c r="D17" s="2">
        <v>23489.969384990753</v>
      </c>
      <c r="E17" s="1"/>
      <c r="F17" s="1"/>
      <c r="G17" s="1"/>
      <c r="H17" s="1"/>
      <c r="I17" s="1"/>
      <c r="J17" s="1"/>
      <c r="K17" s="1"/>
    </row>
    <row r="18" spans="1:11">
      <c r="A18" s="1">
        <v>15</v>
      </c>
      <c r="B18" s="1"/>
      <c r="C18" s="1"/>
      <c r="D18" s="2">
        <v>23489.969384990753</v>
      </c>
      <c r="E18" s="1"/>
      <c r="F18" s="1"/>
      <c r="G18" s="1"/>
      <c r="H18" s="1"/>
      <c r="I18" s="1"/>
      <c r="J18" s="1"/>
      <c r="K18" s="1"/>
    </row>
    <row r="19" spans="1:11">
      <c r="A19" s="1">
        <v>16</v>
      </c>
      <c r="B19" s="1"/>
      <c r="C19" s="1"/>
      <c r="D19" s="2">
        <v>23489.969384990753</v>
      </c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sqref="A1:I36"/>
    </sheetView>
  </sheetViews>
  <sheetFormatPr defaultRowHeight="15"/>
  <sheetData>
    <row r="1" spans="1:9">
      <c r="A1" t="s">
        <v>13</v>
      </c>
    </row>
    <row r="2" spans="1:9" ht="15.75" thickBot="1"/>
    <row r="3" spans="1:9">
      <c r="A3" s="7" t="s">
        <v>14</v>
      </c>
      <c r="B3" s="7"/>
    </row>
    <row r="4" spans="1:9">
      <c r="A4" s="4" t="s">
        <v>15</v>
      </c>
      <c r="B4" s="4">
        <v>0.48132719654283157</v>
      </c>
    </row>
    <row r="5" spans="1:9">
      <c r="A5" s="4" t="s">
        <v>16</v>
      </c>
      <c r="B5" s="4">
        <v>0.23167587013178159</v>
      </c>
    </row>
    <row r="6" spans="1:9">
      <c r="A6" s="4" t="s">
        <v>17</v>
      </c>
      <c r="B6" s="4">
        <v>0.15484345714495973</v>
      </c>
    </row>
    <row r="7" spans="1:9">
      <c r="A7" s="4" t="s">
        <v>18</v>
      </c>
      <c r="B7" s="4">
        <v>10666.883374838262</v>
      </c>
    </row>
    <row r="8" spans="1:9" ht="15.75" thickBot="1">
      <c r="A8" s="5" t="s">
        <v>19</v>
      </c>
      <c r="B8" s="5">
        <v>12</v>
      </c>
    </row>
    <row r="10" spans="1:9" ht="15.75" thickBot="1">
      <c r="A10" t="s">
        <v>20</v>
      </c>
    </row>
    <row r="11" spans="1:9">
      <c r="A11" s="6"/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</row>
    <row r="12" spans="1:9">
      <c r="A12" s="4" t="s">
        <v>21</v>
      </c>
      <c r="B12" s="4">
        <v>1</v>
      </c>
      <c r="C12" s="4">
        <v>343092657.34265757</v>
      </c>
      <c r="D12" s="4">
        <v>343092657.34265757</v>
      </c>
      <c r="E12" s="4">
        <v>3.0153402857660896</v>
      </c>
      <c r="F12" s="4">
        <v>0.11312702244665576</v>
      </c>
    </row>
    <row r="13" spans="1:9">
      <c r="A13" s="4" t="s">
        <v>22</v>
      </c>
      <c r="B13" s="4">
        <v>10</v>
      </c>
      <c r="C13" s="4">
        <v>1137824009.3240092</v>
      </c>
      <c r="D13" s="4">
        <v>113782400.93240091</v>
      </c>
      <c r="E13" s="4"/>
      <c r="F13" s="4"/>
    </row>
    <row r="14" spans="1:9" ht="15.75" thickBot="1">
      <c r="A14" s="5" t="s">
        <v>23</v>
      </c>
      <c r="B14" s="5">
        <v>11</v>
      </c>
      <c r="C14" s="5">
        <v>1480916666.6666667</v>
      </c>
      <c r="D14" s="5"/>
      <c r="E14" s="5"/>
      <c r="F14" s="5"/>
    </row>
    <row r="15" spans="1:9" ht="15.75" thickBot="1"/>
    <row r="16" spans="1:9">
      <c r="A16" s="6"/>
      <c r="B16" s="6" t="s">
        <v>30</v>
      </c>
      <c r="C16" s="6" t="s">
        <v>18</v>
      </c>
      <c r="D16" s="6" t="s">
        <v>31</v>
      </c>
      <c r="E16" s="6" t="s">
        <v>32</v>
      </c>
      <c r="F16" s="6" t="s">
        <v>33</v>
      </c>
      <c r="G16" s="6" t="s">
        <v>34</v>
      </c>
      <c r="H16" s="6" t="s">
        <v>35</v>
      </c>
      <c r="I16" s="6" t="s">
        <v>36</v>
      </c>
    </row>
    <row r="17" spans="1:9">
      <c r="A17" s="4" t="s">
        <v>24</v>
      </c>
      <c r="B17" s="4">
        <v>12015.15151515151</v>
      </c>
      <c r="C17" s="4">
        <v>6565.0128935574921</v>
      </c>
      <c r="D17" s="4">
        <v>1.830179423858018</v>
      </c>
      <c r="E17" s="4">
        <v>9.71472667318381E-2</v>
      </c>
      <c r="F17" s="4">
        <v>-2612.6087140105792</v>
      </c>
      <c r="G17" s="4">
        <v>26642.911744313598</v>
      </c>
      <c r="H17" s="4">
        <v>-2612.6087140105792</v>
      </c>
      <c r="I17" s="4">
        <v>26642.911744313598</v>
      </c>
    </row>
    <row r="18" spans="1:9" ht="15.75" thickBot="1">
      <c r="A18" s="5" t="s">
        <v>37</v>
      </c>
      <c r="B18" s="5">
        <v>1548.9510489510494</v>
      </c>
      <c r="C18" s="5">
        <v>892.00959938859694</v>
      </c>
      <c r="D18" s="5">
        <v>1.7364735200302044</v>
      </c>
      <c r="E18" s="5">
        <v>0.11312702244665587</v>
      </c>
      <c r="F18" s="5">
        <v>-438.5701872634213</v>
      </c>
      <c r="G18" s="5">
        <v>3536.4722851655201</v>
      </c>
      <c r="H18" s="5">
        <v>-438.5701872634213</v>
      </c>
      <c r="I18" s="5">
        <v>3536.4722851655201</v>
      </c>
    </row>
    <row r="22" spans="1:9">
      <c r="A22" t="s">
        <v>38</v>
      </c>
    </row>
    <row r="23" spans="1:9" ht="15.75" thickBot="1"/>
    <row r="24" spans="1:9">
      <c r="A24" s="6" t="s">
        <v>39</v>
      </c>
      <c r="B24" s="6" t="s">
        <v>40</v>
      </c>
      <c r="C24" s="6" t="s">
        <v>41</v>
      </c>
    </row>
    <row r="25" spans="1:9">
      <c r="A25" s="4">
        <v>1</v>
      </c>
      <c r="B25" s="4">
        <v>13564.102564102559</v>
      </c>
      <c r="C25" s="4">
        <v>-5564.102564102559</v>
      </c>
    </row>
    <row r="26" spans="1:9">
      <c r="A26" s="4">
        <v>2</v>
      </c>
      <c r="B26" s="4">
        <v>15113.053613053609</v>
      </c>
      <c r="C26" s="4">
        <v>-2113.0536130536093</v>
      </c>
    </row>
    <row r="27" spans="1:9">
      <c r="A27" s="4">
        <v>3</v>
      </c>
      <c r="B27" s="4">
        <v>16662.00466200466</v>
      </c>
      <c r="C27" s="4">
        <v>6337.9953379953404</v>
      </c>
    </row>
    <row r="28" spans="1:9">
      <c r="A28" s="4">
        <v>4</v>
      </c>
      <c r="B28" s="4">
        <v>18210.955710955706</v>
      </c>
      <c r="C28" s="4">
        <v>15789.044289044294</v>
      </c>
    </row>
    <row r="29" spans="1:9">
      <c r="A29" s="4">
        <v>5</v>
      </c>
      <c r="B29" s="4">
        <v>19759.906759906757</v>
      </c>
      <c r="C29" s="4">
        <v>-9759.9067599067566</v>
      </c>
    </row>
    <row r="30" spans="1:9">
      <c r="A30" s="4">
        <v>6</v>
      </c>
      <c r="B30" s="4">
        <v>21308.857808857807</v>
      </c>
      <c r="C30" s="4">
        <v>-3308.857808857807</v>
      </c>
    </row>
    <row r="31" spans="1:9">
      <c r="A31" s="4">
        <v>7</v>
      </c>
      <c r="B31" s="4">
        <v>22857.808857808857</v>
      </c>
      <c r="C31" s="4">
        <v>142.19114219114272</v>
      </c>
    </row>
    <row r="32" spans="1:9">
      <c r="A32" s="4">
        <v>8</v>
      </c>
      <c r="B32" s="4">
        <v>24406.759906759908</v>
      </c>
      <c r="C32" s="4">
        <v>13593.240093240092</v>
      </c>
    </row>
    <row r="33" spans="1:3">
      <c r="A33" s="4">
        <v>9</v>
      </c>
      <c r="B33" s="4">
        <v>25955.710955710958</v>
      </c>
      <c r="C33" s="4">
        <v>-13955.710955710958</v>
      </c>
    </row>
    <row r="34" spans="1:3">
      <c r="A34" s="4">
        <v>10</v>
      </c>
      <c r="B34" s="4">
        <v>27504.662004662005</v>
      </c>
      <c r="C34" s="4">
        <v>-14504.662004662005</v>
      </c>
    </row>
    <row r="35" spans="1:3">
      <c r="A35" s="4">
        <v>11</v>
      </c>
      <c r="B35" s="4">
        <v>29053.613053613051</v>
      </c>
      <c r="C35" s="4">
        <v>2946.3869463869487</v>
      </c>
    </row>
    <row r="36" spans="1:3" ht="15.75" thickBot="1">
      <c r="A36" s="5">
        <v>12</v>
      </c>
      <c r="B36" s="5">
        <v>30602.564102564102</v>
      </c>
      <c r="C36" s="5">
        <v>10397.435897435898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2" sqref="A2:L19"/>
    </sheetView>
  </sheetViews>
  <sheetFormatPr defaultRowHeight="15"/>
  <cols>
    <col min="3" max="3" width="10.5703125" bestFit="1" customWidth="1"/>
    <col min="4" max="4" width="10.5703125" customWidth="1"/>
    <col min="5" max="5" width="13.28515625" customWidth="1"/>
    <col min="6" max="6" width="12.5703125" customWidth="1"/>
    <col min="7" max="7" width="12.28515625" customWidth="1"/>
    <col min="8" max="8" width="11.5703125" customWidth="1"/>
  </cols>
  <sheetData>
    <row r="1" spans="1:12">
      <c r="A1" t="s">
        <v>42</v>
      </c>
    </row>
    <row r="2" spans="1:12">
      <c r="A2" s="1" t="s">
        <v>7</v>
      </c>
      <c r="B2" s="1" t="s">
        <v>8</v>
      </c>
      <c r="C2" s="1" t="s">
        <v>9</v>
      </c>
      <c r="D2" s="1" t="s">
        <v>12</v>
      </c>
      <c r="E2" s="1" t="s">
        <v>10</v>
      </c>
      <c r="F2" s="1" t="s">
        <v>11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</row>
    <row r="3" spans="1:12">
      <c r="A3" s="1">
        <v>0</v>
      </c>
      <c r="B3" s="1"/>
      <c r="C3" s="2">
        <v>12015</v>
      </c>
      <c r="D3" s="2">
        <f>1549</f>
        <v>1549</v>
      </c>
      <c r="E3" s="1"/>
      <c r="F3" s="1"/>
      <c r="G3" s="1"/>
      <c r="H3" s="1"/>
      <c r="I3" s="1"/>
      <c r="J3" s="1"/>
      <c r="K3" s="1"/>
      <c r="L3" s="1"/>
    </row>
    <row r="4" spans="1:12">
      <c r="A4" s="1">
        <v>1</v>
      </c>
      <c r="B4" s="1">
        <v>8000</v>
      </c>
      <c r="C4" s="2">
        <f>0.1*B4+(1-0.1)*(C3+D3)</f>
        <v>13007.6</v>
      </c>
      <c r="D4" s="2">
        <f>0.2*(C4-C3)+(1-0.2)*D3</f>
        <v>1437.7200000000003</v>
      </c>
      <c r="E4" s="2">
        <f>C3+D3</f>
        <v>13564</v>
      </c>
      <c r="F4" s="2">
        <f t="shared" ref="F4:F15" si="0">E4-B4</f>
        <v>5564</v>
      </c>
      <c r="G4" s="2">
        <f>ABS(F4)</f>
        <v>5564</v>
      </c>
      <c r="H4" s="1">
        <f>SUMSQ($F$4:F4)/A4</f>
        <v>30958096</v>
      </c>
      <c r="I4" s="2">
        <f>AVERAGE($G$4:G4)</f>
        <v>5564</v>
      </c>
      <c r="J4" s="2">
        <f t="shared" ref="J4:J15" si="1">(G4/B4)*100</f>
        <v>69.55</v>
      </c>
      <c r="K4" s="2">
        <f>AVERAGE($J$4:J4)</f>
        <v>69.55</v>
      </c>
      <c r="L4" s="1">
        <f>SUM($F$4:F4)/I4</f>
        <v>1</v>
      </c>
    </row>
    <row r="5" spans="1:12">
      <c r="A5" s="1">
        <v>2</v>
      </c>
      <c r="B5" s="1">
        <v>13000</v>
      </c>
      <c r="C5" s="2">
        <f t="shared" ref="C5:C15" si="2">0.1*B5+(1-0.1)*(C4+D4)</f>
        <v>14300.788</v>
      </c>
      <c r="D5" s="2">
        <f t="shared" ref="D5:D15" si="3">0.2*(C5-C4)+(1-0.2)*D4</f>
        <v>1408.8136000000002</v>
      </c>
      <c r="E5" s="2">
        <f t="shared" ref="E5:E16" si="4">C4+D4</f>
        <v>14445.32</v>
      </c>
      <c r="F5" s="2">
        <f t="shared" si="0"/>
        <v>1445.3199999999997</v>
      </c>
      <c r="G5" s="2">
        <f t="shared" ref="G5:G15" si="5">ABS(F5)</f>
        <v>1445.3199999999997</v>
      </c>
      <c r="H5" s="1">
        <f>SUMSQ($F$4:F5)/A5</f>
        <v>16523522.951199999</v>
      </c>
      <c r="I5" s="2">
        <f>AVERAGE($G$4:G5)</f>
        <v>3504.66</v>
      </c>
      <c r="J5" s="2">
        <f t="shared" si="1"/>
        <v>11.117846153846152</v>
      </c>
      <c r="K5" s="2">
        <f>AVERAGE($J$4:J5)</f>
        <v>40.333923076923071</v>
      </c>
      <c r="L5" s="1">
        <f>SUM($F$4:F5)/I5</f>
        <v>2</v>
      </c>
    </row>
    <row r="6" spans="1:12">
      <c r="A6" s="1">
        <v>3</v>
      </c>
      <c r="B6" s="1">
        <v>23000</v>
      </c>
      <c r="C6" s="2">
        <f t="shared" si="2"/>
        <v>16438.641439999999</v>
      </c>
      <c r="D6" s="2">
        <f t="shared" si="3"/>
        <v>1554.621568</v>
      </c>
      <c r="E6" s="2">
        <f t="shared" si="4"/>
        <v>15709.6016</v>
      </c>
      <c r="F6" s="2">
        <f t="shared" si="0"/>
        <v>-7290.3984</v>
      </c>
      <c r="G6" s="2">
        <f t="shared" si="5"/>
        <v>7290.3984</v>
      </c>
      <c r="H6" s="2">
        <f>SUMSQ($F$4:F6)/A6</f>
        <v>28732318.244374186</v>
      </c>
      <c r="I6" s="2">
        <f>AVERAGE($G$4:G6)</f>
        <v>4766.5727999999999</v>
      </c>
      <c r="J6" s="2">
        <f t="shared" si="1"/>
        <v>31.697384347826084</v>
      </c>
      <c r="K6" s="2">
        <f>AVERAGE($J$4:J6)</f>
        <v>37.455076833890743</v>
      </c>
      <c r="L6" s="3">
        <f>SUM($F$4:F6)/I6</f>
        <v>-5.8968657732448845E-2</v>
      </c>
    </row>
    <row r="7" spans="1:12">
      <c r="A7" s="1">
        <v>4</v>
      </c>
      <c r="B7" s="1">
        <v>34000</v>
      </c>
      <c r="C7" s="2">
        <f t="shared" si="2"/>
        <v>19593.936707199999</v>
      </c>
      <c r="D7" s="2">
        <f t="shared" si="3"/>
        <v>1874.7563078399999</v>
      </c>
      <c r="E7" s="2">
        <f t="shared" si="4"/>
        <v>17993.263007999998</v>
      </c>
      <c r="F7" s="2">
        <f t="shared" si="0"/>
        <v>-16006.736992000002</v>
      </c>
      <c r="G7" s="2">
        <f t="shared" si="5"/>
        <v>16006.736992000002</v>
      </c>
      <c r="H7" s="1">
        <f>SUMSQ($F$4:F7)/A7</f>
        <v>85603145.966045946</v>
      </c>
      <c r="I7" s="2">
        <f>AVERAGE($G$4:G7)</f>
        <v>7576.6138480000009</v>
      </c>
      <c r="J7" s="2">
        <f t="shared" si="1"/>
        <v>47.078638211764712</v>
      </c>
      <c r="K7" s="2">
        <f>AVERAGE($J$4:J7)</f>
        <v>39.860967178359232</v>
      </c>
      <c r="L7" s="3">
        <f>SUM($F$4:F7)/I7</f>
        <v>-2.1497486500911616</v>
      </c>
    </row>
    <row r="8" spans="1:12">
      <c r="A8" s="1">
        <v>5</v>
      </c>
      <c r="B8" s="1">
        <v>10000</v>
      </c>
      <c r="C8" s="2">
        <f t="shared" si="2"/>
        <v>20321.823713536</v>
      </c>
      <c r="D8" s="2">
        <f t="shared" si="3"/>
        <v>1645.3824475392003</v>
      </c>
      <c r="E8" s="2">
        <f t="shared" si="4"/>
        <v>21468.69301504</v>
      </c>
      <c r="F8" s="2">
        <f t="shared" si="0"/>
        <v>11468.69301504</v>
      </c>
      <c r="G8" s="2">
        <f t="shared" si="5"/>
        <v>11468.69301504</v>
      </c>
      <c r="H8" s="1">
        <f>SUMSQ($F$4:F8)/A8</f>
        <v>94788700.667482212</v>
      </c>
      <c r="I8" s="2">
        <f>AVERAGE($G$4:G8)</f>
        <v>8355.0296814080011</v>
      </c>
      <c r="J8" s="2">
        <f t="shared" si="1"/>
        <v>114.68693015040002</v>
      </c>
      <c r="K8" s="2">
        <f>AVERAGE($J$4:J8)</f>
        <v>54.82615977276739</v>
      </c>
      <c r="L8" s="3">
        <f>SUM($F$4:F8)/I8</f>
        <v>-0.57679296911221467</v>
      </c>
    </row>
    <row r="9" spans="1:12">
      <c r="A9" s="1">
        <v>6</v>
      </c>
      <c r="B9" s="1">
        <v>18000</v>
      </c>
      <c r="C9" s="2">
        <f t="shared" si="2"/>
        <v>21570.48554496768</v>
      </c>
      <c r="D9" s="2">
        <f t="shared" si="3"/>
        <v>1566.0383243176962</v>
      </c>
      <c r="E9" s="2">
        <f t="shared" si="4"/>
        <v>21967.206161075199</v>
      </c>
      <c r="F9" s="2">
        <f t="shared" si="0"/>
        <v>3967.2061610751989</v>
      </c>
      <c r="G9" s="2">
        <f t="shared" si="5"/>
        <v>3967.2061610751989</v>
      </c>
      <c r="H9" s="1">
        <f>SUMSQ($F$4:F9)/A9</f>
        <v>81613704.676980674</v>
      </c>
      <c r="I9" s="2">
        <f>AVERAGE($G$4:G9)</f>
        <v>7623.7257613525335</v>
      </c>
      <c r="J9" s="2">
        <f t="shared" si="1"/>
        <v>22.040034228195548</v>
      </c>
      <c r="K9" s="2">
        <f>AVERAGE($J$4:J9)</f>
        <v>49.361805515338752</v>
      </c>
      <c r="L9" s="3">
        <f>SUM($F$4:F9)/I9</f>
        <v>-0.11174539097451265</v>
      </c>
    </row>
    <row r="10" spans="1:12">
      <c r="A10" s="1">
        <v>7</v>
      </c>
      <c r="B10" s="1">
        <v>23000</v>
      </c>
      <c r="C10" s="2">
        <f t="shared" si="2"/>
        <v>23122.871482356837</v>
      </c>
      <c r="D10" s="2">
        <f t="shared" si="3"/>
        <v>1563.3078469319885</v>
      </c>
      <c r="E10" s="2">
        <f t="shared" si="4"/>
        <v>23136.523869285375</v>
      </c>
      <c r="F10" s="2">
        <f t="shared" si="0"/>
        <v>136.52386928537453</v>
      </c>
      <c r="G10" s="2">
        <f t="shared" si="5"/>
        <v>136.52386928537453</v>
      </c>
      <c r="H10" s="1">
        <f>SUMSQ($F$4:F10)/A10</f>
        <v>69957266.689824089</v>
      </c>
      <c r="I10" s="2">
        <f>AVERAGE($G$4:G10)</f>
        <v>6554.1254910572252</v>
      </c>
      <c r="J10" s="2">
        <f t="shared" si="1"/>
        <v>0.59358204037119355</v>
      </c>
      <c r="K10" s="2">
        <f>AVERAGE($J$4:J10)</f>
        <v>42.394916447486246</v>
      </c>
      <c r="L10" s="3">
        <f>SUM($F$4:F10)/I10</f>
        <v>-0.10915145698316966</v>
      </c>
    </row>
    <row r="11" spans="1:12">
      <c r="A11" s="1">
        <v>8</v>
      </c>
      <c r="B11" s="1">
        <v>38000</v>
      </c>
      <c r="C11" s="2">
        <f t="shared" si="2"/>
        <v>26017.561396359943</v>
      </c>
      <c r="D11" s="2">
        <f t="shared" si="3"/>
        <v>1829.584260346212</v>
      </c>
      <c r="E11" s="2">
        <f t="shared" si="4"/>
        <v>24686.179329288825</v>
      </c>
      <c r="F11" s="2">
        <f t="shared" si="0"/>
        <v>-13313.820670711175</v>
      </c>
      <c r="G11" s="2">
        <f t="shared" si="5"/>
        <v>13313.820670711175</v>
      </c>
      <c r="H11" s="1">
        <f>SUMSQ($F$4:F11)/A11</f>
        <v>83369835.960078105</v>
      </c>
      <c r="I11" s="2">
        <f>AVERAGE($G$4:G11)</f>
        <v>7399.087388513969</v>
      </c>
      <c r="J11" s="2">
        <f t="shared" si="1"/>
        <v>35.036370186082038</v>
      </c>
      <c r="K11" s="2">
        <f>AVERAGE($J$4:J11)</f>
        <v>41.475098164810717</v>
      </c>
      <c r="L11" s="3">
        <f>SUM($F$4:F11)/I11</f>
        <v>-1.8960734318517392</v>
      </c>
    </row>
    <row r="12" spans="1:12">
      <c r="A12" s="1">
        <v>9</v>
      </c>
      <c r="B12" s="1">
        <v>12000</v>
      </c>
      <c r="C12" s="2">
        <f t="shared" si="2"/>
        <v>26262.431091035538</v>
      </c>
      <c r="D12" s="2">
        <f t="shared" si="3"/>
        <v>1512.6413472120887</v>
      </c>
      <c r="E12" s="2">
        <f t="shared" si="4"/>
        <v>27847.145656706154</v>
      </c>
      <c r="F12" s="2">
        <f t="shared" si="0"/>
        <v>15847.145656706154</v>
      </c>
      <c r="G12" s="2">
        <f t="shared" si="5"/>
        <v>15847.145656706154</v>
      </c>
      <c r="H12" s="1">
        <f>SUMSQ($F$4:F12)/A12</f>
        <v>102010079.23838729</v>
      </c>
      <c r="I12" s="2">
        <f>AVERAGE($G$4:G12)</f>
        <v>8337.760529424213</v>
      </c>
      <c r="J12" s="2">
        <f t="shared" si="1"/>
        <v>132.05954713921795</v>
      </c>
      <c r="K12" s="2">
        <f>AVERAGE($J$4:J12)</f>
        <v>51.540036939744851</v>
      </c>
      <c r="L12" s="3">
        <f>SUM($F$4:F12)/I12</f>
        <v>0.21803608210862024</v>
      </c>
    </row>
    <row r="13" spans="1:12">
      <c r="A13" s="1">
        <v>10</v>
      </c>
      <c r="B13" s="1">
        <v>13000</v>
      </c>
      <c r="C13" s="2">
        <f t="shared" si="2"/>
        <v>26297.565194422863</v>
      </c>
      <c r="D13" s="2">
        <f t="shared" si="3"/>
        <v>1217.1398984471359</v>
      </c>
      <c r="E13" s="2">
        <f t="shared" si="4"/>
        <v>27775.072438247626</v>
      </c>
      <c r="F13" s="2">
        <f t="shared" si="0"/>
        <v>14775.072438247626</v>
      </c>
      <c r="G13" s="2">
        <f t="shared" si="5"/>
        <v>14775.072438247626</v>
      </c>
      <c r="H13" s="1">
        <f>SUMSQ($F$4:F13)/A13</f>
        <v>113639347.87009501</v>
      </c>
      <c r="I13" s="2">
        <f>AVERAGE($G$4:G13)</f>
        <v>8981.4917203065525</v>
      </c>
      <c r="J13" s="2">
        <f t="shared" si="1"/>
        <v>113.65440337113557</v>
      </c>
      <c r="K13" s="2">
        <f>AVERAGE($J$4:J13)</f>
        <v>57.751473582883932</v>
      </c>
      <c r="L13" s="3">
        <f>SUM($F$4:F13)/I13</f>
        <v>1.8474665004842681</v>
      </c>
    </row>
    <row r="14" spans="1:12">
      <c r="A14" s="1">
        <v>11</v>
      </c>
      <c r="B14" s="1">
        <v>32000</v>
      </c>
      <c r="C14" s="2">
        <f t="shared" si="2"/>
        <v>27963.234583582998</v>
      </c>
      <c r="D14" s="2">
        <f t="shared" si="3"/>
        <v>1306.845796589736</v>
      </c>
      <c r="E14" s="2">
        <f t="shared" si="4"/>
        <v>27514.705092869997</v>
      </c>
      <c r="F14" s="2">
        <f t="shared" si="0"/>
        <v>-4485.2949071300027</v>
      </c>
      <c r="G14" s="2">
        <f t="shared" si="5"/>
        <v>4485.2949071300027</v>
      </c>
      <c r="H14" s="1">
        <f>SUMSQ($F$4:F14)/A14</f>
        <v>105137395.3731706</v>
      </c>
      <c r="I14" s="2">
        <f>AVERAGE($G$4:G14)</f>
        <v>8572.7465554723221</v>
      </c>
      <c r="J14" s="2">
        <f t="shared" si="1"/>
        <v>14.016546584781258</v>
      </c>
      <c r="K14" s="2">
        <f>AVERAGE($J$4:J14)</f>
        <v>53.775571128510961</v>
      </c>
      <c r="L14" s="3">
        <f>SUM($F$4:F14)/I14</f>
        <v>1.4123490169885335</v>
      </c>
    </row>
    <row r="15" spans="1:12">
      <c r="A15" s="1">
        <v>12</v>
      </c>
      <c r="B15" s="1">
        <v>41000</v>
      </c>
      <c r="C15" s="2">
        <f t="shared" si="2"/>
        <v>30443.072342155461</v>
      </c>
      <c r="D15" s="2">
        <f t="shared" si="3"/>
        <v>1541.4441889862815</v>
      </c>
      <c r="E15" s="2">
        <f t="shared" si="4"/>
        <v>29270.080380172734</v>
      </c>
      <c r="F15" s="2">
        <f t="shared" si="0"/>
        <v>-11729.919619827266</v>
      </c>
      <c r="G15" s="2">
        <f t="shared" si="5"/>
        <v>11729.919619827266</v>
      </c>
      <c r="H15" s="1">
        <f>SUMSQ($F$4:F15)/A15</f>
        <v>107841863.61604042</v>
      </c>
      <c r="I15" s="2">
        <f>AVERAGE($G$4:G15)</f>
        <v>8835.8443108352349</v>
      </c>
      <c r="J15" s="2">
        <f t="shared" si="1"/>
        <v>28.609560048359185</v>
      </c>
      <c r="K15" s="2">
        <f>AVERAGE($J$4:J15)</f>
        <v>51.678403538498316</v>
      </c>
      <c r="L15" s="3">
        <f>SUM($F$4:F15)/I15</f>
        <v>4.2756587530931076E-2</v>
      </c>
    </row>
    <row r="16" spans="1:12">
      <c r="A16" s="1">
        <v>13</v>
      </c>
      <c r="B16" s="1"/>
      <c r="C16" s="1"/>
      <c r="D16" s="1"/>
      <c r="E16" s="2">
        <f t="shared" si="4"/>
        <v>31984.516531141744</v>
      </c>
      <c r="F16" s="1"/>
      <c r="G16" s="1"/>
      <c r="H16" s="1"/>
      <c r="I16" s="1"/>
      <c r="J16" s="1"/>
      <c r="K16" s="1"/>
      <c r="L16" s="1"/>
    </row>
    <row r="17" spans="1:12">
      <c r="A17" s="1">
        <v>14</v>
      </c>
      <c r="B17" s="1"/>
      <c r="C17" s="1"/>
      <c r="D17" s="1"/>
      <c r="E17" s="2">
        <f>C15+2*D15</f>
        <v>33525.960720128023</v>
      </c>
      <c r="F17" s="1"/>
      <c r="G17" s="1"/>
      <c r="H17" s="1"/>
      <c r="I17" s="1"/>
      <c r="J17" s="1"/>
      <c r="K17" s="1"/>
      <c r="L17" s="1"/>
    </row>
    <row r="18" spans="1:12">
      <c r="A18" s="1">
        <v>15</v>
      </c>
      <c r="B18" s="1"/>
      <c r="C18" s="1"/>
      <c r="D18" s="1"/>
      <c r="E18" s="2">
        <f>C15+3*D15</f>
        <v>35067.40490911431</v>
      </c>
      <c r="F18" s="1"/>
      <c r="G18" s="1"/>
      <c r="H18" s="1"/>
      <c r="I18" s="1"/>
      <c r="J18" s="1"/>
      <c r="K18" s="1"/>
      <c r="L18" s="1"/>
    </row>
    <row r="19" spans="1:12">
      <c r="A19" s="1">
        <v>16</v>
      </c>
      <c r="B19" s="1"/>
      <c r="C19" s="1"/>
      <c r="D19" s="1"/>
      <c r="E19" s="2">
        <f>C15+4*D15</f>
        <v>36608.849098100589</v>
      </c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sqref="A1:I32"/>
    </sheetView>
  </sheetViews>
  <sheetFormatPr defaultRowHeight="15"/>
  <sheetData>
    <row r="1" spans="1:9">
      <c r="A1" t="s">
        <v>13</v>
      </c>
    </row>
    <row r="2" spans="1:9" ht="15.75" thickBot="1"/>
    <row r="3" spans="1:9">
      <c r="A3" s="7" t="s">
        <v>14</v>
      </c>
      <c r="B3" s="7"/>
    </row>
    <row r="4" spans="1:9">
      <c r="A4" s="4" t="s">
        <v>15</v>
      </c>
      <c r="B4" s="4">
        <v>0.95806523657865916</v>
      </c>
    </row>
    <row r="5" spans="1:9">
      <c r="A5" s="4" t="s">
        <v>16</v>
      </c>
      <c r="B5" s="4">
        <v>0.91788899754052211</v>
      </c>
    </row>
    <row r="6" spans="1:9">
      <c r="A6" s="4" t="s">
        <v>17</v>
      </c>
      <c r="B6" s="4">
        <v>0.90420383046394248</v>
      </c>
    </row>
    <row r="7" spans="1:9">
      <c r="A7" s="4" t="s">
        <v>18</v>
      </c>
      <c r="B7" s="4">
        <v>414.50331244966679</v>
      </c>
    </row>
    <row r="8" spans="1:9" ht="15.75" thickBot="1">
      <c r="A8" s="5" t="s">
        <v>19</v>
      </c>
      <c r="B8" s="5">
        <v>8</v>
      </c>
    </row>
    <row r="10" spans="1:9" ht="15.75" thickBot="1">
      <c r="A10" t="s">
        <v>20</v>
      </c>
    </row>
    <row r="11" spans="1:9">
      <c r="A11" s="6"/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</row>
    <row r="12" spans="1:9">
      <c r="A12" s="4" t="s">
        <v>21</v>
      </c>
      <c r="B12" s="4">
        <v>1</v>
      </c>
      <c r="C12" s="4">
        <v>11523809.523809524</v>
      </c>
      <c r="D12" s="4">
        <v>11523809.523809524</v>
      </c>
      <c r="E12" s="4">
        <v>67.071815229159128</v>
      </c>
      <c r="F12" s="4">
        <v>1.78608624695548E-4</v>
      </c>
    </row>
    <row r="13" spans="1:9">
      <c r="A13" s="4" t="s">
        <v>22</v>
      </c>
      <c r="B13" s="4">
        <v>6</v>
      </c>
      <c r="C13" s="4">
        <v>1030877.9761904766</v>
      </c>
      <c r="D13" s="4">
        <v>171812.99603174609</v>
      </c>
      <c r="E13" s="4"/>
      <c r="F13" s="4"/>
    </row>
    <row r="14" spans="1:9" ht="15.75" thickBot="1">
      <c r="A14" s="5" t="s">
        <v>23</v>
      </c>
      <c r="B14" s="5">
        <v>7</v>
      </c>
      <c r="C14" s="5">
        <v>12554687.5</v>
      </c>
      <c r="D14" s="5"/>
      <c r="E14" s="5"/>
      <c r="F14" s="5"/>
    </row>
    <row r="15" spans="1:9" ht="15.75" thickBot="1"/>
    <row r="16" spans="1:9">
      <c r="A16" s="6"/>
      <c r="B16" s="6" t="s">
        <v>30</v>
      </c>
      <c r="C16" s="6" t="s">
        <v>18</v>
      </c>
      <c r="D16" s="6" t="s">
        <v>31</v>
      </c>
      <c r="E16" s="6" t="s">
        <v>32</v>
      </c>
      <c r="F16" s="6" t="s">
        <v>33</v>
      </c>
      <c r="G16" s="6" t="s">
        <v>34</v>
      </c>
      <c r="H16" s="6" t="s">
        <v>35</v>
      </c>
      <c r="I16" s="6" t="s">
        <v>36</v>
      </c>
    </row>
    <row r="17" spans="1:9">
      <c r="A17" s="4" t="s">
        <v>24</v>
      </c>
      <c r="B17" s="4">
        <v>18438.988095238095</v>
      </c>
      <c r="C17" s="4">
        <v>440.80870787753872</v>
      </c>
      <c r="D17" s="4">
        <v>41.829908905430784</v>
      </c>
      <c r="E17" s="4">
        <v>1.2487616471728868E-8</v>
      </c>
      <c r="F17" s="4">
        <v>17360.368045921863</v>
      </c>
      <c r="G17" s="4">
        <v>19517.608144554328</v>
      </c>
      <c r="H17" s="4">
        <v>17360.368045921863</v>
      </c>
      <c r="I17" s="4">
        <v>19517.608144554328</v>
      </c>
    </row>
    <row r="18" spans="1:9" ht="15.75" thickBot="1">
      <c r="A18" s="5" t="s">
        <v>37</v>
      </c>
      <c r="B18" s="5">
        <v>523.80952380952385</v>
      </c>
      <c r="C18" s="5">
        <v>63.959249681367268</v>
      </c>
      <c r="D18" s="5">
        <v>8.1897384103009738</v>
      </c>
      <c r="E18" s="5">
        <v>1.78608624695548E-4</v>
      </c>
      <c r="F18" s="5">
        <v>367.30687807524055</v>
      </c>
      <c r="G18" s="5">
        <v>680.31216954380716</v>
      </c>
      <c r="H18" s="5">
        <v>367.30687807524055</v>
      </c>
      <c r="I18" s="5">
        <v>680.31216954380716</v>
      </c>
    </row>
    <row r="22" spans="1:9">
      <c r="A22" t="s">
        <v>38</v>
      </c>
    </row>
    <row r="23" spans="1:9" ht="15.75" thickBot="1"/>
    <row r="24" spans="1:9">
      <c r="A24" s="6" t="s">
        <v>39</v>
      </c>
      <c r="B24" s="6" t="s">
        <v>40</v>
      </c>
      <c r="C24" s="6" t="s">
        <v>41</v>
      </c>
    </row>
    <row r="25" spans="1:9">
      <c r="A25" s="4">
        <v>1</v>
      </c>
      <c r="B25" s="4">
        <v>20010.416666666668</v>
      </c>
      <c r="C25" s="4">
        <v>-260.41666666666788</v>
      </c>
    </row>
    <row r="26" spans="1:9">
      <c r="A26" s="4">
        <v>2</v>
      </c>
      <c r="B26" s="4">
        <v>20534.226190476191</v>
      </c>
      <c r="C26" s="4">
        <v>90.773809523809177</v>
      </c>
    </row>
    <row r="27" spans="1:9">
      <c r="A27" s="4">
        <v>3</v>
      </c>
      <c r="B27" s="4">
        <v>21058.035714285714</v>
      </c>
      <c r="C27" s="4">
        <v>191.96428571428623</v>
      </c>
    </row>
    <row r="28" spans="1:9">
      <c r="A28" s="4">
        <v>4</v>
      </c>
      <c r="B28" s="4">
        <v>21581.845238095237</v>
      </c>
      <c r="C28" s="4">
        <v>168.15476190476329</v>
      </c>
    </row>
    <row r="29" spans="1:9">
      <c r="A29" s="4">
        <v>5</v>
      </c>
      <c r="B29" s="4">
        <v>22105.654761904763</v>
      </c>
      <c r="C29" s="4">
        <v>394.34523809523671</v>
      </c>
    </row>
    <row r="30" spans="1:9">
      <c r="A30" s="4">
        <v>6</v>
      </c>
      <c r="B30" s="4">
        <v>22629.464285714286</v>
      </c>
      <c r="C30" s="4">
        <v>-504.46428571428623</v>
      </c>
    </row>
    <row r="31" spans="1:9">
      <c r="A31" s="4">
        <v>7</v>
      </c>
      <c r="B31" s="4">
        <v>23153.273809523809</v>
      </c>
      <c r="C31" s="4">
        <v>-528.27380952380918</v>
      </c>
    </row>
    <row r="32" spans="1:9" ht="15.75" thickBot="1">
      <c r="A32" s="5">
        <v>8</v>
      </c>
      <c r="B32" s="5">
        <v>23677.083333333336</v>
      </c>
      <c r="C32" s="5">
        <v>447.91666666666424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6" sqref="C6"/>
    </sheetView>
  </sheetViews>
  <sheetFormatPr defaultRowHeight="15"/>
  <cols>
    <col min="2" max="2" width="12" customWidth="1"/>
  </cols>
  <sheetData>
    <row r="1" spans="1:3">
      <c r="A1" t="s">
        <v>43</v>
      </c>
    </row>
    <row r="3" spans="1:3">
      <c r="A3" t="s">
        <v>7</v>
      </c>
      <c r="B3" t="s">
        <v>8</v>
      </c>
      <c r="C3" t="s">
        <v>44</v>
      </c>
    </row>
    <row r="4" spans="1:3">
      <c r="A4">
        <v>1</v>
      </c>
      <c r="B4" s="1">
        <v>8000</v>
      </c>
    </row>
    <row r="5" spans="1:3">
      <c r="A5">
        <v>2</v>
      </c>
      <c r="B5" s="1">
        <v>13000</v>
      </c>
    </row>
    <row r="6" spans="1:3">
      <c r="A6">
        <v>3</v>
      </c>
      <c r="B6" s="1">
        <v>23000</v>
      </c>
      <c r="C6">
        <f>(B4+B8+2*SUM(B5:B7))/8</f>
        <v>19750</v>
      </c>
    </row>
    <row r="7" spans="1:3">
      <c r="A7">
        <v>4</v>
      </c>
      <c r="B7" s="1">
        <v>34000</v>
      </c>
      <c r="C7">
        <f t="shared" ref="C7:C13" si="0">(B5+B9+2*SUM(B6:B8))/8</f>
        <v>20625</v>
      </c>
    </row>
    <row r="8" spans="1:3">
      <c r="A8">
        <v>5</v>
      </c>
      <c r="B8" s="1">
        <v>10000</v>
      </c>
      <c r="C8">
        <f t="shared" si="0"/>
        <v>21250</v>
      </c>
    </row>
    <row r="9" spans="1:3">
      <c r="A9">
        <v>6</v>
      </c>
      <c r="B9" s="1">
        <v>18000</v>
      </c>
      <c r="C9">
        <f t="shared" si="0"/>
        <v>21750</v>
      </c>
    </row>
    <row r="10" spans="1:3">
      <c r="A10">
        <v>7</v>
      </c>
      <c r="B10" s="1">
        <v>23000</v>
      </c>
      <c r="C10">
        <f t="shared" si="0"/>
        <v>22500</v>
      </c>
    </row>
    <row r="11" spans="1:3">
      <c r="A11">
        <v>8</v>
      </c>
      <c r="B11" s="1">
        <v>38000</v>
      </c>
      <c r="C11">
        <f t="shared" si="0"/>
        <v>22125</v>
      </c>
    </row>
    <row r="12" spans="1:3">
      <c r="A12">
        <v>9</v>
      </c>
      <c r="B12" s="1">
        <v>12000</v>
      </c>
      <c r="C12">
        <f t="shared" si="0"/>
        <v>22625</v>
      </c>
    </row>
    <row r="13" spans="1:3">
      <c r="A13">
        <v>10</v>
      </c>
      <c r="B13" s="1">
        <v>13000</v>
      </c>
      <c r="C13">
        <f t="shared" si="0"/>
        <v>24125</v>
      </c>
    </row>
    <row r="14" spans="1:3">
      <c r="A14">
        <v>11</v>
      </c>
      <c r="B14" s="1">
        <v>32000</v>
      </c>
    </row>
    <row r="15" spans="1:3">
      <c r="A15">
        <v>12</v>
      </c>
      <c r="B15" s="1">
        <v>41000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E2" sqref="E2"/>
    </sheetView>
  </sheetViews>
  <sheetFormatPr defaultRowHeight="15"/>
  <cols>
    <col min="2" max="2" width="13.5703125" customWidth="1"/>
    <col min="3" max="3" width="16.85546875" customWidth="1"/>
    <col min="8" max="8" width="11.42578125" customWidth="1"/>
  </cols>
  <sheetData>
    <row r="1" spans="1:9" ht="30">
      <c r="A1" t="s">
        <v>7</v>
      </c>
      <c r="B1" t="s">
        <v>8</v>
      </c>
      <c r="C1" s="8" t="s">
        <v>45</v>
      </c>
      <c r="D1" s="8" t="s">
        <v>46</v>
      </c>
    </row>
    <row r="2" spans="1:9">
      <c r="A2">
        <v>1</v>
      </c>
      <c r="B2" s="1">
        <v>8000</v>
      </c>
      <c r="C2">
        <f>18439+A2*524</f>
        <v>18963</v>
      </c>
      <c r="D2" s="9">
        <f>B2/C2</f>
        <v>0.42187417602699995</v>
      </c>
      <c r="E2" s="9">
        <f>AVERAGE(D2,D6,D10)</f>
        <v>0.47165904366200612</v>
      </c>
      <c r="H2" t="s">
        <v>47</v>
      </c>
      <c r="I2">
        <v>18439</v>
      </c>
    </row>
    <row r="3" spans="1:9">
      <c r="A3">
        <v>2</v>
      </c>
      <c r="B3" s="1">
        <v>13000</v>
      </c>
      <c r="C3">
        <f t="shared" ref="C3:C13" si="0">18439+A3*524</f>
        <v>19487</v>
      </c>
      <c r="D3" s="9">
        <f t="shared" ref="D3:D13" si="1">B3/C3</f>
        <v>0.66711140760507004</v>
      </c>
      <c r="E3" s="9">
        <f t="shared" ref="E3:E13" si="2">AVERAGE(D3,D7,D11)</f>
        <v>0.68337026424948055</v>
      </c>
      <c r="H3" t="s">
        <v>48</v>
      </c>
      <c r="I3">
        <v>524</v>
      </c>
    </row>
    <row r="4" spans="1:9">
      <c r="A4">
        <v>3</v>
      </c>
      <c r="B4" s="1">
        <v>23000</v>
      </c>
      <c r="C4">
        <f t="shared" si="0"/>
        <v>20011</v>
      </c>
      <c r="D4" s="9">
        <f t="shared" si="1"/>
        <v>1.1493678476837739</v>
      </c>
      <c r="E4" s="9">
        <f t="shared" si="2"/>
        <v>1.1706374798527197</v>
      </c>
    </row>
    <row r="5" spans="1:9">
      <c r="A5">
        <v>4</v>
      </c>
      <c r="B5" s="1">
        <v>34000</v>
      </c>
      <c r="C5">
        <f t="shared" si="0"/>
        <v>20535</v>
      </c>
      <c r="D5" s="9">
        <f t="shared" si="1"/>
        <v>1.6557097638178719</v>
      </c>
      <c r="E5" s="9">
        <f t="shared" si="2"/>
        <v>1.6643096695132693</v>
      </c>
    </row>
    <row r="6" spans="1:9">
      <c r="A6">
        <v>5</v>
      </c>
      <c r="B6" s="1">
        <v>10000</v>
      </c>
      <c r="C6">
        <f t="shared" si="0"/>
        <v>21059</v>
      </c>
      <c r="D6" s="9">
        <f t="shared" si="1"/>
        <v>0.47485635595232445</v>
      </c>
      <c r="E6" s="9">
        <f t="shared" si="2"/>
        <v>0.49655147747950923</v>
      </c>
    </row>
    <row r="7" spans="1:9">
      <c r="A7">
        <v>6</v>
      </c>
      <c r="B7" s="1">
        <v>18000</v>
      </c>
      <c r="C7">
        <f t="shared" si="0"/>
        <v>21583</v>
      </c>
      <c r="D7" s="9">
        <f t="shared" si="1"/>
        <v>0.83398971412685907</v>
      </c>
      <c r="E7" s="9">
        <f t="shared" si="2"/>
        <v>0.69149969257168586</v>
      </c>
    </row>
    <row r="8" spans="1:9">
      <c r="A8">
        <v>7</v>
      </c>
      <c r="B8" s="1">
        <v>23000</v>
      </c>
      <c r="C8">
        <f t="shared" si="0"/>
        <v>22107</v>
      </c>
      <c r="D8" s="9">
        <f t="shared" si="1"/>
        <v>1.0403944451983536</v>
      </c>
      <c r="E8" s="9">
        <f t="shared" si="2"/>
        <v>1.1812722959371929</v>
      </c>
    </row>
    <row r="9" spans="1:9">
      <c r="A9">
        <v>8</v>
      </c>
      <c r="B9" s="1">
        <v>38000</v>
      </c>
      <c r="C9">
        <f t="shared" si="0"/>
        <v>22631</v>
      </c>
      <c r="D9" s="9">
        <f t="shared" si="1"/>
        <v>1.6791127214882242</v>
      </c>
      <c r="E9" s="9">
        <f t="shared" si="2"/>
        <v>1.6686096223609681</v>
      </c>
    </row>
    <row r="10" spans="1:9">
      <c r="A10">
        <v>9</v>
      </c>
      <c r="B10" s="1">
        <v>12000</v>
      </c>
      <c r="C10">
        <f t="shared" si="0"/>
        <v>23155</v>
      </c>
      <c r="D10" s="9">
        <f t="shared" si="1"/>
        <v>0.51824659900669401</v>
      </c>
      <c r="E10" s="9">
        <f t="shared" si="2"/>
        <v>0.51824659900669401</v>
      </c>
    </row>
    <row r="11" spans="1:9">
      <c r="A11">
        <v>10</v>
      </c>
      <c r="B11" s="1">
        <v>13000</v>
      </c>
      <c r="C11">
        <f t="shared" si="0"/>
        <v>23679</v>
      </c>
      <c r="D11" s="9">
        <f t="shared" si="1"/>
        <v>0.54900967101651255</v>
      </c>
      <c r="E11" s="9">
        <f t="shared" si="2"/>
        <v>0.54900967101651255</v>
      </c>
    </row>
    <row r="12" spans="1:9">
      <c r="A12">
        <v>11</v>
      </c>
      <c r="B12" s="1">
        <v>32000</v>
      </c>
      <c r="C12">
        <f t="shared" si="0"/>
        <v>24203</v>
      </c>
      <c r="D12" s="9">
        <f t="shared" si="1"/>
        <v>1.3221501466760319</v>
      </c>
      <c r="E12" s="9">
        <f t="shared" si="2"/>
        <v>1.3221501466760319</v>
      </c>
    </row>
    <row r="13" spans="1:9">
      <c r="A13">
        <v>12</v>
      </c>
      <c r="B13" s="1">
        <v>41000</v>
      </c>
      <c r="C13">
        <f t="shared" si="0"/>
        <v>24727</v>
      </c>
      <c r="D13" s="9">
        <f t="shared" si="1"/>
        <v>1.6581065232337122</v>
      </c>
      <c r="E13" s="9">
        <f t="shared" si="2"/>
        <v>1.6581065232337122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L24" sqref="L24"/>
    </sheetView>
  </sheetViews>
  <sheetFormatPr defaultRowHeight="15"/>
  <sheetData>
    <row r="1" spans="1:13">
      <c r="A1" t="s">
        <v>49</v>
      </c>
    </row>
    <row r="2" spans="1:13" ht="30">
      <c r="A2" s="1" t="s">
        <v>7</v>
      </c>
      <c r="B2" s="1" t="s">
        <v>8</v>
      </c>
      <c r="C2" s="1" t="s">
        <v>9</v>
      </c>
      <c r="D2" s="1" t="s">
        <v>12</v>
      </c>
      <c r="E2" s="10" t="s">
        <v>46</v>
      </c>
      <c r="F2" s="1" t="s">
        <v>10</v>
      </c>
      <c r="G2" s="1" t="s">
        <v>11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A3" s="1">
        <v>0</v>
      </c>
      <c r="B3" s="1"/>
      <c r="C3" s="2">
        <v>18439</v>
      </c>
      <c r="D3" s="2">
        <f>524</f>
        <v>524</v>
      </c>
      <c r="E3" s="2"/>
      <c r="F3" s="1"/>
      <c r="G3" s="1"/>
      <c r="H3" s="1"/>
      <c r="I3" s="1"/>
      <c r="J3" s="1"/>
      <c r="K3" s="1"/>
      <c r="L3" s="1"/>
      <c r="M3" s="1"/>
    </row>
    <row r="4" spans="1:13">
      <c r="A4" s="1">
        <v>1</v>
      </c>
      <c r="B4" s="1">
        <v>8000</v>
      </c>
      <c r="C4" s="2">
        <f>0.05*(B4/E4)+(1-0.05)*(C3+D3)</f>
        <v>18865.913829787234</v>
      </c>
      <c r="D4" s="2">
        <f>0.1*(C4-C3)+(1-0.1)*D3</f>
        <v>514.29138297872339</v>
      </c>
      <c r="E4" s="9">
        <v>0.47</v>
      </c>
      <c r="F4" s="2">
        <f>(C3+D3)*E4</f>
        <v>8912.6099999999988</v>
      </c>
      <c r="G4" s="2">
        <f t="shared" ref="G4:G15" si="0">F4-B4</f>
        <v>912.60999999999876</v>
      </c>
      <c r="H4" s="2">
        <f>ABS(G4)</f>
        <v>912.60999999999876</v>
      </c>
      <c r="I4" s="1">
        <f>SUMSQ($G$4:G4)/A4</f>
        <v>832857.01209999772</v>
      </c>
      <c r="J4" s="2">
        <f>AVERAGE($H$4:H4)</f>
        <v>912.60999999999876</v>
      </c>
      <c r="K4" s="2">
        <f t="shared" ref="K4:K15" si="1">(H4/B4)*100</f>
        <v>11.407624999999985</v>
      </c>
      <c r="L4" s="2">
        <f>AVERAGE($K$4:K4)</f>
        <v>11.407624999999985</v>
      </c>
      <c r="M4" s="1">
        <f>SUM($G$4:G4)/J4</f>
        <v>1</v>
      </c>
    </row>
    <row r="5" spans="1:13">
      <c r="A5" s="1">
        <v>2</v>
      </c>
      <c r="B5" s="1">
        <v>13000</v>
      </c>
      <c r="C5" s="2">
        <f t="shared" ref="C5:C15" si="2">0.05*(B5/E5)+(1-0.05)*(C4+D4)</f>
        <v>19367.077305068837</v>
      </c>
      <c r="D5" s="2">
        <f t="shared" ref="D5:D15" si="3">0.1*(C5-C4)+(1-0.1)*D4</f>
        <v>512.97859220901137</v>
      </c>
      <c r="E5" s="9">
        <v>0.68</v>
      </c>
      <c r="F5" s="2">
        <f t="shared" ref="F5:F15" si="4">(C4+D4)*E5</f>
        <v>13178.539544680852</v>
      </c>
      <c r="G5" s="2">
        <f t="shared" si="0"/>
        <v>178.53954468085249</v>
      </c>
      <c r="H5" s="2">
        <f t="shared" ref="H5:H15" si="5">ABS(G5)</f>
        <v>178.53954468085249</v>
      </c>
      <c r="I5" s="1">
        <f>SUMSQ($G$4:G5)/A5</f>
        <v>432366.69055742194</v>
      </c>
      <c r="J5" s="2">
        <f>AVERAGE($H$4:H5)</f>
        <v>545.57477234042562</v>
      </c>
      <c r="K5" s="2">
        <f t="shared" si="1"/>
        <v>1.3733811129296345</v>
      </c>
      <c r="L5" s="2">
        <f>AVERAGE($K$4:K5)</f>
        <v>6.3905030564648095</v>
      </c>
      <c r="M5" s="1">
        <f>SUM($G$4:G5)/J5</f>
        <v>2</v>
      </c>
    </row>
    <row r="6" spans="1:13">
      <c r="A6" s="1">
        <v>3</v>
      </c>
      <c r="B6" s="1">
        <v>23000</v>
      </c>
      <c r="C6" s="2">
        <f t="shared" si="2"/>
        <v>19868.959085319941</v>
      </c>
      <c r="D6" s="2">
        <f t="shared" si="3"/>
        <v>511.86891101322067</v>
      </c>
      <c r="E6" s="9">
        <v>1.17</v>
      </c>
      <c r="F6" s="2">
        <f t="shared" si="4"/>
        <v>23259.665399815083</v>
      </c>
      <c r="G6" s="2">
        <f t="shared" si="0"/>
        <v>259.66539981508322</v>
      </c>
      <c r="H6" s="2">
        <f t="shared" si="5"/>
        <v>259.66539981508322</v>
      </c>
      <c r="I6" s="2">
        <f>SUMSQ($G$4:G6)/A6</f>
        <v>310719.83365865698</v>
      </c>
      <c r="J6" s="2">
        <f>AVERAGE($H$4:H6)</f>
        <v>450.27164816531149</v>
      </c>
      <c r="K6" s="2">
        <f t="shared" si="1"/>
        <v>1.1289799991960141</v>
      </c>
      <c r="L6" s="2">
        <f>AVERAGE($K$4:K6)</f>
        <v>4.6366620373752108</v>
      </c>
      <c r="M6" s="3">
        <f>SUM($G$4:G6)/J6</f>
        <v>3</v>
      </c>
    </row>
    <row r="7" spans="1:13">
      <c r="A7" s="1">
        <v>4</v>
      </c>
      <c r="B7" s="1">
        <v>34000</v>
      </c>
      <c r="C7" s="2">
        <f t="shared" si="2"/>
        <v>20379.750668372792</v>
      </c>
      <c r="D7" s="2">
        <f t="shared" si="3"/>
        <v>511.76117821718373</v>
      </c>
      <c r="E7" s="9">
        <v>1.67</v>
      </c>
      <c r="F7" s="2">
        <f t="shared" si="4"/>
        <v>34035.982753876378</v>
      </c>
      <c r="G7" s="2">
        <f t="shared" si="0"/>
        <v>35.98275387637841</v>
      </c>
      <c r="H7" s="2">
        <f t="shared" si="5"/>
        <v>35.98275387637841</v>
      </c>
      <c r="I7" s="1">
        <f>SUMSQ($G$4:G7)/A7</f>
        <v>233363.56488812473</v>
      </c>
      <c r="J7" s="2">
        <f>AVERAGE($H$4:H7)</f>
        <v>346.69942459307822</v>
      </c>
      <c r="K7" s="2">
        <f t="shared" si="1"/>
        <v>0.1058316290481718</v>
      </c>
      <c r="L7" s="2">
        <f>AVERAGE($K$4:K7)</f>
        <v>3.5039544352934513</v>
      </c>
      <c r="M7" s="3">
        <f>SUM($G$4:G7)/J7</f>
        <v>4</v>
      </c>
    </row>
    <row r="8" spans="1:13">
      <c r="A8" s="1">
        <v>5</v>
      </c>
      <c r="B8" s="1">
        <v>10000</v>
      </c>
      <c r="C8" s="2">
        <f t="shared" si="2"/>
        <v>20910.76604149452</v>
      </c>
      <c r="D8" s="2">
        <f t="shared" si="3"/>
        <v>513.68659770763827</v>
      </c>
      <c r="E8" s="9">
        <v>0.47</v>
      </c>
      <c r="F8" s="2">
        <f t="shared" si="4"/>
        <v>9819.0105678972886</v>
      </c>
      <c r="G8" s="2">
        <f t="shared" si="0"/>
        <v>-180.98943210271136</v>
      </c>
      <c r="H8" s="2">
        <f t="shared" si="5"/>
        <v>180.98943210271136</v>
      </c>
      <c r="I8" s="1">
        <f>SUMSQ($G$4:G8)/A8</f>
        <v>193242.28681707216</v>
      </c>
      <c r="J8" s="2">
        <f>AVERAGE($H$4:H8)</f>
        <v>313.55742609500487</v>
      </c>
      <c r="K8" s="2">
        <f t="shared" si="1"/>
        <v>1.8098943210271137</v>
      </c>
      <c r="L8" s="2">
        <f>AVERAGE($K$4:K8)</f>
        <v>3.1651424124401837</v>
      </c>
      <c r="M8" s="3">
        <f>SUM($G$4:G8)/J8</f>
        <v>3.8455739393148778</v>
      </c>
    </row>
    <row r="9" spans="1:13">
      <c r="A9" s="1">
        <v>6</v>
      </c>
      <c r="B9" s="1">
        <v>18000</v>
      </c>
      <c r="C9" s="2">
        <f t="shared" si="2"/>
        <v>21676.759419006754</v>
      </c>
      <c r="D9" s="2">
        <f t="shared" si="3"/>
        <v>538.91727568809779</v>
      </c>
      <c r="E9" s="9">
        <v>0.68</v>
      </c>
      <c r="F9" s="2">
        <f t="shared" si="4"/>
        <v>14568.627794657468</v>
      </c>
      <c r="G9" s="2">
        <f t="shared" si="0"/>
        <v>-3431.3722053425317</v>
      </c>
      <c r="H9" s="2">
        <f t="shared" si="5"/>
        <v>3431.3722053425317</v>
      </c>
      <c r="I9" s="1">
        <f>SUMSQ($G$4:G9)/A9</f>
        <v>2123421.1076137717</v>
      </c>
      <c r="J9" s="2">
        <f>AVERAGE($H$4:H9)</f>
        <v>833.19322263625929</v>
      </c>
      <c r="K9" s="2">
        <f t="shared" si="1"/>
        <v>19.063178918569619</v>
      </c>
      <c r="L9" s="2">
        <f>AVERAGE($K$4:K9)</f>
        <v>5.8148151634617564</v>
      </c>
      <c r="M9" s="3">
        <f>SUM($G$4:G9)/J9</f>
        <v>-2.6711258308500758</v>
      </c>
    </row>
    <row r="10" spans="1:13">
      <c r="A10" s="1">
        <v>7</v>
      </c>
      <c r="B10" s="1">
        <v>23000</v>
      </c>
      <c r="C10" s="2">
        <f t="shared" si="2"/>
        <v>22087.798842866094</v>
      </c>
      <c r="D10" s="2">
        <f t="shared" si="3"/>
        <v>526.12949050522207</v>
      </c>
      <c r="E10" s="9">
        <v>1.17</v>
      </c>
      <c r="F10" s="2">
        <f t="shared" si="4"/>
        <v>25992.341732792975</v>
      </c>
      <c r="G10" s="2">
        <f t="shared" si="0"/>
        <v>2992.3417327929747</v>
      </c>
      <c r="H10" s="2">
        <f t="shared" si="5"/>
        <v>2992.3417327929747</v>
      </c>
      <c r="I10" s="1">
        <f>SUMSQ($G$4:G10)/A10</f>
        <v>3099233.6702138707</v>
      </c>
      <c r="J10" s="2">
        <f>AVERAGE($H$4:H10)</f>
        <v>1141.6430098015044</v>
      </c>
      <c r="K10" s="2">
        <f t="shared" si="1"/>
        <v>13.010181446925978</v>
      </c>
      <c r="L10" s="2">
        <f>AVERAGE($K$4:K10)</f>
        <v>6.8427246325280739</v>
      </c>
      <c r="M10" s="3">
        <f>SUM($G$4:G10)/J10</f>
        <v>0.67164410164729416</v>
      </c>
    </row>
    <row r="11" spans="1:13">
      <c r="A11" s="1">
        <v>8</v>
      </c>
      <c r="B11" s="1">
        <v>38000</v>
      </c>
      <c r="C11" s="2">
        <f t="shared" si="2"/>
        <v>22620.956467600954</v>
      </c>
      <c r="D11" s="2">
        <f t="shared" si="3"/>
        <v>526.83230392818587</v>
      </c>
      <c r="E11" s="9">
        <v>1.67</v>
      </c>
      <c r="F11" s="2">
        <f t="shared" si="4"/>
        <v>37765.260316730099</v>
      </c>
      <c r="G11" s="2">
        <f t="shared" si="0"/>
        <v>-234.73968326990143</v>
      </c>
      <c r="H11" s="2">
        <f t="shared" si="5"/>
        <v>234.73968326990143</v>
      </c>
      <c r="I11" s="1">
        <f>SUMSQ($G$4:G11)/A11</f>
        <v>2718717.3012998435</v>
      </c>
      <c r="J11" s="2">
        <f>AVERAGE($H$4:H11)</f>
        <v>1028.280093985054</v>
      </c>
      <c r="K11" s="2">
        <f t="shared" si="1"/>
        <v>0.61773600860500377</v>
      </c>
      <c r="L11" s="2">
        <f>AVERAGE($K$4:K11)</f>
        <v>6.0646010545376905</v>
      </c>
      <c r="M11" s="3">
        <f>SUM($G$4:G11)/J11</f>
        <v>0.5174058250882333</v>
      </c>
    </row>
    <row r="12" spans="1:13">
      <c r="A12" s="1">
        <v>9</v>
      </c>
      <c r="B12" s="1">
        <v>12000</v>
      </c>
      <c r="C12" s="2">
        <f t="shared" si="2"/>
        <v>23266.995077633532</v>
      </c>
      <c r="D12" s="2">
        <f t="shared" si="3"/>
        <v>538.75293453862503</v>
      </c>
      <c r="E12" s="9">
        <v>0.47</v>
      </c>
      <c r="F12" s="2">
        <f t="shared" si="4"/>
        <v>10879.460722618694</v>
      </c>
      <c r="G12" s="2">
        <f t="shared" si="0"/>
        <v>-1120.5392773813055</v>
      </c>
      <c r="H12" s="2">
        <f t="shared" si="5"/>
        <v>1120.5392773813055</v>
      </c>
      <c r="I12" s="1">
        <f>SUMSQ($G$4:G12)/A12</f>
        <v>2556149.6313947742</v>
      </c>
      <c r="J12" s="2">
        <f>AVERAGE($H$4:H12)</f>
        <v>1038.5311143624153</v>
      </c>
      <c r="K12" s="2">
        <f t="shared" si="1"/>
        <v>9.3378273115108801</v>
      </c>
      <c r="L12" s="2">
        <f>AVERAGE($K$4:K12)</f>
        <v>6.4282928608680443</v>
      </c>
      <c r="M12" s="3">
        <f>SUM($G$4:G12)/J12</f>
        <v>-0.56666686129328014</v>
      </c>
    </row>
    <row r="13" spans="1:13">
      <c r="A13" s="1">
        <v>10</v>
      </c>
      <c r="B13" s="1">
        <v>13000</v>
      </c>
      <c r="C13" s="2">
        <f t="shared" si="2"/>
        <v>23571.342964504722</v>
      </c>
      <c r="D13" s="2">
        <f t="shared" si="3"/>
        <v>515.31242977188151</v>
      </c>
      <c r="E13" s="9">
        <v>0.68</v>
      </c>
      <c r="F13" s="2">
        <f t="shared" si="4"/>
        <v>16187.908648277067</v>
      </c>
      <c r="G13" s="2">
        <f t="shared" si="0"/>
        <v>3187.9086482770672</v>
      </c>
      <c r="H13" s="2">
        <f t="shared" si="5"/>
        <v>3187.9086482770672</v>
      </c>
      <c r="I13" s="1">
        <f>SUMSQ($G$4:G13)/A13</f>
        <v>3316810.8232312687</v>
      </c>
      <c r="J13" s="2">
        <f>AVERAGE($H$4:H13)</f>
        <v>1253.4688677538804</v>
      </c>
      <c r="K13" s="2">
        <f t="shared" si="1"/>
        <v>24.522374217515903</v>
      </c>
      <c r="L13" s="2">
        <f>AVERAGE($K$4:K13)</f>
        <v>8.2377009965328316</v>
      </c>
      <c r="M13" s="3">
        <f>SUM($G$4:G13)/J13</f>
        <v>2.0737710749879592</v>
      </c>
    </row>
    <row r="14" spans="1:13">
      <c r="A14" s="1">
        <v>11</v>
      </c>
      <c r="B14" s="1">
        <v>32000</v>
      </c>
      <c r="C14" s="2">
        <f t="shared" si="2"/>
        <v>24249.843992084141</v>
      </c>
      <c r="D14" s="2">
        <f t="shared" si="3"/>
        <v>531.63128955263528</v>
      </c>
      <c r="E14" s="9">
        <v>1.17</v>
      </c>
      <c r="F14" s="2">
        <f t="shared" si="4"/>
        <v>28181.386811303626</v>
      </c>
      <c r="G14" s="2">
        <f t="shared" si="0"/>
        <v>-3818.613188696374</v>
      </c>
      <c r="H14" s="2">
        <f t="shared" si="5"/>
        <v>3818.613188696374</v>
      </c>
      <c r="I14" s="1">
        <f>SUMSQ($G$4:G14)/A14</f>
        <v>4340901.3561089616</v>
      </c>
      <c r="J14" s="2">
        <f>AVERAGE($H$4:H14)</f>
        <v>1486.66380602138</v>
      </c>
      <c r="K14" s="2">
        <f t="shared" si="1"/>
        <v>11.933166214676168</v>
      </c>
      <c r="L14" s="2">
        <f>AVERAGE($K$4:K14)</f>
        <v>8.5736523800004072</v>
      </c>
      <c r="M14" s="3">
        <f>SUM($G$4:G14)/J14</f>
        <v>-0.82009510315134138</v>
      </c>
    </row>
    <row r="15" spans="1:13">
      <c r="A15" s="1">
        <v>12</v>
      </c>
      <c r="B15" s="1">
        <v>41000</v>
      </c>
      <c r="C15" s="2">
        <f t="shared" si="2"/>
        <v>24769.946427734576</v>
      </c>
      <c r="D15" s="2">
        <f t="shared" si="3"/>
        <v>530.47840416241525</v>
      </c>
      <c r="E15" s="9">
        <v>1.67</v>
      </c>
      <c r="F15" s="2">
        <f t="shared" si="4"/>
        <v>41385.063720333412</v>
      </c>
      <c r="G15" s="2">
        <f t="shared" si="0"/>
        <v>385.06372033341177</v>
      </c>
      <c r="H15" s="2">
        <f t="shared" si="5"/>
        <v>385.06372033341177</v>
      </c>
      <c r="I15" s="1">
        <f>SUMSQ($G$4:G15)/A15</f>
        <v>3991515.7488262989</v>
      </c>
      <c r="J15" s="2">
        <f>AVERAGE($H$4:H15)</f>
        <v>1394.8637988807159</v>
      </c>
      <c r="K15" s="2">
        <f t="shared" si="1"/>
        <v>0.93917980569124815</v>
      </c>
      <c r="L15" s="2">
        <f>AVERAGE($K$4:K15)</f>
        <v>7.9374463321413105</v>
      </c>
      <c r="M15" s="3">
        <f>SUM($G$4:G15)/J15</f>
        <v>-0.59800963197008927</v>
      </c>
    </row>
    <row r="16" spans="1:13">
      <c r="A16" s="1">
        <v>13</v>
      </c>
      <c r="B16" s="1"/>
      <c r="C16" s="1"/>
      <c r="D16" s="1"/>
      <c r="E16" s="1">
        <v>0.47</v>
      </c>
      <c r="F16" s="2">
        <f>($C$15+$D$15)*E16</f>
        <v>11891.199670991586</v>
      </c>
      <c r="G16" s="1"/>
      <c r="H16" s="1"/>
      <c r="I16" s="1"/>
      <c r="J16" s="1"/>
      <c r="K16" s="1"/>
      <c r="L16" s="1"/>
      <c r="M16" s="1"/>
    </row>
    <row r="17" spans="1:13">
      <c r="A17" s="1">
        <v>14</v>
      </c>
      <c r="B17" s="1"/>
      <c r="C17" s="1"/>
      <c r="D17" s="1"/>
      <c r="E17" s="1">
        <v>0.68</v>
      </c>
      <c r="F17" s="2">
        <f>($C$15+2*$D$15)*E17</f>
        <v>17565.014200520396</v>
      </c>
      <c r="G17" s="1"/>
      <c r="H17" s="1"/>
      <c r="I17" s="1"/>
      <c r="J17" s="1"/>
      <c r="K17" s="1"/>
      <c r="L17" s="1"/>
      <c r="M17" s="1"/>
    </row>
    <row r="18" spans="1:13">
      <c r="A18" s="1">
        <v>15</v>
      </c>
      <c r="B18" s="1"/>
      <c r="C18" s="1"/>
      <c r="D18" s="1"/>
      <c r="E18" s="1">
        <v>1.17</v>
      </c>
      <c r="F18" s="2">
        <f>($C$15+3*$D$15)*E18</f>
        <v>30842.816519059528</v>
      </c>
      <c r="G18" s="1"/>
      <c r="H18" s="1"/>
      <c r="I18" s="1"/>
      <c r="J18" s="1"/>
      <c r="K18" s="1"/>
      <c r="L18" s="1"/>
      <c r="M18" s="1"/>
    </row>
    <row r="19" spans="1:13">
      <c r="A19" s="1">
        <v>16</v>
      </c>
      <c r="B19" s="1"/>
      <c r="C19" s="1"/>
      <c r="D19" s="1"/>
      <c r="E19" s="1">
        <v>1.67</v>
      </c>
      <c r="F19" s="2">
        <f>($C$15+4*$D$15)*E19</f>
        <v>44909.406274121677</v>
      </c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 Exponential Smoothing</vt:lpstr>
      <vt:lpstr>Sheet2</vt:lpstr>
      <vt:lpstr>Trend Corrected (Holts)</vt:lpstr>
      <vt:lpstr>Sheet1</vt:lpstr>
      <vt:lpstr>Deseasonalized demand</vt:lpstr>
      <vt:lpstr>Seasonal factor</vt:lpstr>
      <vt:lpstr>Winters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1997-12-31T19:39:22Z</dcterms:modified>
</cp:coreProperties>
</file>