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556d2f2ccd44c0/Desktop/"/>
    </mc:Choice>
  </mc:AlternateContent>
  <xr:revisionPtr revIDLastSave="1" documentId="8_{9B79B12B-E599-4E1B-B973-E615F95B698D}" xr6:coauthVersionLast="36" xr6:coauthVersionMax="47" xr10:uidLastSave="{463A3101-445E-41AD-93ED-67E6B56CCD7F}"/>
  <bookViews>
    <workbookView xWindow="0" yWindow="0" windowWidth="19200" windowHeight="6816" tabRatio="904" activeTab="5" xr2:uid="{D4886810-D9CC-4231-AA87-2302A306BB27}"/>
  </bookViews>
  <sheets>
    <sheet name="Financials&gt;" sheetId="1" r:id="rId1"/>
    <sheet name="HistoricalFS" sheetId="3" r:id="rId2"/>
    <sheet name="Ratio Analysis" sheetId="6" r:id="rId3"/>
    <sheet name="Forecast Direct method" sheetId="8" r:id="rId4"/>
    <sheet name="Forcast Regression method" sheetId="17" r:id="rId5"/>
    <sheet name="ForecastingDirect" sheetId="9" r:id="rId6"/>
    <sheet name="Data&gt;" sheetId="4" r:id="rId7"/>
    <sheet name="Raw FS" sheetId="16" r:id="rId8"/>
    <sheet name="Data Sheet" sheetId="2" r:id="rId9"/>
    <sheet name="Cash Flow" sheetId="7" r:id="rId10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7" l="1"/>
  <c r="E15" i="17"/>
  <c r="E16" i="17"/>
  <c r="E17" i="17"/>
  <c r="E18" i="17"/>
  <c r="D18" i="17"/>
  <c r="D17" i="17"/>
  <c r="D16" i="17"/>
  <c r="D15" i="17"/>
  <c r="D14" i="17"/>
  <c r="C14" i="17" l="1"/>
  <c r="C15" i="17" s="1"/>
  <c r="C16" i="17" s="1"/>
  <c r="C17" i="17" s="1"/>
  <c r="C18" i="17" s="1"/>
  <c r="B14" i="17"/>
  <c r="B15" i="17" s="1"/>
  <c r="B16" i="17" s="1"/>
  <c r="B17" i="17" s="1"/>
  <c r="B18" i="17" s="1"/>
  <c r="E13" i="17"/>
  <c r="E12" i="17"/>
  <c r="E11" i="17"/>
  <c r="E10" i="17"/>
  <c r="E9" i="17"/>
  <c r="E8" i="17"/>
  <c r="E7" i="17"/>
  <c r="E6" i="17"/>
  <c r="E5" i="17"/>
  <c r="C5" i="17"/>
  <c r="C6" i="17" s="1"/>
  <c r="C7" i="17" s="1"/>
  <c r="C8" i="17" s="1"/>
  <c r="C9" i="17" s="1"/>
  <c r="C10" i="17" s="1"/>
  <c r="C11" i="17" s="1"/>
  <c r="C12" i="17" s="1"/>
  <c r="C13" i="17" s="1"/>
  <c r="B5" i="17"/>
  <c r="B6" i="17" s="1"/>
  <c r="B7" i="17" s="1"/>
  <c r="B8" i="17" s="1"/>
  <c r="B9" i="17" s="1"/>
  <c r="B10" i="17" s="1"/>
  <c r="B11" i="17" s="1"/>
  <c r="B12" i="17" s="1"/>
  <c r="B13" i="17" s="1"/>
  <c r="B2" i="17"/>
  <c r="D47" i="3" l="1"/>
  <c r="C21" i="6"/>
  <c r="C19" i="3"/>
  <c r="D21" i="6"/>
  <c r="D30" i="16" l="1"/>
  <c r="E30" i="16"/>
  <c r="F30" i="16"/>
  <c r="G30" i="16"/>
  <c r="H30" i="16"/>
  <c r="I30" i="16"/>
  <c r="J30" i="16"/>
  <c r="K30" i="16"/>
  <c r="L30" i="16"/>
  <c r="M30" i="16"/>
  <c r="C30" i="16"/>
  <c r="C75" i="2" l="1"/>
  <c r="D75" i="2"/>
  <c r="E75" i="2"/>
  <c r="F75" i="2"/>
  <c r="G75" i="2"/>
  <c r="H75" i="2"/>
  <c r="I75" i="2"/>
  <c r="J75" i="2"/>
  <c r="K75" i="2"/>
  <c r="B75" i="2"/>
  <c r="Q6" i="9" l="1"/>
  <c r="Q7" i="9"/>
  <c r="Q8" i="9"/>
  <c r="Q9" i="9"/>
  <c r="Q10" i="9"/>
  <c r="Q11" i="9"/>
  <c r="Q12" i="9"/>
  <c r="Q13" i="9"/>
  <c r="Q5" i="9"/>
  <c r="P15" i="9"/>
  <c r="Q15" i="9" s="1"/>
  <c r="P16" i="9"/>
  <c r="Q17" i="9" s="1"/>
  <c r="P17" i="9"/>
  <c r="P18" i="9"/>
  <c r="Q18" i="9" s="1"/>
  <c r="P14" i="9"/>
  <c r="Q14" i="9" s="1"/>
  <c r="K6" i="9"/>
  <c r="K7" i="9"/>
  <c r="K8" i="9"/>
  <c r="K9" i="9"/>
  <c r="K10" i="9"/>
  <c r="K11" i="9"/>
  <c r="K12" i="9"/>
  <c r="K13" i="9"/>
  <c r="K5" i="9"/>
  <c r="J15" i="9"/>
  <c r="K15" i="9" s="1"/>
  <c r="J16" i="9"/>
  <c r="K16" i="9" s="1"/>
  <c r="J17" i="9"/>
  <c r="K17" i="9" s="1"/>
  <c r="J18" i="9"/>
  <c r="J14" i="9"/>
  <c r="K14" i="9" s="1"/>
  <c r="O5" i="9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N5" i="9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H6" i="9"/>
  <c r="I6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5" i="9"/>
  <c r="H5" i="9"/>
  <c r="H2" i="9"/>
  <c r="N2" i="9"/>
  <c r="B2" i="9"/>
  <c r="Q16" i="9" l="1"/>
  <c r="K18" i="9"/>
  <c r="E13" i="9" l="1"/>
  <c r="E12" i="9"/>
  <c r="E11" i="9"/>
  <c r="E10" i="9"/>
  <c r="E9" i="9"/>
  <c r="E8" i="9"/>
  <c r="E7" i="9"/>
  <c r="E6" i="9"/>
  <c r="B6" i="9"/>
  <c r="B7" i="9" s="1"/>
  <c r="B8" i="9" s="1"/>
  <c r="B9" i="9" s="1"/>
  <c r="B10" i="9" s="1"/>
  <c r="B11" i="9" s="1"/>
  <c r="B12" i="9" s="1"/>
  <c r="B13" i="9" s="1"/>
  <c r="B14" i="9" s="1"/>
  <c r="E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B5" i="9"/>
  <c r="D14" i="9" l="1"/>
  <c r="E14" i="9" s="1"/>
  <c r="B15" i="9"/>
  <c r="B16" i="9" l="1"/>
  <c r="D15" i="9"/>
  <c r="E15" i="9" s="1"/>
  <c r="D16" i="9" l="1"/>
  <c r="E16" i="9" s="1"/>
  <c r="B17" i="9"/>
  <c r="D17" i="9" l="1"/>
  <c r="E17" i="9" s="1"/>
  <c r="B18" i="9"/>
  <c r="D18" i="9" s="1"/>
  <c r="E6" i="8"/>
  <c r="E7" i="8"/>
  <c r="E8" i="8"/>
  <c r="E9" i="8"/>
  <c r="E10" i="8"/>
  <c r="E11" i="8"/>
  <c r="E12" i="8"/>
  <c r="E13" i="8"/>
  <c r="E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B5" i="8"/>
  <c r="B6" i="8" s="1"/>
  <c r="B7" i="8" s="1"/>
  <c r="B8" i="8" s="1"/>
  <c r="B9" i="8" s="1"/>
  <c r="B10" i="8" s="1"/>
  <c r="B11" i="8" s="1"/>
  <c r="B12" i="8" s="1"/>
  <c r="B13" i="8" s="1"/>
  <c r="B14" i="8" s="1"/>
  <c r="B2" i="8"/>
  <c r="D14" i="8" l="1"/>
  <c r="E14" i="8" s="1"/>
  <c r="B15" i="8"/>
  <c r="E18" i="9"/>
  <c r="B16" i="8" l="1"/>
  <c r="D15" i="8"/>
  <c r="E15" i="8" s="1"/>
  <c r="B17" i="8" l="1"/>
  <c r="D16" i="8"/>
  <c r="E16" i="8" s="1"/>
  <c r="L82" i="3"/>
  <c r="K82" i="3"/>
  <c r="J82" i="3"/>
  <c r="J40" i="6" s="1"/>
  <c r="I82" i="3"/>
  <c r="I40" i="6" s="1"/>
  <c r="H82" i="3"/>
  <c r="G82" i="3"/>
  <c r="F82" i="3"/>
  <c r="F40" i="6" s="1"/>
  <c r="E82" i="3"/>
  <c r="E40" i="6" s="1"/>
  <c r="D82" i="3"/>
  <c r="C82" i="3"/>
  <c r="L40" i="6"/>
  <c r="K40" i="6"/>
  <c r="H40" i="6"/>
  <c r="G40" i="6"/>
  <c r="D40" i="6"/>
  <c r="C40" i="6"/>
  <c r="B18" i="8" l="1"/>
  <c r="D17" i="8"/>
  <c r="E17" i="8" s="1"/>
  <c r="L39" i="6"/>
  <c r="K39" i="6"/>
  <c r="J39" i="6"/>
  <c r="I39" i="6"/>
  <c r="H39" i="6"/>
  <c r="G39" i="6"/>
  <c r="F39" i="6"/>
  <c r="E39" i="6"/>
  <c r="D39" i="6"/>
  <c r="C39" i="6"/>
  <c r="L38" i="6"/>
  <c r="K38" i="6"/>
  <c r="J38" i="6"/>
  <c r="I38" i="6"/>
  <c r="H38" i="6"/>
  <c r="G38" i="6"/>
  <c r="F38" i="6"/>
  <c r="E38" i="6"/>
  <c r="D38" i="6"/>
  <c r="C38" i="6"/>
  <c r="L104" i="3"/>
  <c r="K104" i="3"/>
  <c r="J104" i="3"/>
  <c r="I104" i="3"/>
  <c r="H104" i="3"/>
  <c r="G104" i="3"/>
  <c r="F104" i="3"/>
  <c r="E104" i="3"/>
  <c r="D104" i="3"/>
  <c r="C104" i="3"/>
  <c r="L102" i="3"/>
  <c r="K102" i="3"/>
  <c r="J102" i="3"/>
  <c r="I102" i="3"/>
  <c r="H102" i="3"/>
  <c r="G102" i="3"/>
  <c r="F102" i="3"/>
  <c r="E102" i="3"/>
  <c r="D102" i="3"/>
  <c r="C102" i="3"/>
  <c r="L101" i="3"/>
  <c r="K101" i="3"/>
  <c r="J101" i="3"/>
  <c r="I101" i="3"/>
  <c r="H101" i="3"/>
  <c r="G101" i="3"/>
  <c r="F101" i="3"/>
  <c r="E101" i="3"/>
  <c r="D101" i="3"/>
  <c r="C101" i="3"/>
  <c r="L100" i="3"/>
  <c r="K100" i="3"/>
  <c r="J100" i="3"/>
  <c r="I100" i="3"/>
  <c r="H100" i="3"/>
  <c r="G100" i="3"/>
  <c r="F100" i="3"/>
  <c r="E100" i="3"/>
  <c r="D100" i="3"/>
  <c r="C100" i="3"/>
  <c r="L99" i="3"/>
  <c r="K99" i="3"/>
  <c r="J99" i="3"/>
  <c r="I99" i="3"/>
  <c r="H99" i="3"/>
  <c r="G99" i="3"/>
  <c r="F99" i="3"/>
  <c r="E99" i="3"/>
  <c r="D99" i="3"/>
  <c r="C99" i="3"/>
  <c r="L98" i="3"/>
  <c r="K98" i="3"/>
  <c r="J98" i="3"/>
  <c r="I98" i="3"/>
  <c r="H98" i="3"/>
  <c r="G98" i="3"/>
  <c r="F98" i="3"/>
  <c r="E98" i="3"/>
  <c r="D98" i="3"/>
  <c r="C98" i="3"/>
  <c r="L97" i="3"/>
  <c r="K97" i="3"/>
  <c r="J97" i="3"/>
  <c r="I97" i="3"/>
  <c r="H97" i="3"/>
  <c r="G97" i="3"/>
  <c r="F97" i="3"/>
  <c r="E97" i="3"/>
  <c r="D97" i="3"/>
  <c r="C97" i="3"/>
  <c r="L96" i="3"/>
  <c r="K96" i="3"/>
  <c r="J96" i="3"/>
  <c r="I96" i="3"/>
  <c r="H96" i="3"/>
  <c r="G96" i="3"/>
  <c r="F96" i="3"/>
  <c r="E96" i="3"/>
  <c r="D96" i="3"/>
  <c r="C96" i="3"/>
  <c r="L95" i="3"/>
  <c r="K95" i="3"/>
  <c r="J95" i="3"/>
  <c r="I95" i="3"/>
  <c r="H95" i="3"/>
  <c r="G95" i="3"/>
  <c r="F95" i="3"/>
  <c r="E95" i="3"/>
  <c r="D95" i="3"/>
  <c r="C95" i="3"/>
  <c r="L92" i="3"/>
  <c r="K92" i="3"/>
  <c r="J92" i="3"/>
  <c r="I92" i="3"/>
  <c r="H92" i="3"/>
  <c r="G92" i="3"/>
  <c r="F92" i="3"/>
  <c r="E92" i="3"/>
  <c r="D92" i="3"/>
  <c r="C92" i="3"/>
  <c r="L91" i="3"/>
  <c r="K91" i="3"/>
  <c r="J91" i="3"/>
  <c r="I91" i="3"/>
  <c r="H91" i="3"/>
  <c r="G91" i="3"/>
  <c r="F91" i="3"/>
  <c r="E91" i="3"/>
  <c r="D91" i="3"/>
  <c r="C91" i="3"/>
  <c r="L90" i="3"/>
  <c r="K90" i="3"/>
  <c r="J90" i="3"/>
  <c r="I90" i="3"/>
  <c r="H90" i="3"/>
  <c r="G90" i="3"/>
  <c r="F90" i="3"/>
  <c r="E90" i="3"/>
  <c r="D90" i="3"/>
  <c r="C90" i="3"/>
  <c r="L89" i="3"/>
  <c r="K89" i="3"/>
  <c r="J89" i="3"/>
  <c r="I89" i="3"/>
  <c r="H89" i="3"/>
  <c r="G89" i="3"/>
  <c r="F89" i="3"/>
  <c r="E89" i="3"/>
  <c r="D89" i="3"/>
  <c r="C89" i="3"/>
  <c r="L88" i="3"/>
  <c r="K88" i="3"/>
  <c r="J88" i="3"/>
  <c r="I88" i="3"/>
  <c r="H88" i="3"/>
  <c r="G88" i="3"/>
  <c r="F88" i="3"/>
  <c r="E88" i="3"/>
  <c r="D88" i="3"/>
  <c r="C88" i="3"/>
  <c r="L87" i="3"/>
  <c r="K87" i="3"/>
  <c r="J87" i="3"/>
  <c r="I87" i="3"/>
  <c r="H87" i="3"/>
  <c r="G87" i="3"/>
  <c r="F87" i="3"/>
  <c r="E87" i="3"/>
  <c r="D87" i="3"/>
  <c r="C87" i="3"/>
  <c r="L86" i="3"/>
  <c r="K86" i="3"/>
  <c r="J86" i="3"/>
  <c r="I86" i="3"/>
  <c r="H86" i="3"/>
  <c r="G86" i="3"/>
  <c r="F86" i="3"/>
  <c r="E86" i="3"/>
  <c r="D86" i="3"/>
  <c r="C86" i="3"/>
  <c r="L85" i="3"/>
  <c r="K85" i="3"/>
  <c r="J85" i="3"/>
  <c r="I85" i="3"/>
  <c r="H85" i="3"/>
  <c r="G85" i="3"/>
  <c r="F85" i="3"/>
  <c r="E85" i="3"/>
  <c r="D85" i="3"/>
  <c r="C85" i="3"/>
  <c r="L81" i="3"/>
  <c r="K81" i="3"/>
  <c r="J81" i="3"/>
  <c r="I81" i="3"/>
  <c r="H81" i="3"/>
  <c r="G81" i="3"/>
  <c r="F81" i="3"/>
  <c r="E81" i="3"/>
  <c r="D81" i="3"/>
  <c r="C81" i="3"/>
  <c r="L80" i="3"/>
  <c r="K80" i="3"/>
  <c r="J80" i="3"/>
  <c r="I80" i="3"/>
  <c r="H80" i="3"/>
  <c r="G80" i="3"/>
  <c r="F80" i="3"/>
  <c r="E80" i="3"/>
  <c r="D80" i="3"/>
  <c r="C80" i="3"/>
  <c r="L79" i="3"/>
  <c r="K79" i="3"/>
  <c r="J79" i="3"/>
  <c r="I79" i="3"/>
  <c r="H79" i="3"/>
  <c r="G79" i="3"/>
  <c r="F79" i="3"/>
  <c r="E79" i="3"/>
  <c r="D79" i="3"/>
  <c r="C79" i="3"/>
  <c r="L78" i="3"/>
  <c r="K78" i="3"/>
  <c r="J78" i="3"/>
  <c r="I78" i="3"/>
  <c r="H78" i="3"/>
  <c r="G78" i="3"/>
  <c r="F78" i="3"/>
  <c r="E78" i="3"/>
  <c r="D78" i="3"/>
  <c r="C78" i="3"/>
  <c r="L77" i="3"/>
  <c r="K77" i="3"/>
  <c r="J77" i="3"/>
  <c r="I77" i="3"/>
  <c r="H77" i="3"/>
  <c r="G77" i="3"/>
  <c r="F77" i="3"/>
  <c r="E77" i="3"/>
  <c r="D77" i="3"/>
  <c r="C77" i="3"/>
  <c r="L76" i="3"/>
  <c r="K76" i="3"/>
  <c r="J76" i="3"/>
  <c r="I76" i="3"/>
  <c r="H76" i="3"/>
  <c r="G76" i="3"/>
  <c r="F76" i="3"/>
  <c r="E76" i="3"/>
  <c r="D76" i="3"/>
  <c r="C76" i="3"/>
  <c r="L75" i="3"/>
  <c r="K75" i="3"/>
  <c r="J75" i="3"/>
  <c r="I75" i="3"/>
  <c r="H75" i="3"/>
  <c r="G75" i="3"/>
  <c r="F75" i="3"/>
  <c r="E75" i="3"/>
  <c r="D75" i="3"/>
  <c r="C75" i="3"/>
  <c r="L74" i="3"/>
  <c r="K74" i="3"/>
  <c r="J74" i="3"/>
  <c r="I74" i="3"/>
  <c r="H74" i="3"/>
  <c r="G74" i="3"/>
  <c r="F74" i="3"/>
  <c r="E74" i="3"/>
  <c r="D74" i="3"/>
  <c r="C74" i="3"/>
  <c r="L73" i="3"/>
  <c r="K73" i="3"/>
  <c r="J73" i="3"/>
  <c r="I73" i="3"/>
  <c r="H73" i="3"/>
  <c r="G73" i="3"/>
  <c r="F73" i="3"/>
  <c r="E73" i="3"/>
  <c r="D73" i="3"/>
  <c r="C73" i="3"/>
  <c r="L59" i="3"/>
  <c r="K59" i="3"/>
  <c r="J59" i="3"/>
  <c r="I59" i="3"/>
  <c r="H59" i="3"/>
  <c r="G59" i="3"/>
  <c r="F59" i="3"/>
  <c r="E59" i="3"/>
  <c r="D59" i="3"/>
  <c r="C59" i="3"/>
  <c r="L64" i="3"/>
  <c r="K64" i="3"/>
  <c r="J64" i="3"/>
  <c r="I64" i="3"/>
  <c r="H64" i="3"/>
  <c r="G64" i="3"/>
  <c r="F64" i="3"/>
  <c r="E64" i="3"/>
  <c r="D64" i="3"/>
  <c r="C64" i="3"/>
  <c r="L63" i="3"/>
  <c r="K63" i="3"/>
  <c r="J63" i="3"/>
  <c r="I63" i="3"/>
  <c r="H63" i="3"/>
  <c r="G63" i="3"/>
  <c r="F63" i="3"/>
  <c r="E63" i="3"/>
  <c r="D63" i="3"/>
  <c r="C63" i="3"/>
  <c r="L62" i="3"/>
  <c r="L65" i="3" s="1"/>
  <c r="K62" i="3"/>
  <c r="J62" i="3"/>
  <c r="J65" i="3" s="1"/>
  <c r="I62" i="3"/>
  <c r="H62" i="3"/>
  <c r="H65" i="3" s="1"/>
  <c r="G62" i="3"/>
  <c r="F62" i="3"/>
  <c r="F65" i="3" s="1"/>
  <c r="E62" i="3"/>
  <c r="D62" i="3"/>
  <c r="D65" i="3" s="1"/>
  <c r="C62" i="3"/>
  <c r="L58" i="3"/>
  <c r="K58" i="3"/>
  <c r="J58" i="3"/>
  <c r="I58" i="3"/>
  <c r="H58" i="3"/>
  <c r="G58" i="3"/>
  <c r="F58" i="3"/>
  <c r="E58" i="3"/>
  <c r="D58" i="3"/>
  <c r="C58" i="3"/>
  <c r="L57" i="3"/>
  <c r="K57" i="3"/>
  <c r="J57" i="3"/>
  <c r="I57" i="3"/>
  <c r="H57" i="3"/>
  <c r="G57" i="3"/>
  <c r="G60" i="3" s="1"/>
  <c r="F57" i="3"/>
  <c r="E57" i="3"/>
  <c r="D57" i="3"/>
  <c r="C57" i="3"/>
  <c r="C60" i="3" s="1"/>
  <c r="L56" i="3"/>
  <c r="K56" i="3"/>
  <c r="J56" i="3"/>
  <c r="J60" i="3" s="1"/>
  <c r="J67" i="3" s="1"/>
  <c r="I56" i="3"/>
  <c r="H56" i="3"/>
  <c r="G56" i="3"/>
  <c r="F56" i="3"/>
  <c r="F60" i="3" s="1"/>
  <c r="F67" i="3" s="1"/>
  <c r="E56" i="3"/>
  <c r="D56" i="3"/>
  <c r="C56" i="3"/>
  <c r="D51" i="3"/>
  <c r="E51" i="3"/>
  <c r="F51" i="3"/>
  <c r="G51" i="3"/>
  <c r="H51" i="3"/>
  <c r="I51" i="3"/>
  <c r="J51" i="3"/>
  <c r="K51" i="3"/>
  <c r="L51" i="3"/>
  <c r="D52" i="3"/>
  <c r="E52" i="3"/>
  <c r="F52" i="3"/>
  <c r="G52" i="3"/>
  <c r="H52" i="3"/>
  <c r="I52" i="3"/>
  <c r="J52" i="3"/>
  <c r="K52" i="3"/>
  <c r="L52" i="3"/>
  <c r="D53" i="3"/>
  <c r="E53" i="3"/>
  <c r="F53" i="3"/>
  <c r="G53" i="3"/>
  <c r="H53" i="3"/>
  <c r="I53" i="3"/>
  <c r="J53" i="3"/>
  <c r="K53" i="3"/>
  <c r="L53" i="3"/>
  <c r="C52" i="3"/>
  <c r="C53" i="3"/>
  <c r="C51" i="3"/>
  <c r="L50" i="3"/>
  <c r="K50" i="3"/>
  <c r="J50" i="3"/>
  <c r="I50" i="3"/>
  <c r="H50" i="3"/>
  <c r="G50" i="3"/>
  <c r="F50" i="3"/>
  <c r="E50" i="3"/>
  <c r="D50" i="3"/>
  <c r="C50" i="3"/>
  <c r="L39" i="3"/>
  <c r="M39" i="3" s="1"/>
  <c r="M44" i="3" s="1"/>
  <c r="K39" i="3"/>
  <c r="K44" i="3" s="1"/>
  <c r="J39" i="3"/>
  <c r="J44" i="3" s="1"/>
  <c r="I39" i="3"/>
  <c r="I44" i="3" s="1"/>
  <c r="H39" i="3"/>
  <c r="H44" i="3" s="1"/>
  <c r="G39" i="3"/>
  <c r="G44" i="3" s="1"/>
  <c r="F39" i="3"/>
  <c r="F44" i="3" s="1"/>
  <c r="E39" i="3"/>
  <c r="E44" i="3" s="1"/>
  <c r="D39" i="3"/>
  <c r="D44" i="3" s="1"/>
  <c r="C39" i="3"/>
  <c r="C44" i="3" s="1"/>
  <c r="L33" i="3"/>
  <c r="K33" i="3"/>
  <c r="J33" i="3"/>
  <c r="I33" i="3"/>
  <c r="H33" i="3"/>
  <c r="G33" i="3"/>
  <c r="F33" i="3"/>
  <c r="E33" i="3"/>
  <c r="D33" i="3"/>
  <c r="C33" i="3"/>
  <c r="L24" i="3"/>
  <c r="K24" i="3"/>
  <c r="J24" i="3"/>
  <c r="I24" i="3"/>
  <c r="H24" i="3"/>
  <c r="G24" i="3"/>
  <c r="F24" i="3"/>
  <c r="E24" i="3"/>
  <c r="D24" i="3"/>
  <c r="C24" i="3"/>
  <c r="L21" i="3"/>
  <c r="K21" i="3"/>
  <c r="J21" i="3"/>
  <c r="I21" i="3"/>
  <c r="H21" i="3"/>
  <c r="G21" i="3"/>
  <c r="F21" i="3"/>
  <c r="E21" i="3"/>
  <c r="D21" i="3"/>
  <c r="C21" i="3"/>
  <c r="L6" i="3"/>
  <c r="K6" i="3"/>
  <c r="J6" i="3"/>
  <c r="I6" i="3"/>
  <c r="H6" i="3"/>
  <c r="G6" i="3"/>
  <c r="F6" i="3"/>
  <c r="E6" i="3"/>
  <c r="D6" i="3"/>
  <c r="C6" i="3"/>
  <c r="D18" i="8" l="1"/>
  <c r="E18" i="8" s="1"/>
  <c r="F54" i="3"/>
  <c r="F69" i="3" s="1"/>
  <c r="C54" i="3"/>
  <c r="G54" i="3"/>
  <c r="K54" i="3"/>
  <c r="D54" i="3"/>
  <c r="H54" i="3"/>
  <c r="L54" i="3"/>
  <c r="J54" i="3"/>
  <c r="J69" i="3" s="1"/>
  <c r="E54" i="3"/>
  <c r="I54" i="3"/>
  <c r="D60" i="3"/>
  <c r="D67" i="3" s="1"/>
  <c r="H60" i="3"/>
  <c r="H67" i="3" s="1"/>
  <c r="H69" i="3" s="1"/>
  <c r="L60" i="3"/>
  <c r="L67" i="3" s="1"/>
  <c r="E65" i="3"/>
  <c r="I65" i="3"/>
  <c r="K60" i="3"/>
  <c r="E60" i="3"/>
  <c r="C65" i="3"/>
  <c r="C67" i="3" s="1"/>
  <c r="C69" i="3" s="1"/>
  <c r="G65" i="3"/>
  <c r="G67" i="3" s="1"/>
  <c r="G69" i="3" s="1"/>
  <c r="K65" i="3"/>
  <c r="K67" i="3" s="1"/>
  <c r="K69" i="3" s="1"/>
  <c r="L44" i="3"/>
  <c r="I60" i="3"/>
  <c r="I67" i="3" l="1"/>
  <c r="I69" i="3" s="1"/>
  <c r="D69" i="3"/>
  <c r="E67" i="3"/>
  <c r="E69" i="3" s="1"/>
  <c r="L69" i="3"/>
  <c r="M33" i="3" l="1"/>
  <c r="M24" i="3" l="1"/>
  <c r="M21" i="3"/>
  <c r="M18" i="3"/>
  <c r="M27" i="3" s="1"/>
  <c r="L15" i="3"/>
  <c r="K15" i="3"/>
  <c r="J15" i="3"/>
  <c r="I15" i="3"/>
  <c r="H15" i="3"/>
  <c r="G15" i="3"/>
  <c r="F15" i="3"/>
  <c r="E15" i="3"/>
  <c r="D15" i="3"/>
  <c r="C15" i="3"/>
  <c r="M9" i="3"/>
  <c r="D9" i="3"/>
  <c r="E9" i="3"/>
  <c r="F9" i="3"/>
  <c r="G9" i="3"/>
  <c r="H9" i="3"/>
  <c r="I9" i="3"/>
  <c r="J9" i="3"/>
  <c r="K9" i="3"/>
  <c r="L9" i="3"/>
  <c r="C9" i="3"/>
  <c r="C25" i="3"/>
  <c r="M6" i="3"/>
  <c r="D22" i="3"/>
  <c r="E10" i="3"/>
  <c r="F12" i="3"/>
  <c r="H22" i="3"/>
  <c r="J12" i="3"/>
  <c r="M28" i="3" l="1"/>
  <c r="M30" i="3"/>
  <c r="D25" i="3"/>
  <c r="H25" i="3"/>
  <c r="D7" i="3"/>
  <c r="M19" i="3"/>
  <c r="M25" i="3"/>
  <c r="M10" i="3"/>
  <c r="C22" i="3"/>
  <c r="F25" i="3"/>
  <c r="J25" i="3"/>
  <c r="I7" i="3"/>
  <c r="C16" i="3"/>
  <c r="L22" i="3"/>
  <c r="D10" i="3"/>
  <c r="L25" i="3"/>
  <c r="L10" i="3"/>
  <c r="H16" i="3"/>
  <c r="F16" i="3"/>
  <c r="J16" i="3"/>
  <c r="J22" i="3"/>
  <c r="J7" i="3"/>
  <c r="F10" i="3"/>
  <c r="F22" i="3"/>
  <c r="F7" i="3"/>
  <c r="I22" i="3"/>
  <c r="E22" i="3"/>
  <c r="E25" i="3"/>
  <c r="I25" i="3"/>
  <c r="L12" i="3"/>
  <c r="L18" i="3" s="1"/>
  <c r="H12" i="3"/>
  <c r="D12" i="3"/>
  <c r="D18" i="3" s="1"/>
  <c r="I12" i="3"/>
  <c r="I13" i="3" s="1"/>
  <c r="D16" i="3"/>
  <c r="L16" i="3"/>
  <c r="K7" i="3"/>
  <c r="G7" i="3"/>
  <c r="M12" i="3"/>
  <c r="M13" i="3" s="1"/>
  <c r="I10" i="3"/>
  <c r="C12" i="3"/>
  <c r="C13" i="3" s="1"/>
  <c r="E12" i="3"/>
  <c r="E18" i="3" s="1"/>
  <c r="E16" i="3"/>
  <c r="I16" i="3"/>
  <c r="K22" i="3"/>
  <c r="G22" i="3"/>
  <c r="M22" i="3"/>
  <c r="J13" i="3"/>
  <c r="J18" i="3"/>
  <c r="F13" i="3"/>
  <c r="F18" i="3"/>
  <c r="H18" i="3"/>
  <c r="H13" i="3"/>
  <c r="K10" i="3"/>
  <c r="G16" i="3"/>
  <c r="K16" i="3"/>
  <c r="M7" i="3"/>
  <c r="E7" i="3"/>
  <c r="H10" i="3"/>
  <c r="G25" i="3"/>
  <c r="K25" i="3"/>
  <c r="K12" i="3"/>
  <c r="G12" i="3"/>
  <c r="G10" i="3"/>
  <c r="L7" i="3"/>
  <c r="H7" i="3"/>
  <c r="J10" i="3"/>
  <c r="C10" i="3"/>
  <c r="B2" i="6"/>
  <c r="L3" i="6"/>
  <c r="K3" i="6"/>
  <c r="J3" i="6"/>
  <c r="I3" i="6"/>
  <c r="H3" i="6"/>
  <c r="G3" i="6"/>
  <c r="F3" i="6"/>
  <c r="E3" i="6"/>
  <c r="D3" i="6"/>
  <c r="C3" i="6"/>
  <c r="M36" i="3" l="1"/>
  <c r="M34" i="3"/>
  <c r="M31" i="3"/>
  <c r="F19" i="3"/>
  <c r="F27" i="3"/>
  <c r="E19" i="3"/>
  <c r="E27" i="3"/>
  <c r="L19" i="3"/>
  <c r="L27" i="3"/>
  <c r="J19" i="3"/>
  <c r="J27" i="3"/>
  <c r="D19" i="3"/>
  <c r="D27" i="3"/>
  <c r="I18" i="3"/>
  <c r="H19" i="3"/>
  <c r="H27" i="3"/>
  <c r="D13" i="3"/>
  <c r="C18" i="3"/>
  <c r="L13" i="3"/>
  <c r="E13" i="3"/>
  <c r="K13" i="3"/>
  <c r="K18" i="3"/>
  <c r="G13" i="3"/>
  <c r="G18" i="3"/>
  <c r="K9" i="6"/>
  <c r="J9" i="6"/>
  <c r="G9" i="6"/>
  <c r="F9" i="6"/>
  <c r="L3" i="3"/>
  <c r="D3" i="3"/>
  <c r="E3" i="3"/>
  <c r="F3" i="3"/>
  <c r="G3" i="3"/>
  <c r="H3" i="3"/>
  <c r="I3" i="3"/>
  <c r="J3" i="3"/>
  <c r="K3" i="3"/>
  <c r="C3" i="3"/>
  <c r="B2" i="3"/>
  <c r="K73" i="2"/>
  <c r="J73" i="2"/>
  <c r="I73" i="2"/>
  <c r="H73" i="2"/>
  <c r="K51" i="2"/>
  <c r="J51" i="2"/>
  <c r="I51" i="2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  <c r="M41" i="3" l="1"/>
  <c r="M37" i="3"/>
  <c r="J28" i="3"/>
  <c r="J30" i="3"/>
  <c r="E30" i="3"/>
  <c r="E28" i="3"/>
  <c r="K19" i="3"/>
  <c r="K27" i="3"/>
  <c r="I19" i="3"/>
  <c r="I27" i="3"/>
  <c r="D30" i="3"/>
  <c r="D28" i="3"/>
  <c r="L30" i="3"/>
  <c r="L28" i="3"/>
  <c r="F28" i="3"/>
  <c r="F30" i="3"/>
  <c r="G19" i="3"/>
  <c r="G27" i="3"/>
  <c r="H30" i="3"/>
  <c r="H28" i="3"/>
  <c r="C27" i="3"/>
  <c r="E29" i="6"/>
  <c r="E35" i="6" s="1"/>
  <c r="E28" i="6"/>
  <c r="E34" i="6" s="1"/>
  <c r="E30" i="6"/>
  <c r="E31" i="6"/>
  <c r="E27" i="6"/>
  <c r="E33" i="6" s="1"/>
  <c r="I29" i="6"/>
  <c r="I35" i="6" s="1"/>
  <c r="I28" i="6"/>
  <c r="I34" i="6" s="1"/>
  <c r="I31" i="6"/>
  <c r="I27" i="6"/>
  <c r="I33" i="6" s="1"/>
  <c r="I30" i="6"/>
  <c r="C31" i="6"/>
  <c r="C27" i="6"/>
  <c r="C30" i="6"/>
  <c r="C29" i="6"/>
  <c r="C28" i="6"/>
  <c r="G31" i="6"/>
  <c r="G27" i="6"/>
  <c r="G33" i="6" s="1"/>
  <c r="G30" i="6"/>
  <c r="G28" i="6"/>
  <c r="G34" i="6" s="1"/>
  <c r="G29" i="6"/>
  <c r="G35" i="6" s="1"/>
  <c r="K31" i="6"/>
  <c r="K27" i="6"/>
  <c r="K33" i="6" s="1"/>
  <c r="K30" i="6"/>
  <c r="K29" i="6"/>
  <c r="K35" i="6" s="1"/>
  <c r="K28" i="6"/>
  <c r="K34" i="6" s="1"/>
  <c r="E9" i="6"/>
  <c r="I9" i="6"/>
  <c r="F28" i="6"/>
  <c r="F34" i="6" s="1"/>
  <c r="F31" i="6"/>
  <c r="F27" i="6"/>
  <c r="F33" i="6" s="1"/>
  <c r="F29" i="6"/>
  <c r="F35" i="6" s="1"/>
  <c r="F30" i="6"/>
  <c r="J28" i="6"/>
  <c r="J34" i="6" s="1"/>
  <c r="J31" i="6"/>
  <c r="J27" i="6"/>
  <c r="J33" i="6" s="1"/>
  <c r="J30" i="6"/>
  <c r="J29" i="6"/>
  <c r="J35" i="6" s="1"/>
  <c r="D9" i="6"/>
  <c r="H9" i="6"/>
  <c r="D30" i="6"/>
  <c r="D27" i="6"/>
  <c r="D33" i="6" s="1"/>
  <c r="D29" i="6"/>
  <c r="D35" i="6" s="1"/>
  <c r="D28" i="6"/>
  <c r="D34" i="6" s="1"/>
  <c r="D31" i="6"/>
  <c r="H30" i="6"/>
  <c r="H29" i="6"/>
  <c r="H35" i="6" s="1"/>
  <c r="H31" i="6"/>
  <c r="H27" i="6"/>
  <c r="H33" i="6" s="1"/>
  <c r="H28" i="6"/>
  <c r="H34" i="6" s="1"/>
  <c r="L30" i="6"/>
  <c r="L29" i="6"/>
  <c r="L35" i="6" s="1"/>
  <c r="L28" i="6"/>
  <c r="L34" i="6" s="1"/>
  <c r="L31" i="6"/>
  <c r="L27" i="6"/>
  <c r="L33" i="6" s="1"/>
  <c r="L9" i="6"/>
  <c r="K11" i="6"/>
  <c r="J11" i="6"/>
  <c r="C17" i="6"/>
  <c r="K5" i="6"/>
  <c r="G17" i="6"/>
  <c r="F18" i="6"/>
  <c r="G5" i="6"/>
  <c r="H17" i="6"/>
  <c r="G18" i="6"/>
  <c r="I5" i="6"/>
  <c r="E17" i="6"/>
  <c r="F17" i="6"/>
  <c r="L18" i="6"/>
  <c r="J17" i="6"/>
  <c r="I17" i="6"/>
  <c r="K17" i="6"/>
  <c r="J5" i="6"/>
  <c r="J18" i="6"/>
  <c r="D18" i="6"/>
  <c r="H18" i="6"/>
  <c r="D17" i="6"/>
  <c r="L17" i="6"/>
  <c r="C18" i="6"/>
  <c r="K18" i="6"/>
  <c r="E18" i="6"/>
  <c r="D5" i="6"/>
  <c r="L5" i="6"/>
  <c r="E5" i="6"/>
  <c r="F5" i="6"/>
  <c r="I18" i="6"/>
  <c r="H5" i="6"/>
  <c r="M45" i="3" l="1"/>
  <c r="G28" i="3"/>
  <c r="G30" i="3"/>
  <c r="L36" i="3"/>
  <c r="L34" i="3"/>
  <c r="L31" i="3"/>
  <c r="E36" i="3"/>
  <c r="E34" i="3"/>
  <c r="E31" i="3"/>
  <c r="I30" i="3"/>
  <c r="I28" i="3"/>
  <c r="E36" i="6"/>
  <c r="F36" i="3"/>
  <c r="F34" i="3"/>
  <c r="F31" i="3"/>
  <c r="K28" i="3"/>
  <c r="K30" i="3"/>
  <c r="J36" i="3"/>
  <c r="J34" i="3"/>
  <c r="J31" i="3"/>
  <c r="H36" i="3"/>
  <c r="H34" i="3"/>
  <c r="H31" i="3"/>
  <c r="D36" i="3"/>
  <c r="D34" i="3"/>
  <c r="D31" i="3"/>
  <c r="C28" i="3"/>
  <c r="C30" i="3"/>
  <c r="I36" i="6"/>
  <c r="F36" i="6"/>
  <c r="D36" i="6"/>
  <c r="J36" i="6"/>
  <c r="N17" i="6"/>
  <c r="O17" i="6"/>
  <c r="K36" i="6"/>
  <c r="O30" i="6"/>
  <c r="N30" i="6"/>
  <c r="H36" i="6"/>
  <c r="C33" i="6"/>
  <c r="N27" i="6"/>
  <c r="O27" i="6"/>
  <c r="O40" i="6"/>
  <c r="N40" i="6"/>
  <c r="C35" i="6"/>
  <c r="O29" i="6"/>
  <c r="N29" i="6"/>
  <c r="N38" i="6"/>
  <c r="O38" i="6"/>
  <c r="O5" i="6"/>
  <c r="N5" i="6"/>
  <c r="N18" i="6"/>
  <c r="O18" i="6"/>
  <c r="C12" i="6"/>
  <c r="C25" i="6"/>
  <c r="C13" i="6"/>
  <c r="L36" i="6"/>
  <c r="O9" i="6"/>
  <c r="N9" i="6"/>
  <c r="G36" i="6"/>
  <c r="C34" i="6"/>
  <c r="N28" i="6"/>
  <c r="O28" i="6"/>
  <c r="N31" i="6"/>
  <c r="O31" i="6"/>
  <c r="C11" i="6"/>
  <c r="E11" i="6"/>
  <c r="G11" i="6"/>
  <c r="F11" i="6"/>
  <c r="L11" i="6"/>
  <c r="H11" i="6"/>
  <c r="I11" i="6"/>
  <c r="D11" i="6"/>
  <c r="J37" i="3" l="1"/>
  <c r="J41" i="3"/>
  <c r="H37" i="3"/>
  <c r="H41" i="3"/>
  <c r="F37" i="3"/>
  <c r="F41" i="3"/>
  <c r="D37" i="3"/>
  <c r="D41" i="3"/>
  <c r="L37" i="3"/>
  <c r="L41" i="3"/>
  <c r="E37" i="3"/>
  <c r="E41" i="3"/>
  <c r="K36" i="3"/>
  <c r="K34" i="3"/>
  <c r="K31" i="3"/>
  <c r="G36" i="3"/>
  <c r="G34" i="3"/>
  <c r="G31" i="3"/>
  <c r="I36" i="3"/>
  <c r="I34" i="3"/>
  <c r="I31" i="3"/>
  <c r="C36" i="3"/>
  <c r="C34" i="3"/>
  <c r="C31" i="3"/>
  <c r="C14" i="6" s="1"/>
  <c r="L21" i="6"/>
  <c r="L25" i="6"/>
  <c r="L6" i="6"/>
  <c r="L13" i="6"/>
  <c r="L19" i="6" s="1"/>
  <c r="G13" i="6"/>
  <c r="G19" i="6" s="1"/>
  <c r="G6" i="6"/>
  <c r="G21" i="6"/>
  <c r="G25" i="6"/>
  <c r="O11" i="6"/>
  <c r="N11" i="6"/>
  <c r="N33" i="6"/>
  <c r="O33" i="6"/>
  <c r="H21" i="6"/>
  <c r="H25" i="6"/>
  <c r="H6" i="6"/>
  <c r="H13" i="6"/>
  <c r="H19" i="6" s="1"/>
  <c r="F13" i="6"/>
  <c r="F19" i="6" s="1"/>
  <c r="F6" i="6"/>
  <c r="F21" i="6"/>
  <c r="F25" i="6"/>
  <c r="E25" i="6"/>
  <c r="E13" i="6"/>
  <c r="E19" i="6" s="1"/>
  <c r="E6" i="6"/>
  <c r="E21" i="6"/>
  <c r="J12" i="6"/>
  <c r="J13" i="6"/>
  <c r="J19" i="6" s="1"/>
  <c r="J6" i="6"/>
  <c r="J25" i="6"/>
  <c r="J21" i="6"/>
  <c r="O34" i="6"/>
  <c r="N34" i="6"/>
  <c r="C36" i="6"/>
  <c r="I25" i="6"/>
  <c r="I13" i="6"/>
  <c r="I19" i="6" s="1"/>
  <c r="I6" i="6"/>
  <c r="I21" i="6"/>
  <c r="D25" i="6"/>
  <c r="D6" i="6"/>
  <c r="D13" i="6"/>
  <c r="D19" i="6" s="1"/>
  <c r="K12" i="6"/>
  <c r="K13" i="6"/>
  <c r="K19" i="6" s="1"/>
  <c r="K6" i="6"/>
  <c r="K21" i="6"/>
  <c r="K25" i="6"/>
  <c r="C19" i="6"/>
  <c r="O35" i="6"/>
  <c r="N35" i="6"/>
  <c r="G12" i="6"/>
  <c r="G7" i="6"/>
  <c r="F12" i="6"/>
  <c r="I12" i="6"/>
  <c r="I7" i="6"/>
  <c r="D12" i="6"/>
  <c r="D7" i="6"/>
  <c r="H12" i="6"/>
  <c r="E12" i="6"/>
  <c r="E7" i="6"/>
  <c r="L12" i="6"/>
  <c r="L7" i="6"/>
  <c r="E42" i="3" l="1"/>
  <c r="E45" i="3"/>
  <c r="E47" i="3" s="1"/>
  <c r="H47" i="3"/>
  <c r="H45" i="3"/>
  <c r="I37" i="3"/>
  <c r="I41" i="3"/>
  <c r="G37" i="3"/>
  <c r="G41" i="3"/>
  <c r="C37" i="3"/>
  <c r="C15" i="6" s="1"/>
  <c r="C41" i="3"/>
  <c r="L45" i="3"/>
  <c r="L47" i="3" s="1"/>
  <c r="M42" i="3"/>
  <c r="F42" i="3"/>
  <c r="F45" i="3"/>
  <c r="F47" i="3" s="1"/>
  <c r="J45" i="3"/>
  <c r="J47" i="3" s="1"/>
  <c r="D42" i="3"/>
  <c r="D45" i="3"/>
  <c r="K37" i="3"/>
  <c r="K41" i="3"/>
  <c r="N25" i="6"/>
  <c r="O25" i="6"/>
  <c r="O21" i="6"/>
  <c r="N12" i="6"/>
  <c r="O12" i="6"/>
  <c r="C23" i="6"/>
  <c r="O39" i="6"/>
  <c r="N39" i="6"/>
  <c r="J14" i="6"/>
  <c r="J7" i="6"/>
  <c r="O6" i="6"/>
  <c r="N6" i="6"/>
  <c r="F7" i="6"/>
  <c r="K14" i="6"/>
  <c r="K7" i="6"/>
  <c r="O13" i="6"/>
  <c r="N21" i="6"/>
  <c r="O19" i="6"/>
  <c r="N19" i="6"/>
  <c r="N36" i="6"/>
  <c r="O36" i="6"/>
  <c r="H7" i="6"/>
  <c r="N13" i="6"/>
  <c r="L14" i="6"/>
  <c r="E14" i="6"/>
  <c r="D14" i="6"/>
  <c r="F14" i="6"/>
  <c r="H14" i="6"/>
  <c r="G14" i="6"/>
  <c r="I14" i="6"/>
  <c r="K42" i="3" l="1"/>
  <c r="K45" i="3"/>
  <c r="K47" i="3" s="1"/>
  <c r="K22" i="6" s="1"/>
  <c r="L42" i="3"/>
  <c r="G42" i="3"/>
  <c r="G45" i="3"/>
  <c r="G47" i="3" s="1"/>
  <c r="C45" i="3"/>
  <c r="C47" i="3" s="1"/>
  <c r="C22" i="6" s="1"/>
  <c r="C24" i="6" s="1"/>
  <c r="I42" i="3"/>
  <c r="I45" i="3"/>
  <c r="I47" i="3" s="1"/>
  <c r="J42" i="3"/>
  <c r="H42" i="3"/>
  <c r="N7" i="6"/>
  <c r="O14" i="6"/>
  <c r="N14" i="6"/>
  <c r="E23" i="6"/>
  <c r="E8" i="6"/>
  <c r="L23" i="6"/>
  <c r="L8" i="6"/>
  <c r="J22" i="6"/>
  <c r="J23" i="6"/>
  <c r="J8" i="6"/>
  <c r="G8" i="6"/>
  <c r="G23" i="6"/>
  <c r="D8" i="6"/>
  <c r="D23" i="6"/>
  <c r="O7" i="6"/>
  <c r="I23" i="6"/>
  <c r="I8" i="6"/>
  <c r="H23" i="6"/>
  <c r="H8" i="6"/>
  <c r="F23" i="6"/>
  <c r="F8" i="6"/>
  <c r="K15" i="6"/>
  <c r="K8" i="6"/>
  <c r="K23" i="6"/>
  <c r="J15" i="6"/>
  <c r="F15" i="6"/>
  <c r="I15" i="6"/>
  <c r="D15" i="6"/>
  <c r="H15" i="6"/>
  <c r="E15" i="6"/>
  <c r="G15" i="6"/>
  <c r="L15" i="6"/>
  <c r="J24" i="6" l="1"/>
  <c r="K24" i="6"/>
  <c r="O15" i="6"/>
  <c r="N23" i="6"/>
  <c r="O23" i="6"/>
  <c r="N8" i="6"/>
  <c r="O8" i="6"/>
  <c r="N15" i="6"/>
  <c r="E22" i="6"/>
  <c r="E24" i="6" s="1"/>
  <c r="H22" i="6"/>
  <c r="H24" i="6" s="1"/>
  <c r="G22" i="6"/>
  <c r="G24" i="6" s="1"/>
  <c r="I22" i="6"/>
  <c r="I24" i="6" s="1"/>
  <c r="F22" i="6"/>
  <c r="F24" i="6" s="1"/>
  <c r="L22" i="6"/>
  <c r="L24" i="6" s="1"/>
  <c r="D22" i="6"/>
  <c r="D24" i="6" l="1"/>
  <c r="O22" i="6"/>
  <c r="N22" i="6"/>
  <c r="O24" i="6" l="1"/>
  <c r="N24" i="6"/>
</calcChain>
</file>

<file path=xl/sharedStrings.xml><?xml version="1.0" encoding="utf-8"?>
<sst xmlns="http://schemas.openxmlformats.org/spreadsheetml/2006/main" count="321" uniqueCount="211">
  <si>
    <t>COMPANY NAME</t>
  </si>
  <si>
    <t>NESTLE INDIA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</si>
  <si>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</si>
  <si>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</si>
  <si>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</si>
  <si>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</si>
  <si>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</si>
  <si>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</si>
  <si>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</si>
  <si>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</si>
  <si>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</si>
  <si>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</si>
  <si>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</si>
  <si>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</si>
  <si>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</si>
  <si>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</si>
  <si>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</si>
  <si>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</si>
  <si>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</si>
  <si>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</si>
  <si>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</si>
  <si>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</si>
  <si>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</si>
  <si>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</si>
  <si>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</si>
  <si>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</si>
  <si>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</si>
  <si>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</si>
  <si>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</si>
  <si>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</si>
  <si>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</si>
  <si>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</si>
  <si>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</si>
  <si>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</si>
  <si>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</si>
  <si>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</si>
  <si>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</si>
  <si>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</si>
  <si>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</si>
  <si>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</si>
  <si>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</si>
  <si>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</si>
  <si>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</si>
  <si>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</si>
  <si>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</si>
  <si>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</si>
  <si>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</si>
  <si>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</si>
  <si>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</si>
  <si>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</si>
  <si>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</si>
  <si>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</si>
  <si>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</si>
  <si>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</si>
  <si>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</si>
  <si>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</si>
  <si>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</si>
  <si>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</si>
  <si>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</si>
  <si>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</si>
  <si>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</si>
  <si>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</si>
  <si>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</si>
  <si>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</si>
  <si>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</si>
  <si>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</si>
  <si>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</si>
  <si>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</si>
  <si>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</si>
  <si>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</si>
  <si>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</si>
  <si>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</si>
  <si>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</si>
  <si>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</si>
  <si>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</si>
  <si>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</si>
  <si>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</si>
  <si>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</si>
  <si>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</si>
  <si>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</si>
  <si>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</si>
  <si>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</si>
  <si>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</si>
  <si>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</si>
  <si>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</si>
  <si>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</si>
  <si>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</si>
  <si>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</si>
  <si>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</si>
  <si>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</si>
  <si>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</si>
  <si>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</si>
  <si>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Gross Margin</t>
  </si>
  <si>
    <t>EBITDA Margin</t>
  </si>
  <si>
    <t>OperatingIncome%Sales</t>
  </si>
  <si>
    <t>SalesExpenses%Sales</t>
  </si>
  <si>
    <t>SalesGrowth</t>
  </si>
  <si>
    <t>EBIT Growth</t>
  </si>
  <si>
    <t>Self Sustained Growth Rate</t>
  </si>
  <si>
    <t>Retained Earnings%</t>
  </si>
  <si>
    <t>Dividend Growth</t>
  </si>
  <si>
    <t>Net Profit Growth</t>
  </si>
  <si>
    <t>EBITDA Growth</t>
  </si>
  <si>
    <t>EBIT Margin</t>
  </si>
  <si>
    <t>EBT Margin</t>
  </si>
  <si>
    <t>Net Profit Margin</t>
  </si>
  <si>
    <t>Interest Coverage Ratio</t>
  </si>
  <si>
    <t>Debtor Turnover Ratio</t>
  </si>
  <si>
    <t>Inventory Turnover</t>
  </si>
  <si>
    <t>Fixed Asset Turnover</t>
  </si>
  <si>
    <t>Debtor Days</t>
  </si>
  <si>
    <t>Creditor Turnover Ratio</t>
  </si>
  <si>
    <t>Payable Days</t>
  </si>
  <si>
    <t>Capital Turnover Ratio</t>
  </si>
  <si>
    <t>Inventory Days</t>
  </si>
  <si>
    <t>Return on Equity%</t>
  </si>
  <si>
    <t>Return on Capital Employed</t>
  </si>
  <si>
    <t>CFO/Sales</t>
  </si>
  <si>
    <t>CFO/Total Assets</t>
  </si>
  <si>
    <t>CFO/Total Debt</t>
  </si>
  <si>
    <t>Cash Conversion Cycle (in days)</t>
  </si>
  <si>
    <t>Mean</t>
  </si>
  <si>
    <t>Median</t>
  </si>
  <si>
    <t>Trend</t>
  </si>
  <si>
    <t>Cash from Operating Activity -</t>
  </si>
  <si>
    <t>Profit from operations</t>
  </si>
  <si>
    <t>Payables</t>
  </si>
  <si>
    <t>Loans Advances</t>
  </si>
  <si>
    <t>Operating borrowings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</si>
  <si>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</si>
  <si>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</si>
  <si>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</si>
  <si>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</si>
  <si>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</si>
  <si>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</si>
  <si>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</si>
  <si>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</si>
  <si>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</si>
  <si>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</si>
  <si>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Other investing items</t>
  </si>
  <si>
    <t>Cash from Financing Activity -</t>
  </si>
  <si>
    <t>Proceeds from borrowings</t>
  </si>
  <si>
    <t>Repayment of borrowings</t>
  </si>
  <si>
    <t>Investment subsidy</t>
  </si>
  <si>
    <t>Interest paid fin</t>
  </si>
  <si>
    <t>Dividends paid</t>
  </si>
  <si>
    <t>Financial liabilities</t>
  </si>
  <si>
    <t>Other financing items</t>
  </si>
  <si>
    <t>EBIT</t>
  </si>
  <si>
    <t>EBIT%Sales</t>
  </si>
  <si>
    <t>Operating Activities</t>
  </si>
  <si>
    <t>Investing Activities</t>
  </si>
  <si>
    <t>Financing Activities</t>
  </si>
  <si>
    <t>Year</t>
  </si>
  <si>
    <t>Weight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</si>
  <si>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</si>
  <si>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</si>
  <si>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</si>
  <si>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</si>
  <si>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</si>
  <si>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</si>
  <si>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</si>
  <si>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</si>
  <si>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</si>
  <si>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</si>
  <si>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</si>
  <si>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</si>
  <si>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</si>
  <si>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</si>
  <si>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</si>
  <si>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</si>
  <si>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</si>
  <si>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</si>
  <si>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</si>
  <si>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</si>
  <si>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</si>
  <si>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</si>
  <si>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</si>
  <si>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</si>
  <si>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EPS</t>
  </si>
  <si>
    <t>EPS Growth</t>
  </si>
  <si>
    <t>Particulars</t>
  </si>
  <si>
    <t>Equity Capital</t>
  </si>
  <si>
    <t>Borrowings -</t>
  </si>
  <si>
    <t>Long term Borrowings</t>
  </si>
  <si>
    <t>Short term Borrowings</t>
  </si>
  <si>
    <t>Lease Liabilities</t>
  </si>
  <si>
    <t>Other Liabilities -</t>
  </si>
  <si>
    <t>Trade Payables</t>
  </si>
  <si>
    <t>Advance from Customers</t>
  </si>
  <si>
    <t>Other liability items</t>
  </si>
  <si>
    <t>Fixed Assets 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</si>
  <si>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</si>
  <si>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</si>
  <si>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</si>
  <si>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</si>
  <si>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</si>
  <si>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</si>
  <si>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</si>
  <si>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</si>
  <si>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</si>
  <si>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</si>
  <si>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</si>
  <si>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 -</t>
  </si>
  <si>
    <t>Inventories</t>
  </si>
  <si>
    <t>Cash Equivalents</t>
  </si>
  <si>
    <t>Short term loans</t>
  </si>
  <si>
    <t>Other asset items</t>
  </si>
  <si>
    <t>Computers</t>
  </si>
  <si>
    <t>Railway sidings</t>
  </si>
  <si>
    <t>Trade receivables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</si>
</sst>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;\(&quot;₹&quot;\ #,##0.0\);\-"/>
    <numFmt numFmtId="167" formatCode="&quot;₹&quot;\ #,##0.00"/>
    <numFmt numFmtId="168" formatCode="&quot;₹&quot;\ #,##0.00;\(&quot;₹&quot;\ #,##0.00\);\-"/>
    <numFmt numFmtId="169" formatCode="0.00&quot;x&quot;"/>
    <numFmt numFmtId="170" formatCode="0&quot;A&quot;"/>
    <numFmt numFmtId="171" formatCode="0&quot;E&quot;"/>
  </numFmts>
  <fonts count="2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  <font>
      <sz val="11"/>
      <color theme="0"/>
      <name val="Calibri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Calibri"/>
      <family val="2"/>
    </font>
    <font>
      <sz val="11"/>
      <color rgb="FF22222F"/>
      <name val="Calibri"/>
      <family val="2"/>
      <scheme val="minor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b/>
      <sz val="11"/>
      <color theme="0"/>
      <name val="Arial"/>
      <family val="2"/>
    </font>
    <font>
      <b/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106">
    <xf numFmtId="0" fontId="0" fillId="0" borderId="0" xfId="0"/>
    <xf numFmtId="43" fontId="6" fillId="0" borderId="0" xfId="2" applyFont="1" applyBorder="1"/>
    <xf numFmtId="43" fontId="8" fillId="0" borderId="0" xfId="2" applyFont="1" applyBorder="1"/>
    <xf numFmtId="0" fontId="8" fillId="0" borderId="0" xfId="5" applyFont="1"/>
    <xf numFmtId="165" fontId="10" fillId="3" borderId="0" xfId="2" applyNumberFormat="1" applyFont="1" applyFill="1" applyBorder="1"/>
    <xf numFmtId="165" fontId="10" fillId="3" borderId="0" xfId="5" applyNumberFormat="1" applyFont="1" applyFill="1" applyAlignment="1">
      <alignment horizontal="center"/>
    </xf>
    <xf numFmtId="165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164" fontId="8" fillId="0" borderId="0" xfId="2" applyNumberFormat="1" applyFont="1" applyBorder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0" fillId="0" borderId="2" xfId="0" applyBorder="1"/>
    <xf numFmtId="10" fontId="0" fillId="0" borderId="2" xfId="1" applyNumberFormat="1" applyFont="1" applyBorder="1"/>
    <xf numFmtId="0" fontId="0" fillId="0" borderId="0" xfId="0" applyBorder="1"/>
    <xf numFmtId="10" fontId="0" fillId="0" borderId="0" xfId="1" applyNumberFormat="1" applyFont="1" applyBorder="1"/>
    <xf numFmtId="0" fontId="0" fillId="0" borderId="3" xfId="0" applyBorder="1"/>
    <xf numFmtId="10" fontId="0" fillId="0" borderId="3" xfId="1" applyNumberFormat="1" applyFont="1" applyBorder="1"/>
    <xf numFmtId="10" fontId="0" fillId="0" borderId="3" xfId="0" applyNumberFormat="1" applyBorder="1"/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7" fontId="2" fillId="4" borderId="0" xfId="0" applyNumberFormat="1" applyFont="1" applyFill="1" applyAlignment="1">
      <alignment horizontal="center"/>
    </xf>
    <xf numFmtId="0" fontId="17" fillId="6" borderId="0" xfId="0" applyFont="1" applyFill="1" applyAlignment="1">
      <alignment horizontal="left" vertical="center"/>
    </xf>
    <xf numFmtId="3" fontId="17" fillId="6" borderId="0" xfId="0" applyNumberFormat="1" applyFont="1" applyFill="1" applyAlignment="1">
      <alignment horizontal="right" vertical="center" wrapText="1"/>
    </xf>
    <xf numFmtId="0" fontId="18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right" vertical="center" wrapText="1"/>
    </xf>
    <xf numFmtId="0" fontId="17" fillId="6" borderId="0" xfId="0" applyFont="1" applyFill="1" applyAlignment="1">
      <alignment horizontal="right" vertical="center" wrapText="1"/>
    </xf>
    <xf numFmtId="3" fontId="18" fillId="6" borderId="0" xfId="0" applyNumberFormat="1" applyFont="1" applyFill="1" applyAlignment="1">
      <alignment horizontal="right" vertical="center" wrapText="1"/>
    </xf>
    <xf numFmtId="166" fontId="0" fillId="0" borderId="0" xfId="0" applyNumberForma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0" fillId="7" borderId="0" xfId="0" applyFill="1"/>
    <xf numFmtId="17" fontId="16" fillId="7" borderId="0" xfId="0" applyNumberFormat="1" applyFont="1" applyFill="1" applyAlignment="1">
      <alignment horizontal="right" vertical="center" wrapText="1"/>
    </xf>
    <xf numFmtId="0" fontId="19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17" fontId="2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0" fontId="14" fillId="0" borderId="0" xfId="1" applyNumberFormat="1" applyFont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3" fillId="0" borderId="1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left" vertical="center"/>
    </xf>
    <xf numFmtId="167" fontId="3" fillId="0" borderId="0" xfId="0" applyNumberFormat="1" applyFont="1" applyBorder="1" applyAlignment="1">
      <alignment horizontal="center"/>
    </xf>
    <xf numFmtId="0" fontId="15" fillId="8" borderId="0" xfId="0" applyFont="1" applyFill="1"/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170" fontId="0" fillId="0" borderId="0" xfId="0" applyNumberFormat="1" applyBorder="1"/>
    <xf numFmtId="0" fontId="8" fillId="0" borderId="0" xfId="5" applyFont="1" applyBorder="1"/>
    <xf numFmtId="0" fontId="0" fillId="9" borderId="0" xfId="0" applyFill="1" applyBorder="1"/>
    <xf numFmtId="171" fontId="0" fillId="9" borderId="0" xfId="0" applyNumberFormat="1" applyFill="1" applyBorder="1"/>
    <xf numFmtId="10" fontId="0" fillId="9" borderId="0" xfId="1" applyNumberFormat="1" applyFont="1" applyFill="1" applyBorder="1"/>
    <xf numFmtId="0" fontId="0" fillId="9" borderId="6" xfId="0" applyFill="1" applyBorder="1"/>
    <xf numFmtId="171" fontId="0" fillId="9" borderId="6" xfId="0" applyNumberFormat="1" applyFill="1" applyBorder="1"/>
    <xf numFmtId="10" fontId="0" fillId="9" borderId="6" xfId="1" applyNumberFormat="1" applyFont="1" applyFill="1" applyBorder="1"/>
    <xf numFmtId="168" fontId="8" fillId="0" borderId="0" xfId="5" applyNumberFormat="1" applyFont="1" applyBorder="1"/>
    <xf numFmtId="168" fontId="0" fillId="9" borderId="0" xfId="0" applyNumberFormat="1" applyFill="1" applyBorder="1"/>
    <xf numFmtId="170" fontId="0" fillId="9" borderId="0" xfId="0" applyNumberFormat="1" applyFill="1" applyBorder="1"/>
    <xf numFmtId="168" fontId="8" fillId="9" borderId="0" xfId="5" applyNumberFormat="1" applyFont="1" applyFill="1" applyBorder="1"/>
    <xf numFmtId="0" fontId="3" fillId="0" borderId="0" xfId="0" applyFont="1"/>
    <xf numFmtId="0" fontId="16" fillId="6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right" vertical="center" wrapText="1"/>
    </xf>
    <xf numFmtId="17" fontId="21" fillId="6" borderId="0" xfId="0" applyNumberFormat="1" applyFont="1" applyFill="1" applyAlignment="1">
      <alignment horizontal="right" vertical="center" wrapText="1"/>
    </xf>
    <xf numFmtId="3" fontId="16" fillId="6" borderId="0" xfId="0" applyNumberFormat="1" applyFont="1" applyFill="1" applyAlignment="1">
      <alignment horizontal="right" vertical="center" wrapText="1"/>
    </xf>
    <xf numFmtId="0" fontId="22" fillId="6" borderId="0" xfId="0" applyFont="1" applyFill="1" applyAlignment="1">
      <alignment horizontal="left" vertical="center"/>
    </xf>
    <xf numFmtId="3" fontId="22" fillId="6" borderId="0" xfId="0" applyNumberFormat="1" applyFont="1" applyFill="1" applyAlignment="1">
      <alignment horizontal="right" vertical="center" wrapText="1"/>
    </xf>
    <xf numFmtId="0" fontId="22" fillId="6" borderId="0" xfId="0" applyFont="1" applyFill="1" applyAlignment="1">
      <alignment horizontal="right" vertical="center" wrapText="1"/>
    </xf>
    <xf numFmtId="0" fontId="2" fillId="8" borderId="0" xfId="0" applyFont="1" applyFill="1"/>
    <xf numFmtId="4" fontId="16" fillId="6" borderId="0" xfId="0" applyNumberFormat="1" applyFont="1" applyFill="1" applyAlignment="1">
      <alignment horizontal="right" vertical="center" wrapText="1"/>
    </xf>
    <xf numFmtId="17" fontId="23" fillId="8" borderId="0" xfId="0" applyNumberFormat="1" applyFont="1" applyFill="1" applyAlignment="1">
      <alignment horizontal="right" vertical="center" wrapText="1"/>
    </xf>
    <xf numFmtId="0" fontId="24" fillId="6" borderId="0" xfId="0" applyFont="1" applyFill="1" applyAlignment="1">
      <alignment horizontal="left" vertical="center"/>
    </xf>
    <xf numFmtId="3" fontId="24" fillId="6" borderId="0" xfId="0" applyNumberFormat="1" applyFont="1" applyFill="1" applyAlignment="1">
      <alignment horizontal="right" vertical="center" wrapText="1"/>
    </xf>
    <xf numFmtId="4" fontId="24" fillId="6" borderId="0" xfId="0" applyNumberFormat="1" applyFont="1" applyFill="1" applyAlignment="1">
      <alignment horizontal="right" vertical="center" wrapText="1"/>
    </xf>
    <xf numFmtId="0" fontId="24" fillId="6" borderId="0" xfId="0" applyFont="1" applyFill="1" applyAlignment="1">
      <alignment horizontal="right" vertical="center" wrapText="1"/>
    </xf>
    <xf numFmtId="17" fontId="25" fillId="6" borderId="0" xfId="0" applyNumberFormat="1" applyFont="1" applyFill="1" applyAlignment="1">
      <alignment horizontal="right" vertical="center" wrapText="1"/>
    </xf>
    <xf numFmtId="0" fontId="26" fillId="6" borderId="0" xfId="0" applyFont="1" applyFill="1" applyAlignment="1">
      <alignment horizontal="left" vertical="center"/>
    </xf>
    <xf numFmtId="3" fontId="26" fillId="6" borderId="0" xfId="0" applyNumberFormat="1" applyFont="1" applyFill="1" applyAlignment="1">
      <alignment horizontal="right" vertical="center" wrapText="1"/>
    </xf>
    <xf numFmtId="0" fontId="26" fillId="6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43" fontId="7" fillId="0" borderId="0" xfId="3" applyNumberFormat="1" applyFont="1" applyBorder="1" applyAlignment="1" applyProtection="1">
      <alignment horizontal="center"/>
    </xf>
    <xf numFmtId="43" fontId="10" fillId="2" borderId="0" xfId="4" applyNumberFormat="1" applyFont="1" applyBorder="1" applyAlignment="1">
      <alignment horizontal="center"/>
    </xf>
    <xf numFmtId="170" fontId="0" fillId="9" borderId="6" xfId="0" applyNumberFormat="1" applyFill="1" applyBorder="1"/>
  </cellXfs>
  <cellStyles count="8">
    <cellStyle name="Accent6 2" xfId="4" xr:uid="{BBDB2BF0-232B-4C01-AC19-E13AE7790424}"/>
    <cellStyle name="Comma 2" xfId="2" xr:uid="{177753BF-8FC0-47C2-A09D-659D00B32ED6}"/>
    <cellStyle name="Hyperlink 2" xfId="3" xr:uid="{7C8B96FE-EF46-46CA-837F-CBE11AA9368D}"/>
    <cellStyle name="Normal" xfId="0" builtinId="0"/>
    <cellStyle name="Normal 2" xfId="7" xr:uid="{2080FAEF-89A5-4CB3-B948-0E63B4C07C78}"/>
    <cellStyle name="Normal 3" xfId="5" xr:uid="{D9D406C4-520E-4DB0-A06B-D346019C8727}"/>
    <cellStyle name="Percent" xfId="1" builtinId="5"/>
    <cellStyle name="Percent 3" xfId="6" xr:uid="{7B1B12B2-B1C6-4898-946F-9C0F047CCCB8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Sales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'Forecast Direct method'!$D$3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'Forecast Direct method'!$C$4:$C$18</c:f>
              <c:numCache>
                <c:formatCode>0"A"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 formatCode="0&quot;E&quot;">
                  <c:v>2024</c:v>
                </c:pt>
                <c:pt idx="11" formatCode="0&quot;E&quot;">
                  <c:v>2025</c:v>
                </c:pt>
                <c:pt idx="12" formatCode="0&quot;E&quot;">
                  <c:v>2026</c:v>
                </c:pt>
                <c:pt idx="13" formatCode="0&quot;E&quot;">
                  <c:v>2027</c:v>
                </c:pt>
                <c:pt idx="14" formatCode="0&quot;E&quot;">
                  <c:v>2028</c:v>
                </c:pt>
              </c:numCache>
            </c:numRef>
          </c:xVal>
          <c:yVal>
            <c:numRef>
              <c:f>'Forecast Direct method'!$D$4:$D$18</c:f>
              <c:numCache>
                <c:formatCode>General</c:formatCode>
                <c:ptCount val="15"/>
                <c:pt idx="0">
                  <c:v>9854.84</c:v>
                </c:pt>
                <c:pt idx="1">
                  <c:v>8175.31</c:v>
                </c:pt>
                <c:pt idx="2">
                  <c:v>9141.34</c:v>
                </c:pt>
                <c:pt idx="3">
                  <c:v>10009.6</c:v>
                </c:pt>
                <c:pt idx="4">
                  <c:v>11292.27</c:v>
                </c:pt>
                <c:pt idx="5">
                  <c:v>12368.9</c:v>
                </c:pt>
                <c:pt idx="6">
                  <c:v>13350.03</c:v>
                </c:pt>
                <c:pt idx="7">
                  <c:v>14740.59</c:v>
                </c:pt>
                <c:pt idx="8">
                  <c:v>16896.96</c:v>
                </c:pt>
                <c:pt idx="9">
                  <c:v>19126.3</c:v>
                </c:pt>
                <c:pt idx="10">
                  <c:v>18615.242666666665</c:v>
                </c:pt>
                <c:pt idx="11">
                  <c:v>19727.902424242424</c:v>
                </c:pt>
                <c:pt idx="12">
                  <c:v>20840.562181818183</c:v>
                </c:pt>
                <c:pt idx="13">
                  <c:v>21953.221939393938</c:v>
                </c:pt>
                <c:pt idx="14">
                  <c:v>23065.881696969696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3F2-B1C6-468F974C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0815"/>
        <c:axId val="242831711"/>
      </c:scatterChart>
      <c:valAx>
        <c:axId val="1984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A&quot;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31711"/>
        <c:crosses val="autoZero"/>
        <c:crossBetween val="midCat"/>
      </c:valAx>
      <c:valAx>
        <c:axId val="2428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494665</xdr:colOff>
      <xdr:row>3</xdr:row>
      <xdr:rowOff>45720</xdr:rowOff>
    </xdr:from>
    <xdr:to>
      <xdr:col>15</xdr:col>
      <xdr:colOff>189865</xdr:colOff>
      <xdr:row>18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50579-3E2E-4EC8-8064-1A4C2184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A6F-FAE9-493F-95C8-EA88CC872622}">
  <sheetPr>
    <tabColor theme="8" tint="-0.499984740745262"/>
  </sheetPr>
  <dimension ref="A1"/>
  <sheetViews>
    <sheetView showGridLines="0" workbookViewId="0">
      <selection activeCell="F22" sqref="F2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0A8F-452D-42D7-99DC-1D5072506528}">
  <sheetPr>
    <tabColor rgb="FFC00000"/>
  </sheetPr>
  <dimension ref="B2:N29"/>
  <sheetViews>
    <sheetView showGridLines="0" workbookViewId="0">
      <pane ySplit="2" topLeftCell="A3" activePane="bottomLeft" state="frozen"/>
      <selection pane="bottomLeft" activeCell="B29" sqref="B29"/>
    </sheetView>
  </sheetViews>
  <sheetFormatPr defaultRowHeight="14.4" x14ac:dyDescent="0.3"/>
  <cols>
    <col min="1" max="1" width="1.77734375" customWidth="1"/>
    <col min="2" max="2" width="39.88671875" customWidth="1"/>
  </cols>
  <sheetData>
    <row r="2" spans="2:14" s="36" customFormat="1" x14ac:dyDescent="0.3">
      <c r="C2" s="37">
        <v>41244</v>
      </c>
      <c r="D2" s="37">
        <v>41609</v>
      </c>
      <c r="E2" s="37">
        <v>41974</v>
      </c>
      <c r="F2" s="37">
        <v>42339</v>
      </c>
      <c r="G2" s="37">
        <v>42705</v>
      </c>
      <c r="H2" s="37">
        <v>43070</v>
      </c>
      <c r="I2" s="37">
        <v>43435</v>
      </c>
      <c r="J2" s="37">
        <v>43800</v>
      </c>
      <c r="K2" s="37">
        <v>44166</v>
      </c>
      <c r="L2" s="37">
        <v>44531</v>
      </c>
      <c r="M2" s="37">
        <v>44896</v>
      </c>
      <c r="N2" s="37">
        <v>45261</v>
      </c>
    </row>
    <row r="3" spans="2:14" x14ac:dyDescent="0.3">
      <c r="B3" s="28" t="s">
        <v>124</v>
      </c>
      <c r="C3" s="29">
        <v>1693</v>
      </c>
      <c r="D3" s="29">
        <v>1796</v>
      </c>
      <c r="E3" s="29">
        <v>1644</v>
      </c>
      <c r="F3" s="29">
        <v>1098</v>
      </c>
      <c r="G3" s="29">
        <v>1466</v>
      </c>
      <c r="H3" s="29">
        <v>1818</v>
      </c>
      <c r="I3" s="29">
        <v>2052</v>
      </c>
      <c r="J3" s="29">
        <v>2295</v>
      </c>
      <c r="K3" s="29">
        <v>2454</v>
      </c>
      <c r="L3" s="29">
        <v>2236</v>
      </c>
      <c r="M3" s="29">
        <v>2737</v>
      </c>
      <c r="N3" s="29">
        <v>3392</v>
      </c>
    </row>
    <row r="4" spans="2:14" x14ac:dyDescent="0.3">
      <c r="B4" s="28" t="s">
        <v>125</v>
      </c>
      <c r="C4" s="29">
        <v>1845</v>
      </c>
      <c r="D4" s="29">
        <v>1956</v>
      </c>
      <c r="E4" s="29">
        <v>2051</v>
      </c>
      <c r="F4" s="29">
        <v>1109</v>
      </c>
      <c r="G4" s="29">
        <v>1765</v>
      </c>
      <c r="H4" s="29">
        <v>2047</v>
      </c>
      <c r="I4" s="29">
        <v>2521</v>
      </c>
      <c r="J4" s="29">
        <v>2805</v>
      </c>
      <c r="K4" s="29">
        <v>3061</v>
      </c>
      <c r="L4" s="29">
        <v>3136</v>
      </c>
      <c r="M4" s="29">
        <v>3609</v>
      </c>
      <c r="N4" s="29">
        <v>4388</v>
      </c>
    </row>
    <row r="5" spans="2:14" x14ac:dyDescent="0.3">
      <c r="B5" s="30" t="s">
        <v>42</v>
      </c>
      <c r="C5" s="31">
        <v>26</v>
      </c>
      <c r="D5" s="31">
        <v>3</v>
      </c>
      <c r="E5" s="31">
        <v>-14</v>
      </c>
      <c r="F5" s="31">
        <v>21</v>
      </c>
      <c r="G5" s="31">
        <v>-19</v>
      </c>
      <c r="H5" s="31">
        <v>8</v>
      </c>
      <c r="I5" s="31">
        <v>-36</v>
      </c>
      <c r="J5" s="31">
        <v>0</v>
      </c>
      <c r="K5" s="31">
        <v>-42</v>
      </c>
      <c r="L5" s="31">
        <v>-2</v>
      </c>
      <c r="M5" s="31">
        <v>-28</v>
      </c>
      <c r="N5" s="31">
        <v>-11</v>
      </c>
    </row>
    <row r="6" spans="2:14" x14ac:dyDescent="0.3">
      <c r="B6" s="30" t="s">
        <v>43</v>
      </c>
      <c r="C6" s="31">
        <v>-12</v>
      </c>
      <c r="D6" s="31">
        <v>10</v>
      </c>
      <c r="E6" s="31">
        <v>-108</v>
      </c>
      <c r="F6" s="31">
        <v>23</v>
      </c>
      <c r="G6" s="31">
        <v>-119</v>
      </c>
      <c r="H6" s="31">
        <v>38</v>
      </c>
      <c r="I6" s="31">
        <v>-63</v>
      </c>
      <c r="J6" s="31">
        <v>-318</v>
      </c>
      <c r="K6" s="31">
        <v>-133</v>
      </c>
      <c r="L6" s="31">
        <v>-169</v>
      </c>
      <c r="M6" s="31">
        <v>-336</v>
      </c>
      <c r="N6" s="31">
        <v>56</v>
      </c>
    </row>
    <row r="7" spans="2:14" x14ac:dyDescent="0.3">
      <c r="B7" s="30" t="s">
        <v>126</v>
      </c>
      <c r="C7" s="31">
        <v>108</v>
      </c>
      <c r="D7" s="31">
        <v>128</v>
      </c>
      <c r="E7" s="31">
        <v>118</v>
      </c>
      <c r="F7" s="31">
        <v>79</v>
      </c>
      <c r="G7" s="31">
        <v>50</v>
      </c>
      <c r="H7" s="31">
        <v>185</v>
      </c>
      <c r="I7" s="31">
        <v>257</v>
      </c>
      <c r="J7" s="31">
        <v>253</v>
      </c>
      <c r="K7" s="31">
        <v>23</v>
      </c>
      <c r="L7" s="31">
        <v>217</v>
      </c>
      <c r="M7" s="31">
        <v>178</v>
      </c>
      <c r="N7" s="31">
        <v>68</v>
      </c>
    </row>
    <row r="8" spans="2:14" x14ac:dyDescent="0.3">
      <c r="B8" s="30" t="s">
        <v>127</v>
      </c>
      <c r="C8" s="31">
        <v>0</v>
      </c>
      <c r="D8" s="31">
        <v>-48</v>
      </c>
      <c r="E8" s="31">
        <v>34</v>
      </c>
      <c r="F8" s="31">
        <v>-3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-40</v>
      </c>
      <c r="M8" s="31">
        <v>-30</v>
      </c>
      <c r="N8" s="31">
        <v>-30</v>
      </c>
    </row>
    <row r="9" spans="2:14" x14ac:dyDescent="0.3">
      <c r="B9" s="30" t="s">
        <v>128</v>
      </c>
      <c r="C9" s="31">
        <v>0</v>
      </c>
      <c r="D9" s="31">
        <v>0</v>
      </c>
      <c r="E9" s="31">
        <v>0</v>
      </c>
      <c r="F9" s="31">
        <v>2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</row>
    <row r="10" spans="2:14" x14ac:dyDescent="0.3">
      <c r="B10" s="30" t="s">
        <v>129</v>
      </c>
      <c r="C10" s="31">
        <v>141</v>
      </c>
      <c r="D10" s="31">
        <v>234</v>
      </c>
      <c r="E10" s="31">
        <v>153</v>
      </c>
      <c r="F10" s="31">
        <v>210</v>
      </c>
      <c r="G10" s="31">
        <v>293</v>
      </c>
      <c r="H10" s="31">
        <v>144</v>
      </c>
      <c r="I10" s="31">
        <v>255</v>
      </c>
      <c r="J10" s="31">
        <v>227</v>
      </c>
      <c r="K10" s="31">
        <v>249</v>
      </c>
      <c r="L10" s="31">
        <v>-179</v>
      </c>
      <c r="M10" s="31">
        <v>185</v>
      </c>
      <c r="N10" s="31">
        <v>-19</v>
      </c>
    </row>
    <row r="11" spans="2:14" x14ac:dyDescent="0.3">
      <c r="B11" s="28" t="s">
        <v>130</v>
      </c>
      <c r="C11" s="32">
        <v>263</v>
      </c>
      <c r="D11" s="32">
        <v>326</v>
      </c>
      <c r="E11" s="32">
        <v>182</v>
      </c>
      <c r="F11" s="32">
        <v>332</v>
      </c>
      <c r="G11" s="32">
        <v>204</v>
      </c>
      <c r="H11" s="32">
        <v>375</v>
      </c>
      <c r="I11" s="32">
        <v>413</v>
      </c>
      <c r="J11" s="32">
        <v>163</v>
      </c>
      <c r="K11" s="32">
        <v>97</v>
      </c>
      <c r="L11" s="32">
        <v>-172</v>
      </c>
      <c r="M11" s="32">
        <v>-30</v>
      </c>
      <c r="N11" s="32">
        <v>63</v>
      </c>
    </row>
    <row r="12" spans="2:14" x14ac:dyDescent="0.3">
      <c r="B12" s="30" t="s">
        <v>131</v>
      </c>
      <c r="C12" s="31">
        <v>-415</v>
      </c>
      <c r="D12" s="31">
        <v>-486</v>
      </c>
      <c r="E12" s="31">
        <v>-589</v>
      </c>
      <c r="F12" s="31">
        <v>-342</v>
      </c>
      <c r="G12" s="31">
        <v>-503</v>
      </c>
      <c r="H12" s="31">
        <v>-604</v>
      </c>
      <c r="I12" s="31">
        <v>-881</v>
      </c>
      <c r="J12" s="31">
        <v>-673</v>
      </c>
      <c r="K12" s="31">
        <v>-703</v>
      </c>
      <c r="L12" s="31">
        <v>-729</v>
      </c>
      <c r="M12" s="31">
        <v>-841</v>
      </c>
      <c r="N12" s="33">
        <v>-1059</v>
      </c>
    </row>
    <row r="13" spans="2:14" x14ac:dyDescent="0.3">
      <c r="B13" s="28" t="s">
        <v>132</v>
      </c>
      <c r="C13" s="32">
        <v>-941</v>
      </c>
      <c r="D13" s="32">
        <v>-441</v>
      </c>
      <c r="E13" s="32">
        <v>-432</v>
      </c>
      <c r="F13" s="32">
        <v>-70</v>
      </c>
      <c r="G13" s="32">
        <v>-126</v>
      </c>
      <c r="H13" s="32">
        <v>-131</v>
      </c>
      <c r="I13" s="32">
        <v>-52</v>
      </c>
      <c r="J13" s="32">
        <v>83</v>
      </c>
      <c r="K13" s="32">
        <v>-321</v>
      </c>
      <c r="L13" s="29">
        <v>-1920</v>
      </c>
      <c r="M13" s="32">
        <v>-392</v>
      </c>
      <c r="N13" s="32">
        <v>-927</v>
      </c>
    </row>
    <row r="14" spans="2:14" x14ac:dyDescent="0.3">
      <c r="B14" s="30" t="s">
        <v>133</v>
      </c>
      <c r="C14" s="31">
        <v>-977</v>
      </c>
      <c r="D14" s="31">
        <v>-345</v>
      </c>
      <c r="E14" s="31">
        <v>-415</v>
      </c>
      <c r="F14" s="31">
        <v>-151</v>
      </c>
      <c r="G14" s="31">
        <v>-207</v>
      </c>
      <c r="H14" s="31">
        <v>-199</v>
      </c>
      <c r="I14" s="31">
        <v>-166</v>
      </c>
      <c r="J14" s="31">
        <v>-155</v>
      </c>
      <c r="K14" s="31">
        <v>-478</v>
      </c>
      <c r="L14" s="31">
        <v>-735</v>
      </c>
      <c r="M14" s="31">
        <v>-550</v>
      </c>
      <c r="N14" s="33">
        <v>-1371</v>
      </c>
    </row>
    <row r="15" spans="2:14" x14ac:dyDescent="0.3">
      <c r="B15" s="30" t="s">
        <v>134</v>
      </c>
      <c r="C15" s="31">
        <v>2</v>
      </c>
      <c r="D15" s="31">
        <v>17</v>
      </c>
      <c r="E15" s="31">
        <v>10</v>
      </c>
      <c r="F15" s="31">
        <v>1</v>
      </c>
      <c r="G15" s="31">
        <v>94</v>
      </c>
      <c r="H15" s="31">
        <v>3</v>
      </c>
      <c r="I15" s="31">
        <v>3</v>
      </c>
      <c r="J15" s="31">
        <v>2</v>
      </c>
      <c r="K15" s="31">
        <v>4</v>
      </c>
      <c r="L15" s="31">
        <v>4</v>
      </c>
      <c r="M15" s="31">
        <v>9</v>
      </c>
      <c r="N15" s="31">
        <v>7</v>
      </c>
    </row>
    <row r="16" spans="2:14" x14ac:dyDescent="0.3">
      <c r="B16" s="30" t="s">
        <v>135</v>
      </c>
      <c r="C16" s="31">
        <v>0</v>
      </c>
      <c r="D16" s="31">
        <v>-145</v>
      </c>
      <c r="E16" s="31">
        <v>-80</v>
      </c>
      <c r="F16" s="31">
        <v>-37</v>
      </c>
      <c r="G16" s="31">
        <v>-153</v>
      </c>
      <c r="H16" s="31">
        <v>-112</v>
      </c>
      <c r="I16" s="31">
        <v>-160</v>
      </c>
      <c r="J16" s="31">
        <v>-16</v>
      </c>
      <c r="K16" s="31">
        <v>0</v>
      </c>
      <c r="L16" s="31">
        <v>0</v>
      </c>
      <c r="M16" s="31">
        <v>0</v>
      </c>
      <c r="N16" s="31">
        <v>0</v>
      </c>
    </row>
    <row r="17" spans="2:14" x14ac:dyDescent="0.3">
      <c r="B17" s="30" t="s">
        <v>136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25</v>
      </c>
      <c r="N17" s="31">
        <v>312</v>
      </c>
    </row>
    <row r="18" spans="2:14" x14ac:dyDescent="0.3">
      <c r="B18" s="30" t="s">
        <v>137</v>
      </c>
      <c r="C18" s="31">
        <v>21</v>
      </c>
      <c r="D18" s="31">
        <v>69</v>
      </c>
      <c r="E18" s="31">
        <v>66</v>
      </c>
      <c r="F18" s="31">
        <v>99</v>
      </c>
      <c r="G18" s="31">
        <v>126</v>
      </c>
      <c r="H18" s="31">
        <v>154</v>
      </c>
      <c r="I18" s="31">
        <v>237</v>
      </c>
      <c r="J18" s="31">
        <v>238</v>
      </c>
      <c r="K18" s="31">
        <v>148</v>
      </c>
      <c r="L18" s="31">
        <v>125</v>
      </c>
      <c r="M18" s="31">
        <v>103</v>
      </c>
      <c r="N18" s="31">
        <v>0</v>
      </c>
    </row>
    <row r="19" spans="2:14" x14ac:dyDescent="0.3">
      <c r="B19" s="30" t="s">
        <v>138</v>
      </c>
      <c r="C19" s="31">
        <v>10</v>
      </c>
      <c r="D19" s="31">
        <v>11</v>
      </c>
      <c r="E19" s="31">
        <v>10</v>
      </c>
      <c r="F19" s="31">
        <v>12</v>
      </c>
      <c r="G19" s="31">
        <v>13</v>
      </c>
      <c r="H19" s="31">
        <v>16</v>
      </c>
      <c r="I19" s="31">
        <v>19</v>
      </c>
      <c r="J19" s="31">
        <v>13</v>
      </c>
      <c r="K19" s="31">
        <v>2</v>
      </c>
      <c r="L19" s="31">
        <v>0</v>
      </c>
      <c r="M19" s="31">
        <v>0</v>
      </c>
      <c r="N19" s="31">
        <v>0</v>
      </c>
    </row>
    <row r="20" spans="2:14" x14ac:dyDescent="0.3">
      <c r="B20" s="30" t="s">
        <v>139</v>
      </c>
      <c r="C20" s="31">
        <v>3</v>
      </c>
      <c r="D20" s="31">
        <v>-47</v>
      </c>
      <c r="E20" s="31">
        <v>-23</v>
      </c>
      <c r="F20" s="31">
        <v>6</v>
      </c>
      <c r="G20" s="31">
        <v>1</v>
      </c>
      <c r="H20" s="31">
        <v>7</v>
      </c>
      <c r="I20" s="31">
        <v>15</v>
      </c>
      <c r="J20" s="31">
        <v>0</v>
      </c>
      <c r="K20" s="31">
        <v>3</v>
      </c>
      <c r="L20" s="33">
        <v>-1314</v>
      </c>
      <c r="M20" s="31">
        <v>20</v>
      </c>
      <c r="N20" s="31">
        <v>126</v>
      </c>
    </row>
    <row r="21" spans="2:14" x14ac:dyDescent="0.3">
      <c r="B21" s="28" t="s">
        <v>140</v>
      </c>
      <c r="C21" s="32">
        <v>-513</v>
      </c>
      <c r="D21" s="32">
        <v>-580</v>
      </c>
      <c r="E21" s="29">
        <v>-1635</v>
      </c>
      <c r="F21" s="32">
        <v>-498</v>
      </c>
      <c r="G21" s="32">
        <v>-666</v>
      </c>
      <c r="H21" s="32">
        <v>-997</v>
      </c>
      <c r="I21" s="29">
        <v>-1317</v>
      </c>
      <c r="J21" s="29">
        <v>-3602</v>
      </c>
      <c r="K21" s="29">
        <v>-1956</v>
      </c>
      <c r="L21" s="29">
        <v>-2020</v>
      </c>
      <c r="M21" s="29">
        <v>-2123</v>
      </c>
      <c r="N21" s="29">
        <v>-2436</v>
      </c>
    </row>
    <row r="22" spans="2:14" x14ac:dyDescent="0.3">
      <c r="B22" s="30" t="s">
        <v>141</v>
      </c>
      <c r="C22" s="31">
        <v>34</v>
      </c>
      <c r="D22" s="31">
        <v>0</v>
      </c>
      <c r="E22" s="31">
        <v>4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24</v>
      </c>
      <c r="M22" s="31">
        <v>0</v>
      </c>
      <c r="N22" s="31">
        <v>0</v>
      </c>
    </row>
    <row r="23" spans="2:14" x14ac:dyDescent="0.3">
      <c r="B23" s="30" t="s">
        <v>142</v>
      </c>
      <c r="C23" s="31">
        <v>0</v>
      </c>
      <c r="D23" s="31">
        <v>0</v>
      </c>
      <c r="E23" s="31">
        <v>0</v>
      </c>
      <c r="F23" s="31">
        <v>-3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-24</v>
      </c>
      <c r="M23" s="31">
        <v>0</v>
      </c>
      <c r="N23" s="31">
        <v>0</v>
      </c>
    </row>
    <row r="24" spans="2:14" x14ac:dyDescent="0.3">
      <c r="B24" s="30" t="s">
        <v>143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</row>
    <row r="25" spans="2:14" x14ac:dyDescent="0.3">
      <c r="B25" s="30" t="s">
        <v>144</v>
      </c>
      <c r="C25" s="31">
        <v>-30</v>
      </c>
      <c r="D25" s="31">
        <v>-36</v>
      </c>
      <c r="E25" s="31">
        <v>-15</v>
      </c>
      <c r="F25" s="31">
        <v>-3</v>
      </c>
      <c r="G25" s="31">
        <v>-4</v>
      </c>
      <c r="H25" s="31">
        <v>-1</v>
      </c>
      <c r="I25" s="31">
        <v>-4</v>
      </c>
      <c r="J25" s="31">
        <v>-63</v>
      </c>
      <c r="K25" s="31">
        <v>-69</v>
      </c>
      <c r="L25" s="31">
        <v>-9</v>
      </c>
      <c r="M25" s="31">
        <v>-18</v>
      </c>
      <c r="N25" s="31">
        <v>-20</v>
      </c>
    </row>
    <row r="26" spans="2:14" x14ac:dyDescent="0.3">
      <c r="B26" s="30" t="s">
        <v>145</v>
      </c>
      <c r="C26" s="31">
        <v>-467</v>
      </c>
      <c r="D26" s="31">
        <v>-468</v>
      </c>
      <c r="E26" s="31">
        <v>-607</v>
      </c>
      <c r="F26" s="31">
        <v>-410</v>
      </c>
      <c r="G26" s="31">
        <v>-564</v>
      </c>
      <c r="H26" s="31">
        <v>-829</v>
      </c>
      <c r="I26" s="33">
        <v>-1090</v>
      </c>
      <c r="J26" s="33">
        <v>-2950</v>
      </c>
      <c r="K26" s="33">
        <v>-1890</v>
      </c>
      <c r="L26" s="33">
        <v>-1928</v>
      </c>
      <c r="M26" s="33">
        <v>-2025</v>
      </c>
      <c r="N26" s="33">
        <v>-2333</v>
      </c>
    </row>
    <row r="27" spans="2:14" x14ac:dyDescent="0.3">
      <c r="B27" s="30" t="s">
        <v>146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-79</v>
      </c>
      <c r="M27" s="31">
        <v>-73</v>
      </c>
      <c r="N27" s="31">
        <v>-166</v>
      </c>
    </row>
    <row r="28" spans="2:14" x14ac:dyDescent="0.3">
      <c r="B28" s="30" t="s">
        <v>147</v>
      </c>
      <c r="C28" s="31">
        <v>-51</v>
      </c>
      <c r="D28" s="31">
        <v>-76</v>
      </c>
      <c r="E28" s="33">
        <v>-1017</v>
      </c>
      <c r="F28" s="31">
        <v>-82</v>
      </c>
      <c r="G28" s="31">
        <v>-98</v>
      </c>
      <c r="H28" s="31">
        <v>-167</v>
      </c>
      <c r="I28" s="31">
        <v>-224</v>
      </c>
      <c r="J28" s="31">
        <v>-588</v>
      </c>
      <c r="K28" s="31">
        <v>3</v>
      </c>
      <c r="L28" s="31">
        <v>-3</v>
      </c>
      <c r="M28" s="31">
        <v>-7</v>
      </c>
      <c r="N28" s="31">
        <v>83</v>
      </c>
    </row>
    <row r="29" spans="2:14" x14ac:dyDescent="0.3">
      <c r="B29" s="28" t="s">
        <v>52</v>
      </c>
      <c r="C29" s="32">
        <v>239</v>
      </c>
      <c r="D29" s="32">
        <v>775</v>
      </c>
      <c r="E29" s="32">
        <v>-423</v>
      </c>
      <c r="F29" s="32">
        <v>529</v>
      </c>
      <c r="G29" s="32">
        <v>674</v>
      </c>
      <c r="H29" s="32">
        <v>691</v>
      </c>
      <c r="I29" s="32">
        <v>683</v>
      </c>
      <c r="J29" s="29">
        <v>-1223</v>
      </c>
      <c r="K29" s="32">
        <v>177</v>
      </c>
      <c r="L29" s="29">
        <v>-1704</v>
      </c>
      <c r="M29" s="32">
        <v>223</v>
      </c>
      <c r="N29" s="32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5E12-E142-48AD-908C-A9ADB1403414}">
  <sheetPr>
    <tabColor theme="4" tint="0.39997558519241921"/>
  </sheetPr>
  <dimension ref="A2:M107"/>
  <sheetViews>
    <sheetView showGridLines="0" zoomScale="90" zoomScaleNormal="90" workbookViewId="0">
      <pane ySplit="3" topLeftCell="A70" activePane="bottomLeft" state="frozen"/>
      <selection pane="bottomLeft" activeCell="C7" sqref="C7"/>
    </sheetView>
  </sheetViews>
  <sheetFormatPr defaultRowHeight="14.4" x14ac:dyDescent="0.3"/>
  <cols>
    <col min="1" max="1" width="1.77734375" customWidth="1"/>
    <col min="2" max="2" width="37.5546875" style="55" customWidth="1"/>
    <col min="3" max="13" width="13" style="46" customWidth="1"/>
  </cols>
  <sheetData>
    <row r="2" spans="1:13" x14ac:dyDescent="0.3">
      <c r="B2" s="101" t="str">
        <f>"Historical Financial Statement - "&amp;'Data Sheet'!B1</f>
        <v>Historical Financial Statement - NESTLE INDIA LTD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3" x14ac:dyDescent="0.3">
      <c r="B3" s="52" t="s">
        <v>56</v>
      </c>
      <c r="C3" s="27">
        <f>'Data Sheet'!B16</f>
        <v>42004</v>
      </c>
      <c r="D3" s="27">
        <f>'Data Sheet'!C16</f>
        <v>42369</v>
      </c>
      <c r="E3" s="27">
        <f>'Data Sheet'!D16</f>
        <v>42735</v>
      </c>
      <c r="F3" s="27">
        <f>'Data Sheet'!E16</f>
        <v>43100</v>
      </c>
      <c r="G3" s="27">
        <f>'Data Sheet'!F16</f>
        <v>43465</v>
      </c>
      <c r="H3" s="27">
        <f>'Data Sheet'!G16</f>
        <v>43830</v>
      </c>
      <c r="I3" s="27">
        <f>'Data Sheet'!H16</f>
        <v>44196</v>
      </c>
      <c r="J3" s="27">
        <f>'Data Sheet'!I16</f>
        <v>44561</v>
      </c>
      <c r="K3" s="27">
        <f>'Data Sheet'!J16</f>
        <v>44926</v>
      </c>
      <c r="L3" s="27">
        <f>'Data Sheet'!K16</f>
        <v>45291</v>
      </c>
      <c r="M3" s="27" t="s">
        <v>57</v>
      </c>
    </row>
    <row r="4" spans="1:13" x14ac:dyDescent="0.3">
      <c r="B4" s="53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x14ac:dyDescent="0.3">
      <c r="A5" t="s">
        <v>59</v>
      </c>
      <c r="B5" s="54" t="s">
        <v>58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x14ac:dyDescent="0.3">
      <c r="B6" s="55" t="s">
        <v>12</v>
      </c>
      <c r="C6" s="42">
        <f>IFERROR('Data Sheet'!B17,0)</f>
        <v>9854.84</v>
      </c>
      <c r="D6" s="42">
        <f>IFERROR('Data Sheet'!C17,0)</f>
        <v>8175.31</v>
      </c>
      <c r="E6" s="42">
        <f>IFERROR('Data Sheet'!D17,0)</f>
        <v>9141.34</v>
      </c>
      <c r="F6" s="42">
        <f>IFERROR('Data Sheet'!E17,0)</f>
        <v>10009.6</v>
      </c>
      <c r="G6" s="42">
        <f>IFERROR('Data Sheet'!F17,0)</f>
        <v>11292.27</v>
      </c>
      <c r="H6" s="42">
        <f>IFERROR('Data Sheet'!G17,0)</f>
        <v>12368.9</v>
      </c>
      <c r="I6" s="42">
        <f>IFERROR('Data Sheet'!H17,0)</f>
        <v>13350.03</v>
      </c>
      <c r="J6" s="42">
        <f>IFERROR('Data Sheet'!I17,0)</f>
        <v>14740.59</v>
      </c>
      <c r="K6" s="42">
        <f>IFERROR('Data Sheet'!J17,0)</f>
        <v>16896.96</v>
      </c>
      <c r="L6" s="42">
        <f>IFERROR('Data Sheet'!K17,0)</f>
        <v>19126.3</v>
      </c>
      <c r="M6" s="42">
        <f>IFERROR(SUM('Data Sheet'!H42:K42),0)</f>
        <v>19126.3</v>
      </c>
    </row>
    <row r="7" spans="1:13" x14ac:dyDescent="0.3">
      <c r="B7" s="56" t="s">
        <v>60</v>
      </c>
      <c r="C7" s="43" t="s">
        <v>61</v>
      </c>
      <c r="D7" s="43">
        <f>IFERROR(D6/C6-1,0)</f>
        <v>-0.17042691712904523</v>
      </c>
      <c r="E7" s="43">
        <f t="shared" ref="E7:M7" si="0">IFERROR(E6/D6-1,0)</f>
        <v>0.11816432649037156</v>
      </c>
      <c r="F7" s="43">
        <f t="shared" si="0"/>
        <v>9.4981698525599123E-2</v>
      </c>
      <c r="G7" s="43">
        <f t="shared" si="0"/>
        <v>0.12814398177749364</v>
      </c>
      <c r="H7" s="43">
        <f t="shared" si="0"/>
        <v>9.5342211973323376E-2</v>
      </c>
      <c r="I7" s="43">
        <f t="shared" si="0"/>
        <v>7.932233262456645E-2</v>
      </c>
      <c r="J7" s="43">
        <f t="shared" si="0"/>
        <v>0.10416156368187934</v>
      </c>
      <c r="K7" s="43">
        <f t="shared" si="0"/>
        <v>0.14628790299438488</v>
      </c>
      <c r="L7" s="43">
        <f t="shared" si="0"/>
        <v>0.13193734257523237</v>
      </c>
      <c r="M7" s="43">
        <f t="shared" si="0"/>
        <v>0</v>
      </c>
    </row>
    <row r="9" spans="1:13" x14ac:dyDescent="0.3">
      <c r="B9" s="55" t="s">
        <v>62</v>
      </c>
      <c r="C9" s="42">
        <f>IFERROR(SUM('Data Sheet'!B18,'Data Sheet'!B20:B22)-1*'Data Sheet'!B19,0)</f>
        <v>5942.45</v>
      </c>
      <c r="D9" s="42">
        <f>IFERROR(SUM('Data Sheet'!C18,'Data Sheet'!C20:C22)-1*'Data Sheet'!C19,0)</f>
        <v>4774.26</v>
      </c>
      <c r="E9" s="42">
        <f>IFERROR(SUM('Data Sheet'!D18,'Data Sheet'!D20:D22)-1*'Data Sheet'!D19,0)</f>
        <v>5204.8100000000004</v>
      </c>
      <c r="F9" s="42">
        <f>IFERROR(SUM('Data Sheet'!E18,'Data Sheet'!E20:E22)-1*'Data Sheet'!E19,0)</f>
        <v>5821.1599999999989</v>
      </c>
      <c r="G9" s="42">
        <f>IFERROR(SUM('Data Sheet'!F18,'Data Sheet'!F20:F22)-1*'Data Sheet'!F19,0)</f>
        <v>6241.4</v>
      </c>
      <c r="H9" s="42">
        <f>IFERROR(SUM('Data Sheet'!G18,'Data Sheet'!G20:G22)-1*'Data Sheet'!G19,0)</f>
        <v>7003.97</v>
      </c>
      <c r="I9" s="42">
        <f>IFERROR(SUM('Data Sheet'!H18,'Data Sheet'!H20:H22)-1*'Data Sheet'!H19,0)</f>
        <v>7687.4</v>
      </c>
      <c r="J9" s="42">
        <f>IFERROR(SUM('Data Sheet'!I18,'Data Sheet'!I20:I22)-1*'Data Sheet'!I19,0)</f>
        <v>8521.1500000000015</v>
      </c>
      <c r="K9" s="42">
        <f>IFERROR(SUM('Data Sheet'!J18,'Data Sheet'!J20:J22)-1*'Data Sheet'!J19,0)</f>
        <v>10221.700000000001</v>
      </c>
      <c r="L9" s="42">
        <f>IFERROR(SUM('Data Sheet'!K18,'Data Sheet'!K20:K22)-1*'Data Sheet'!K19,0)</f>
        <v>10281.89</v>
      </c>
      <c r="M9" s="42">
        <f>IFERROR(SUM('Data Sheet'!H43:K43),0)</f>
        <v>14655.310000000001</v>
      </c>
    </row>
    <row r="10" spans="1:13" x14ac:dyDescent="0.3">
      <c r="B10" s="56" t="s">
        <v>63</v>
      </c>
      <c r="C10" s="43">
        <f>IFERROR(C9/C6,0)</f>
        <v>0.60299812072037695</v>
      </c>
      <c r="D10" s="43">
        <f t="shared" ref="D10:M10" si="1">IFERROR(D9/D6,0)</f>
        <v>0.5839851944452259</v>
      </c>
      <c r="E10" s="43">
        <f t="shared" si="1"/>
        <v>0.56937057367957</v>
      </c>
      <c r="F10" s="43">
        <f t="shared" si="1"/>
        <v>0.58155770460358047</v>
      </c>
      <c r="G10" s="43">
        <f t="shared" si="1"/>
        <v>0.55271437895126485</v>
      </c>
      <c r="H10" s="43">
        <f t="shared" si="1"/>
        <v>0.5662564981526248</v>
      </c>
      <c r="I10" s="43">
        <f t="shared" si="1"/>
        <v>0.57583391198371836</v>
      </c>
      <c r="J10" s="43">
        <f t="shared" si="1"/>
        <v>0.5780738762831068</v>
      </c>
      <c r="K10" s="43">
        <f t="shared" si="1"/>
        <v>0.60494313770050956</v>
      </c>
      <c r="L10" s="43">
        <f t="shared" si="1"/>
        <v>0.53757862210673257</v>
      </c>
      <c r="M10" s="43">
        <f t="shared" si="1"/>
        <v>0.76623863475946741</v>
      </c>
    </row>
    <row r="12" spans="1:13" x14ac:dyDescent="0.3">
      <c r="B12" s="57" t="s">
        <v>64</v>
      </c>
      <c r="C12" s="44">
        <f>IFERROR(C6-C9,0)</f>
        <v>3912.3900000000003</v>
      </c>
      <c r="D12" s="44">
        <f t="shared" ref="D12:M12" si="2">IFERROR(D6-D9,0)</f>
        <v>3401.05</v>
      </c>
      <c r="E12" s="44">
        <f t="shared" si="2"/>
        <v>3936.5299999999997</v>
      </c>
      <c r="F12" s="44">
        <f t="shared" si="2"/>
        <v>4188.4400000000014</v>
      </c>
      <c r="G12" s="44">
        <f t="shared" si="2"/>
        <v>5050.8700000000008</v>
      </c>
      <c r="H12" s="44">
        <f t="shared" si="2"/>
        <v>5364.9299999999994</v>
      </c>
      <c r="I12" s="44">
        <f t="shared" si="2"/>
        <v>5662.630000000001</v>
      </c>
      <c r="J12" s="44">
        <f t="shared" si="2"/>
        <v>6219.4399999999987</v>
      </c>
      <c r="K12" s="44">
        <f t="shared" si="2"/>
        <v>6675.2599999999984</v>
      </c>
      <c r="L12" s="44">
        <f t="shared" si="2"/>
        <v>8844.41</v>
      </c>
      <c r="M12" s="44">
        <f t="shared" si="2"/>
        <v>4470.989999999998</v>
      </c>
    </row>
    <row r="13" spans="1:13" x14ac:dyDescent="0.3">
      <c r="B13" s="56" t="s">
        <v>70</v>
      </c>
      <c r="C13" s="43">
        <f>IFERROR(C12/C6,0)</f>
        <v>0.39700187927962305</v>
      </c>
      <c r="D13" s="43">
        <f t="shared" ref="D13:M13" si="3">IFERROR(D12/D6,0)</f>
        <v>0.41601480555477405</v>
      </c>
      <c r="E13" s="43">
        <f t="shared" si="3"/>
        <v>0.43062942632043</v>
      </c>
      <c r="F13" s="43">
        <f t="shared" si="3"/>
        <v>0.41844229539641958</v>
      </c>
      <c r="G13" s="43">
        <f t="shared" si="3"/>
        <v>0.44728562104873515</v>
      </c>
      <c r="H13" s="43">
        <f t="shared" si="3"/>
        <v>0.43374350184737526</v>
      </c>
      <c r="I13" s="43">
        <f t="shared" si="3"/>
        <v>0.42416608801628164</v>
      </c>
      <c r="J13" s="43">
        <f t="shared" si="3"/>
        <v>0.4219261237168932</v>
      </c>
      <c r="K13" s="43">
        <f t="shared" si="3"/>
        <v>0.3950568622994905</v>
      </c>
      <c r="L13" s="43">
        <f t="shared" si="3"/>
        <v>0.46242137789326737</v>
      </c>
      <c r="M13" s="43">
        <f t="shared" si="3"/>
        <v>0.23376136524053256</v>
      </c>
    </row>
    <row r="15" spans="1:13" x14ac:dyDescent="0.3">
      <c r="B15" s="55" t="s">
        <v>65</v>
      </c>
      <c r="C15" s="45">
        <f>IFERROR(SUM('Data Sheet'!B23:B24),0)</f>
        <v>1873.14</v>
      </c>
      <c r="D15" s="45">
        <f>IFERROR(SUM('Data Sheet'!C23:C24),0)</f>
        <v>1846.1200000000001</v>
      </c>
      <c r="E15" s="45">
        <f>IFERROR(SUM('Data Sheet'!D23:D24),0)</f>
        <v>2086.69</v>
      </c>
      <c r="F15" s="45">
        <f>IFERROR(SUM('Data Sheet'!E23:E24),0)</f>
        <v>2091.91</v>
      </c>
      <c r="G15" s="45">
        <f>IFERROR(SUM('Data Sheet'!F23:F24),0)</f>
        <v>2433.2200000000003</v>
      </c>
      <c r="H15" s="45">
        <f>IFERROR(SUM('Data Sheet'!G23:G24),0)</f>
        <v>2439.0500000000002</v>
      </c>
      <c r="I15" s="45">
        <f>IFERROR(SUM('Data Sheet'!H23:H24),0)</f>
        <v>2461.13</v>
      </c>
      <c r="J15" s="45">
        <f>IFERROR(SUM('Data Sheet'!I23:I24),0)</f>
        <v>2657.04</v>
      </c>
      <c r="K15" s="45">
        <f>IFERROR(SUM('Data Sheet'!J23:J24),0)</f>
        <v>2968.9700000000003</v>
      </c>
      <c r="L15" s="45">
        <f>IFERROR(SUM('Data Sheet'!K23:K24),0)</f>
        <v>4373.42</v>
      </c>
      <c r="M15" s="45"/>
    </row>
    <row r="16" spans="1:13" x14ac:dyDescent="0.3">
      <c r="B16" s="56" t="s">
        <v>66</v>
      </c>
      <c r="C16" s="43">
        <f>IFERROR(C15/C6,0)</f>
        <v>0.19007310113609152</v>
      </c>
      <c r="D16" s="43">
        <f t="shared" ref="D16:L16" si="4">IFERROR(D15/D6,0)</f>
        <v>0.22581651337992076</v>
      </c>
      <c r="E16" s="43">
        <f t="shared" si="4"/>
        <v>0.22826959723629139</v>
      </c>
      <c r="F16" s="43">
        <f t="shared" si="4"/>
        <v>0.20899036924552428</v>
      </c>
      <c r="G16" s="43">
        <f t="shared" si="4"/>
        <v>0.21547660479248196</v>
      </c>
      <c r="H16" s="43">
        <f t="shared" si="4"/>
        <v>0.19719215128265247</v>
      </c>
      <c r="I16" s="43">
        <f t="shared" si="4"/>
        <v>0.18435389283769399</v>
      </c>
      <c r="J16" s="43">
        <f t="shared" si="4"/>
        <v>0.18025330058023456</v>
      </c>
      <c r="K16" s="43">
        <f t="shared" si="4"/>
        <v>0.17571030528568454</v>
      </c>
      <c r="L16" s="43">
        <f t="shared" si="4"/>
        <v>0.22866001265273472</v>
      </c>
      <c r="M16" s="43"/>
    </row>
    <row r="18" spans="2:13" x14ac:dyDescent="0.3">
      <c r="B18" s="57" t="s">
        <v>28</v>
      </c>
      <c r="C18" s="44">
        <f>IFERROR(C12-C15,0)</f>
        <v>2039.2500000000002</v>
      </c>
      <c r="D18" s="44">
        <f t="shared" ref="D18:L18" si="5">IFERROR(D12-D15,0)</f>
        <v>1554.93</v>
      </c>
      <c r="E18" s="44">
        <f t="shared" si="5"/>
        <v>1849.8399999999997</v>
      </c>
      <c r="F18" s="44">
        <f t="shared" si="5"/>
        <v>2096.5300000000016</v>
      </c>
      <c r="G18" s="44">
        <f t="shared" si="5"/>
        <v>2617.6500000000005</v>
      </c>
      <c r="H18" s="44">
        <f t="shared" si="5"/>
        <v>2925.8799999999992</v>
      </c>
      <c r="I18" s="44">
        <f t="shared" si="5"/>
        <v>3201.5000000000009</v>
      </c>
      <c r="J18" s="44">
        <f t="shared" si="5"/>
        <v>3562.3999999999987</v>
      </c>
      <c r="K18" s="44">
        <f t="shared" si="5"/>
        <v>3706.2899999999981</v>
      </c>
      <c r="L18" s="44">
        <f t="shared" si="5"/>
        <v>4470.99</v>
      </c>
      <c r="M18" s="44">
        <f>IFERROR(SUM('Data Sheet'!H51:K51),0)</f>
        <v>4591.3200000000006</v>
      </c>
    </row>
    <row r="19" spans="2:13" x14ac:dyDescent="0.3">
      <c r="B19" s="56" t="s">
        <v>67</v>
      </c>
      <c r="C19" s="43">
        <f>IFERROR(C18/C6,0)</f>
        <v>0.20692877814353153</v>
      </c>
      <c r="D19" s="43">
        <f t="shared" ref="D19:M19" si="6">IFERROR(D18/D6,0)</f>
        <v>0.19019829217485332</v>
      </c>
      <c r="E19" s="43">
        <f t="shared" si="6"/>
        <v>0.2023598290841386</v>
      </c>
      <c r="F19" s="43">
        <f t="shared" si="6"/>
        <v>0.20945192615089528</v>
      </c>
      <c r="G19" s="43">
        <f t="shared" si="6"/>
        <v>0.23180901625625322</v>
      </c>
      <c r="H19" s="43">
        <f t="shared" si="6"/>
        <v>0.23655135056472276</v>
      </c>
      <c r="I19" s="43">
        <f t="shared" si="6"/>
        <v>0.23981219517858768</v>
      </c>
      <c r="J19" s="43">
        <f t="shared" si="6"/>
        <v>0.24167282313665861</v>
      </c>
      <c r="K19" s="43">
        <f t="shared" si="6"/>
        <v>0.21934655701380593</v>
      </c>
      <c r="L19" s="43">
        <f t="shared" si="6"/>
        <v>0.23376136524053268</v>
      </c>
      <c r="M19" s="43">
        <f t="shared" si="6"/>
        <v>0.24005270229997441</v>
      </c>
    </row>
    <row r="21" spans="2:13" x14ac:dyDescent="0.3">
      <c r="B21" s="55" t="s">
        <v>22</v>
      </c>
      <c r="C21" s="45">
        <f>IFERROR('Data Sheet'!B27,0)</f>
        <v>14.23</v>
      </c>
      <c r="D21" s="45">
        <f>IFERROR('Data Sheet'!C27,0)</f>
        <v>3.29</v>
      </c>
      <c r="E21" s="45">
        <f>IFERROR('Data Sheet'!D27,0)</f>
        <v>90.91</v>
      </c>
      <c r="F21" s="45">
        <f>IFERROR('Data Sheet'!E27,0)</f>
        <v>91.9</v>
      </c>
      <c r="G21" s="45">
        <f>IFERROR('Data Sheet'!F27,0)</f>
        <v>111.95</v>
      </c>
      <c r="H21" s="45">
        <f>IFERROR('Data Sheet'!G27,0)</f>
        <v>129.12</v>
      </c>
      <c r="I21" s="45">
        <f>IFERROR('Data Sheet'!H27,0)</f>
        <v>164.18</v>
      </c>
      <c r="J21" s="45">
        <f>IFERROR('Data Sheet'!I27,0)</f>
        <v>201.68</v>
      </c>
      <c r="K21" s="45">
        <f>IFERROR('Data Sheet'!J27,0)</f>
        <v>154.57</v>
      </c>
      <c r="L21" s="45">
        <f>IFERROR('Data Sheet'!K27,0)</f>
        <v>119.29</v>
      </c>
      <c r="M21" s="45">
        <f>IFERROR(SUM('Data Sheet'!H46:K46),0)</f>
        <v>124.11999999999999</v>
      </c>
    </row>
    <row r="22" spans="2:13" x14ac:dyDescent="0.3">
      <c r="B22" s="56" t="s">
        <v>68</v>
      </c>
      <c r="C22" s="43">
        <f>IFERROR(C21/C6,0)</f>
        <v>1.4439605310689976E-3</v>
      </c>
      <c r="D22" s="43">
        <f t="shared" ref="D22:M22" si="7">IFERROR(D21/D6,0)</f>
        <v>4.0243122279155162E-4</v>
      </c>
      <c r="E22" s="43">
        <f t="shared" si="7"/>
        <v>9.9449314870686343E-3</v>
      </c>
      <c r="F22" s="43">
        <f t="shared" si="7"/>
        <v>9.1811860613810747E-3</v>
      </c>
      <c r="G22" s="43">
        <f t="shared" si="7"/>
        <v>9.9138614291015004E-3</v>
      </c>
      <c r="H22" s="43">
        <f t="shared" si="7"/>
        <v>1.0439085124788786E-2</v>
      </c>
      <c r="I22" s="43">
        <f t="shared" si="7"/>
        <v>1.2298099704644858E-2</v>
      </c>
      <c r="J22" s="43">
        <f t="shared" si="7"/>
        <v>1.3681948958623773E-2</v>
      </c>
      <c r="K22" s="43">
        <f t="shared" si="7"/>
        <v>9.1477993674601819E-3</v>
      </c>
      <c r="L22" s="43">
        <f t="shared" si="7"/>
        <v>6.2369616705792554E-3</v>
      </c>
      <c r="M22" s="43">
        <f t="shared" si="7"/>
        <v>6.4894935246231624E-3</v>
      </c>
    </row>
    <row r="24" spans="2:13" x14ac:dyDescent="0.3">
      <c r="B24" s="55" t="s">
        <v>21</v>
      </c>
      <c r="C24" s="45">
        <f>IFERROR('Data Sheet'!B26,0)</f>
        <v>337.54</v>
      </c>
      <c r="D24" s="45">
        <f>IFERROR('Data Sheet'!C26,0)</f>
        <v>347.26</v>
      </c>
      <c r="E24" s="45">
        <f>IFERROR('Data Sheet'!D26,0)</f>
        <v>353.67</v>
      </c>
      <c r="F24" s="45">
        <f>IFERROR('Data Sheet'!E26,0)</f>
        <v>342.25</v>
      </c>
      <c r="G24" s="45">
        <f>IFERROR('Data Sheet'!F26,0)</f>
        <v>335.67</v>
      </c>
      <c r="H24" s="45">
        <f>IFERROR('Data Sheet'!G26,0)</f>
        <v>370.15</v>
      </c>
      <c r="I24" s="45">
        <f>IFERROR('Data Sheet'!H26,0)</f>
        <v>370.38</v>
      </c>
      <c r="J24" s="45">
        <f>IFERROR('Data Sheet'!I26,0)</f>
        <v>391.02</v>
      </c>
      <c r="K24" s="45">
        <f>IFERROR('Data Sheet'!J26,0)</f>
        <v>403.01</v>
      </c>
      <c r="L24" s="45">
        <f>IFERROR('Data Sheet'!K26,0)</f>
        <v>428.91</v>
      </c>
      <c r="M24" s="45">
        <f>IFERROR(SUM('Data Sheet'!H45:K45),0)</f>
        <v>428.91</v>
      </c>
    </row>
    <row r="25" spans="2:13" x14ac:dyDescent="0.3">
      <c r="B25" s="56" t="s">
        <v>69</v>
      </c>
      <c r="C25" s="43">
        <f>IFERROR(C24/C6,0)</f>
        <v>3.4251190278076563E-2</v>
      </c>
      <c r="D25" s="43">
        <f t="shared" ref="D25:M25" si="8">IFERROR(D24/D6,0)</f>
        <v>4.2476676725408571E-2</v>
      </c>
      <c r="E25" s="43">
        <f t="shared" si="8"/>
        <v>3.8689076218585021E-2</v>
      </c>
      <c r="F25" s="43">
        <f t="shared" si="8"/>
        <v>3.4192175511508952E-2</v>
      </c>
      <c r="G25" s="43">
        <f t="shared" si="8"/>
        <v>2.9725644179602505E-2</v>
      </c>
      <c r="H25" s="43">
        <f t="shared" si="8"/>
        <v>2.9925862445326586E-2</v>
      </c>
      <c r="I25" s="43">
        <f t="shared" si="8"/>
        <v>2.7743757879195776E-2</v>
      </c>
      <c r="J25" s="43">
        <f t="shared" si="8"/>
        <v>2.6526753678109218E-2</v>
      </c>
      <c r="K25" s="43">
        <f t="shared" si="8"/>
        <v>2.3851035925989056E-2</v>
      </c>
      <c r="L25" s="43">
        <f t="shared" si="8"/>
        <v>2.2425142343265557E-2</v>
      </c>
      <c r="M25" s="43">
        <f t="shared" si="8"/>
        <v>2.2425142343265557E-2</v>
      </c>
    </row>
    <row r="26" spans="2:13" x14ac:dyDescent="0.3">
      <c r="B26" s="56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7" spans="2:13" x14ac:dyDescent="0.3">
      <c r="B27" s="57" t="s">
        <v>148</v>
      </c>
      <c r="C27" s="44">
        <f>IFERROR(C18-C24,0)</f>
        <v>1701.7100000000003</v>
      </c>
      <c r="D27" s="44">
        <f t="shared" ref="D27:M27" si="9">IFERROR(D18-D24,0)</f>
        <v>1207.67</v>
      </c>
      <c r="E27" s="44">
        <f t="shared" si="9"/>
        <v>1496.1699999999996</v>
      </c>
      <c r="F27" s="44">
        <f t="shared" si="9"/>
        <v>1754.2800000000016</v>
      </c>
      <c r="G27" s="44">
        <f t="shared" si="9"/>
        <v>2281.9800000000005</v>
      </c>
      <c r="H27" s="44">
        <f t="shared" si="9"/>
        <v>2555.7299999999991</v>
      </c>
      <c r="I27" s="44">
        <f t="shared" si="9"/>
        <v>2831.1200000000008</v>
      </c>
      <c r="J27" s="44">
        <f t="shared" si="9"/>
        <v>3171.3799999999987</v>
      </c>
      <c r="K27" s="44">
        <f t="shared" si="9"/>
        <v>3303.2799999999979</v>
      </c>
      <c r="L27" s="44">
        <f t="shared" si="9"/>
        <v>4042.08</v>
      </c>
      <c r="M27" s="44">
        <f t="shared" si="9"/>
        <v>4162.4100000000008</v>
      </c>
    </row>
    <row r="28" spans="2:13" x14ac:dyDescent="0.3">
      <c r="B28" s="56" t="s">
        <v>149</v>
      </c>
      <c r="C28" s="43">
        <f>IFERROR(C27/C6,0)</f>
        <v>0.17267758786545498</v>
      </c>
      <c r="D28" s="43">
        <f t="shared" ref="D28:M28" si="10">IFERROR(D27/D6,0)</f>
        <v>0.14772161544944473</v>
      </c>
      <c r="E28" s="43">
        <f t="shared" si="10"/>
        <v>0.16367075286555358</v>
      </c>
      <c r="F28" s="43">
        <f t="shared" si="10"/>
        <v>0.17525975063938634</v>
      </c>
      <c r="G28" s="43">
        <f t="shared" si="10"/>
        <v>0.2020833720766507</v>
      </c>
      <c r="H28" s="43">
        <f t="shared" si="10"/>
        <v>0.20662548811939616</v>
      </c>
      <c r="I28" s="43">
        <f t="shared" si="10"/>
        <v>0.2120684372993919</v>
      </c>
      <c r="J28" s="43">
        <f t="shared" si="10"/>
        <v>0.21514606945854939</v>
      </c>
      <c r="K28" s="43">
        <f t="shared" si="10"/>
        <v>0.19549552108781687</v>
      </c>
      <c r="L28" s="43">
        <f t="shared" si="10"/>
        <v>0.21133622289726711</v>
      </c>
      <c r="M28" s="43">
        <f t="shared" si="10"/>
        <v>0.21762755995670888</v>
      </c>
    </row>
    <row r="30" spans="2:13" x14ac:dyDescent="0.3">
      <c r="B30" s="57" t="s">
        <v>71</v>
      </c>
      <c r="C30" s="44">
        <f>IFERROR(C27-C21,0)</f>
        <v>1687.4800000000002</v>
      </c>
      <c r="D30" s="44">
        <f t="shared" ref="D30:M30" si="11">IFERROR(D27-D21,0)</f>
        <v>1204.3800000000001</v>
      </c>
      <c r="E30" s="44">
        <f t="shared" si="11"/>
        <v>1405.2599999999995</v>
      </c>
      <c r="F30" s="44">
        <f t="shared" si="11"/>
        <v>1662.3800000000015</v>
      </c>
      <c r="G30" s="44">
        <f t="shared" si="11"/>
        <v>2170.0300000000007</v>
      </c>
      <c r="H30" s="44">
        <f t="shared" si="11"/>
        <v>2426.6099999999992</v>
      </c>
      <c r="I30" s="44">
        <f t="shared" si="11"/>
        <v>2666.940000000001</v>
      </c>
      <c r="J30" s="44">
        <f t="shared" si="11"/>
        <v>2969.6999999999989</v>
      </c>
      <c r="K30" s="44">
        <f t="shared" si="11"/>
        <v>3148.7099999999978</v>
      </c>
      <c r="L30" s="44">
        <f t="shared" si="11"/>
        <v>3922.79</v>
      </c>
      <c r="M30" s="44">
        <f t="shared" si="11"/>
        <v>4038.2900000000009</v>
      </c>
    </row>
    <row r="31" spans="2:13" x14ac:dyDescent="0.3">
      <c r="B31" s="56" t="s">
        <v>72</v>
      </c>
      <c r="C31" s="43">
        <f>IFERROR(C30/C6,0)</f>
        <v>0.17123362733438596</v>
      </c>
      <c r="D31" s="43">
        <f t="shared" ref="D31:M31" si="12">IFERROR(D30/D6,0)</f>
        <v>0.14731918422665319</v>
      </c>
      <c r="E31" s="43">
        <f t="shared" si="12"/>
        <v>0.15372582137848495</v>
      </c>
      <c r="F31" s="43">
        <f t="shared" si="12"/>
        <v>0.16607856457800527</v>
      </c>
      <c r="G31" s="43">
        <f t="shared" si="12"/>
        <v>0.19216951064754922</v>
      </c>
      <c r="H31" s="43">
        <f t="shared" si="12"/>
        <v>0.19618640299460738</v>
      </c>
      <c r="I31" s="43">
        <f t="shared" si="12"/>
        <v>0.19977033759474705</v>
      </c>
      <c r="J31" s="43">
        <f t="shared" si="12"/>
        <v>0.20146412049992565</v>
      </c>
      <c r="K31" s="43">
        <f t="shared" si="12"/>
        <v>0.18634772172035668</v>
      </c>
      <c r="L31" s="43">
        <f t="shared" si="12"/>
        <v>0.20509926122668787</v>
      </c>
      <c r="M31" s="43">
        <f t="shared" si="12"/>
        <v>0.21113806643208571</v>
      </c>
    </row>
    <row r="33" spans="2:13" x14ac:dyDescent="0.3">
      <c r="B33" s="55" t="s">
        <v>24</v>
      </c>
      <c r="C33" s="42">
        <f>IFERROR('Data Sheet'!B29,0)</f>
        <v>589.66</v>
      </c>
      <c r="D33" s="42">
        <f>IFERROR('Data Sheet'!C29,0)</f>
        <v>250.36</v>
      </c>
      <c r="E33" s="42">
        <f>IFERROR('Data Sheet'!D29,0)</f>
        <v>544.02</v>
      </c>
      <c r="F33" s="42">
        <f>IFERROR('Data Sheet'!E29,0)</f>
        <v>614.11</v>
      </c>
      <c r="G33" s="42">
        <f>IFERROR('Data Sheet'!F29,0)</f>
        <v>822.02</v>
      </c>
      <c r="H33" s="42">
        <f>IFERROR('Data Sheet'!G29,0)</f>
        <v>705.05</v>
      </c>
      <c r="I33" s="42">
        <f>IFERROR('Data Sheet'!H29,0)</f>
        <v>730.36</v>
      </c>
      <c r="J33" s="42">
        <f>IFERROR('Data Sheet'!I29,0)</f>
        <v>738.91</v>
      </c>
      <c r="K33" s="42">
        <f>IFERROR('Data Sheet'!J29,0)</f>
        <v>865.45</v>
      </c>
      <c r="L33" s="42">
        <f>IFERROR('Data Sheet'!K29,0)</f>
        <v>1039.6199999999999</v>
      </c>
      <c r="M33" s="42">
        <f>IFERROR(SUM('Data Sheet'!H48:K48),0)</f>
        <v>1039.6199999999999</v>
      </c>
    </row>
    <row r="34" spans="2:13" x14ac:dyDescent="0.3">
      <c r="B34" s="56" t="s">
        <v>27</v>
      </c>
      <c r="C34" s="43">
        <f>IFERROR(C33/C30,0)</f>
        <v>0.34943228956787631</v>
      </c>
      <c r="D34" s="43">
        <f t="shared" ref="D34:M34" si="13">IFERROR(D33/D30,0)</f>
        <v>0.20787459107590628</v>
      </c>
      <c r="E34" s="43">
        <f t="shared" si="13"/>
        <v>0.3871312070364204</v>
      </c>
      <c r="F34" s="43">
        <f t="shared" si="13"/>
        <v>0.36941613830772718</v>
      </c>
      <c r="G34" s="43">
        <f t="shared" si="13"/>
        <v>0.37880582296097276</v>
      </c>
      <c r="H34" s="43">
        <f t="shared" si="13"/>
        <v>0.29054936722423469</v>
      </c>
      <c r="I34" s="43">
        <f t="shared" si="13"/>
        <v>0.27385692966470926</v>
      </c>
      <c r="J34" s="43">
        <f t="shared" si="13"/>
        <v>0.24881637875879725</v>
      </c>
      <c r="K34" s="43">
        <f t="shared" si="13"/>
        <v>0.27485859288407022</v>
      </c>
      <c r="L34" s="43">
        <f t="shared" si="13"/>
        <v>0.26502055934679142</v>
      </c>
      <c r="M34" s="43">
        <f t="shared" si="13"/>
        <v>0.25744064938377376</v>
      </c>
    </row>
    <row r="36" spans="2:13" x14ac:dyDescent="0.3">
      <c r="B36" s="57" t="s">
        <v>73</v>
      </c>
      <c r="C36" s="47">
        <f>IFERROR(C30-C33,0)</f>
        <v>1097.8200000000002</v>
      </c>
      <c r="D36" s="47">
        <f t="shared" ref="D36:M36" si="14">IFERROR(D30-D33,0)</f>
        <v>954.0200000000001</v>
      </c>
      <c r="E36" s="47">
        <f t="shared" si="14"/>
        <v>861.23999999999955</v>
      </c>
      <c r="F36" s="47">
        <f t="shared" si="14"/>
        <v>1048.2700000000013</v>
      </c>
      <c r="G36" s="47">
        <f t="shared" si="14"/>
        <v>1348.0100000000007</v>
      </c>
      <c r="H36" s="47">
        <f t="shared" si="14"/>
        <v>1721.5599999999993</v>
      </c>
      <c r="I36" s="47">
        <f t="shared" si="14"/>
        <v>1936.5800000000008</v>
      </c>
      <c r="J36" s="47">
        <f t="shared" si="14"/>
        <v>2230.7899999999991</v>
      </c>
      <c r="K36" s="47">
        <f t="shared" si="14"/>
        <v>2283.2599999999975</v>
      </c>
      <c r="L36" s="47">
        <f t="shared" si="14"/>
        <v>2883.17</v>
      </c>
      <c r="M36" s="47">
        <f t="shared" si="14"/>
        <v>2998.670000000001</v>
      </c>
    </row>
    <row r="37" spans="2:13" x14ac:dyDescent="0.3">
      <c r="B37" s="56" t="s">
        <v>74</v>
      </c>
      <c r="C37" s="43">
        <f>IFERROR(C36/C6,0)</f>
        <v>0.11139906888391898</v>
      </c>
      <c r="D37" s="43">
        <f t="shared" ref="D37:M37" si="15">IFERROR(D36/D6,0)</f>
        <v>0.11669526904790155</v>
      </c>
      <c r="E37" s="43">
        <f t="shared" si="15"/>
        <v>9.4213758595566896E-2</v>
      </c>
      <c r="F37" s="43">
        <f t="shared" si="15"/>
        <v>0.10472646259590807</v>
      </c>
      <c r="G37" s="43">
        <f t="shared" si="15"/>
        <v>0.11937458101869691</v>
      </c>
      <c r="H37" s="43">
        <f t="shared" si="15"/>
        <v>0.13918456774652552</v>
      </c>
      <c r="I37" s="43">
        <f t="shared" si="15"/>
        <v>0.14506184630296717</v>
      </c>
      <c r="J37" s="43">
        <f t="shared" si="15"/>
        <v>0.15133654758730819</v>
      </c>
      <c r="K37" s="43">
        <f t="shared" si="15"/>
        <v>0.13512844914114713</v>
      </c>
      <c r="L37" s="43">
        <f t="shared" si="15"/>
        <v>0.15074374029477736</v>
      </c>
      <c r="M37" s="43">
        <f t="shared" si="15"/>
        <v>0.1567825455001752</v>
      </c>
    </row>
    <row r="39" spans="2:13" x14ac:dyDescent="0.3">
      <c r="B39" s="55" t="s">
        <v>75</v>
      </c>
      <c r="C39" s="46">
        <f>IFERROR('Data Sheet'!B93,0)</f>
        <v>96.42</v>
      </c>
      <c r="D39" s="46">
        <f>IFERROR('Data Sheet'!C93,0)</f>
        <v>96.42</v>
      </c>
      <c r="E39" s="46">
        <f>IFERROR('Data Sheet'!D93,0)</f>
        <v>96.42</v>
      </c>
      <c r="F39" s="46">
        <f>IFERROR('Data Sheet'!E93,0)</f>
        <v>96.42</v>
      </c>
      <c r="G39" s="46">
        <f>IFERROR('Data Sheet'!F93,0)</f>
        <v>96.42</v>
      </c>
      <c r="H39" s="46">
        <f>IFERROR('Data Sheet'!G93,0)</f>
        <v>96.42</v>
      </c>
      <c r="I39" s="46">
        <f>IFERROR('Data Sheet'!H93,0)</f>
        <v>96.42</v>
      </c>
      <c r="J39" s="46">
        <f>IFERROR('Data Sheet'!I93,0)</f>
        <v>96.42</v>
      </c>
      <c r="K39" s="46">
        <f>IFERROR('Data Sheet'!J93,0)</f>
        <v>96.42</v>
      </c>
      <c r="L39" s="46">
        <f>IFERROR('Data Sheet'!K93,0)</f>
        <v>96.42</v>
      </c>
      <c r="M39" s="46">
        <f>L39</f>
        <v>96.42</v>
      </c>
    </row>
    <row r="40" spans="2:13" x14ac:dyDescent="0.3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spans="2:13" x14ac:dyDescent="0.3">
      <c r="B41" s="55" t="s">
        <v>77</v>
      </c>
      <c r="C41" s="45">
        <f>IFERROR(C36/C39,0)</f>
        <v>11.385812072184196</v>
      </c>
      <c r="D41" s="45">
        <f t="shared" ref="D41:M41" si="16">IFERROR(D36/D39,0)</f>
        <v>9.8944202447624985</v>
      </c>
      <c r="E41" s="45">
        <f t="shared" si="16"/>
        <v>8.9321717485998704</v>
      </c>
      <c r="F41" s="45">
        <f t="shared" si="16"/>
        <v>10.871914540551767</v>
      </c>
      <c r="G41" s="45">
        <f t="shared" si="16"/>
        <v>13.980605683468166</v>
      </c>
      <c r="H41" s="45">
        <f t="shared" si="16"/>
        <v>17.854801908317768</v>
      </c>
      <c r="I41" s="45">
        <f t="shared" si="16"/>
        <v>20.084837170711477</v>
      </c>
      <c r="J41" s="45">
        <f t="shared" si="16"/>
        <v>23.13617506741339</v>
      </c>
      <c r="K41" s="45">
        <f t="shared" si="16"/>
        <v>23.68035677245382</v>
      </c>
      <c r="L41" s="45">
        <f t="shared" si="16"/>
        <v>29.902198713959759</v>
      </c>
      <c r="M41" s="45">
        <f t="shared" si="16"/>
        <v>31.100082970338114</v>
      </c>
    </row>
    <row r="42" spans="2:13" x14ac:dyDescent="0.3">
      <c r="B42" s="56" t="s">
        <v>78</v>
      </c>
      <c r="C42" s="43"/>
      <c r="D42" s="43">
        <f>IFERROR(D41/C41,0)</f>
        <v>0.86901313512233336</v>
      </c>
      <c r="E42" s="43">
        <f t="shared" ref="E42:M42" si="17">IFERROR(E41/D41,0)</f>
        <v>0.90274837005513453</v>
      </c>
      <c r="F42" s="43">
        <f t="shared" si="17"/>
        <v>1.2171636245413613</v>
      </c>
      <c r="G42" s="43">
        <f t="shared" si="17"/>
        <v>1.2859377832047076</v>
      </c>
      <c r="H42" s="43">
        <f t="shared" si="17"/>
        <v>1.2771121875950464</v>
      </c>
      <c r="I42" s="43">
        <f t="shared" si="17"/>
        <v>1.1248983480099455</v>
      </c>
      <c r="J42" s="43">
        <f t="shared" si="17"/>
        <v>1.1519224612461134</v>
      </c>
      <c r="K42" s="43">
        <f t="shared" si="17"/>
        <v>1.0235208154958551</v>
      </c>
      <c r="L42" s="43">
        <f t="shared" si="17"/>
        <v>1.2627427450224693</v>
      </c>
      <c r="M42" s="43">
        <f t="shared" si="17"/>
        <v>1.0400600727671283</v>
      </c>
    </row>
    <row r="44" spans="2:13" x14ac:dyDescent="0.3">
      <c r="B44" s="55" t="s">
        <v>76</v>
      </c>
      <c r="C44" s="48">
        <f>IFERROR('Data Sheet'!B31/HistoricalFS!C39,0)</f>
        <v>6.3000414851690527</v>
      </c>
      <c r="D44" s="48">
        <f>IFERROR('Data Sheet'!C31/HistoricalFS!D39,0)</f>
        <v>4.8500311138767884</v>
      </c>
      <c r="E44" s="48">
        <f>IFERROR('Data Sheet'!D31/HistoricalFS!E39,0)</f>
        <v>6.3000414851690527</v>
      </c>
      <c r="F44" s="48">
        <f>IFERROR('Data Sheet'!E31/HistoricalFS!F39,0)</f>
        <v>8.599979257415475</v>
      </c>
      <c r="G44" s="48">
        <f>IFERROR('Data Sheet'!F31/HistoricalFS!G39,0)</f>
        <v>11.499999999999998</v>
      </c>
      <c r="H44" s="48">
        <f>IFERROR('Data Sheet'!G31/HistoricalFS!H39,0)</f>
        <v>34.199958514830946</v>
      </c>
      <c r="I44" s="48">
        <f>IFERROR('Data Sheet'!H31/HistoricalFS!I39,0)</f>
        <v>20</v>
      </c>
      <c r="J44" s="48">
        <f>IFERROR('Data Sheet'!I31/HistoricalFS!J39,0)</f>
        <v>20</v>
      </c>
      <c r="K44" s="48">
        <f>IFERROR('Data Sheet'!J31/HistoricalFS!K39,0)</f>
        <v>21.999999999999996</v>
      </c>
      <c r="L44" s="48">
        <f>IFERROR('Data Sheet'!K31/HistoricalFS!L39,0)</f>
        <v>17.400020742584527</v>
      </c>
      <c r="M44" s="48">
        <f>IFERROR('Data Sheet'!L31/HistoricalFS!M39,0)</f>
        <v>0</v>
      </c>
    </row>
    <row r="45" spans="2:13" x14ac:dyDescent="0.3">
      <c r="B45" s="56" t="s">
        <v>79</v>
      </c>
      <c r="C45" s="43">
        <f>IFERROR(C44/C41,0)</f>
        <v>0.55332386001348122</v>
      </c>
      <c r="D45" s="43">
        <f t="shared" ref="D45:M45" si="18">IFERROR(D44/D41,0)</f>
        <v>0.49017840296849113</v>
      </c>
      <c r="E45" s="43">
        <f t="shared" si="18"/>
        <v>0.70532023593887927</v>
      </c>
      <c r="F45" s="43">
        <f t="shared" si="18"/>
        <v>0.79102712087534599</v>
      </c>
      <c r="G45" s="43">
        <f t="shared" si="18"/>
        <v>0.82256808183915497</v>
      </c>
      <c r="H45" s="43">
        <f t="shared" si="18"/>
        <v>1.915448779014383</v>
      </c>
      <c r="I45" s="43">
        <f t="shared" si="18"/>
        <v>0.99577605882535158</v>
      </c>
      <c r="J45" s="43">
        <f t="shared" si="18"/>
        <v>0.86444712411298275</v>
      </c>
      <c r="K45" s="43">
        <f t="shared" si="18"/>
        <v>0.92904005676094803</v>
      </c>
      <c r="L45" s="43">
        <f t="shared" si="18"/>
        <v>0.58189770287565423</v>
      </c>
      <c r="M45" s="43">
        <f t="shared" si="18"/>
        <v>0</v>
      </c>
    </row>
    <row r="47" spans="2:13" x14ac:dyDescent="0.3">
      <c r="B47" s="55" t="s">
        <v>80</v>
      </c>
      <c r="C47" s="49">
        <f>IFERROR(IF(C41&gt;C44,1-C45,0),0)</f>
        <v>0.44667613998651878</v>
      </c>
      <c r="D47" s="49">
        <f>IFERROR(IF(D41&gt;D44,1-D45,0),0)</f>
        <v>0.50982159703150887</v>
      </c>
      <c r="E47" s="49">
        <f t="shared" ref="E47:L47" si="19">IFERROR(IF(E41&gt;E44,1-E45,0),0)</f>
        <v>0.29467976406112073</v>
      </c>
      <c r="F47" s="49">
        <f t="shared" si="19"/>
        <v>0.20897287912465401</v>
      </c>
      <c r="G47" s="49">
        <f t="shared" si="19"/>
        <v>0.17743191816084503</v>
      </c>
      <c r="H47" s="49">
        <f t="shared" si="19"/>
        <v>0</v>
      </c>
      <c r="I47" s="49">
        <f t="shared" si="19"/>
        <v>4.2239411746484157E-3</v>
      </c>
      <c r="J47" s="49">
        <f t="shared" si="19"/>
        <v>0.13555287588701725</v>
      </c>
      <c r="K47" s="49">
        <f t="shared" si="19"/>
        <v>7.095994323905197E-2</v>
      </c>
      <c r="L47" s="49">
        <f t="shared" si="19"/>
        <v>0.41810229712434577</v>
      </c>
      <c r="M47" s="49"/>
    </row>
    <row r="49" spans="1:13" x14ac:dyDescent="0.3">
      <c r="A49" t="s">
        <v>59</v>
      </c>
      <c r="B49" s="54" t="s">
        <v>81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</row>
    <row r="50" spans="1:13" x14ac:dyDescent="0.3">
      <c r="B50" s="55" t="s">
        <v>33</v>
      </c>
      <c r="C50" s="42">
        <f>IFERROR('Data Sheet'!B57,0)</f>
        <v>96.42</v>
      </c>
      <c r="D50" s="42">
        <f>IFERROR('Data Sheet'!C57,0)</f>
        <v>96.42</v>
      </c>
      <c r="E50" s="42">
        <f>IFERROR('Data Sheet'!D57,0)</f>
        <v>96.42</v>
      </c>
      <c r="F50" s="42">
        <f>IFERROR('Data Sheet'!E57,0)</f>
        <v>96.42</v>
      </c>
      <c r="G50" s="42">
        <f>IFERROR('Data Sheet'!F57,0)</f>
        <v>96.42</v>
      </c>
      <c r="H50" s="42">
        <f>IFERROR('Data Sheet'!G57,0)</f>
        <v>96.42</v>
      </c>
      <c r="I50" s="42">
        <f>IFERROR('Data Sheet'!H57,0)</f>
        <v>96.42</v>
      </c>
      <c r="J50" s="42">
        <f>IFERROR('Data Sheet'!I57,0)</f>
        <v>96.42</v>
      </c>
      <c r="K50" s="42">
        <f>IFERROR('Data Sheet'!J57,0)</f>
        <v>96.42</v>
      </c>
      <c r="L50" s="42">
        <f>IFERROR('Data Sheet'!K57,0)</f>
        <v>96.42</v>
      </c>
    </row>
    <row r="51" spans="1:13" x14ac:dyDescent="0.3">
      <c r="B51" s="55" t="s">
        <v>34</v>
      </c>
      <c r="C51" s="42">
        <f>IFERROR('Data Sheet'!B58,0)</f>
        <v>2740.79</v>
      </c>
      <c r="D51" s="42">
        <f>IFERROR('Data Sheet'!C58,0)</f>
        <v>2721.42</v>
      </c>
      <c r="E51" s="42">
        <f>IFERROR('Data Sheet'!D58,0)</f>
        <v>3185.91</v>
      </c>
      <c r="F51" s="42">
        <f>IFERROR('Data Sheet'!E58,0)</f>
        <v>3324.17</v>
      </c>
      <c r="G51" s="42">
        <f>IFERROR('Data Sheet'!F58,0)</f>
        <v>3577.32</v>
      </c>
      <c r="H51" s="42">
        <f>IFERROR('Data Sheet'!G58,0)</f>
        <v>1822.45</v>
      </c>
      <c r="I51" s="42">
        <f>IFERROR('Data Sheet'!H58,0)</f>
        <v>1922.92</v>
      </c>
      <c r="J51" s="42">
        <f>IFERROR('Data Sheet'!I58,0)</f>
        <v>1849.96</v>
      </c>
      <c r="K51" s="42">
        <f>IFERROR('Data Sheet'!J58,0)</f>
        <v>2362.75</v>
      </c>
      <c r="L51" s="42">
        <f>IFERROR('Data Sheet'!K58,0)</f>
        <v>2996.33</v>
      </c>
    </row>
    <row r="52" spans="1:13" x14ac:dyDescent="0.3">
      <c r="B52" s="55" t="s">
        <v>35</v>
      </c>
      <c r="C52" s="42">
        <f>IFERROR('Data Sheet'!B59,0)</f>
        <v>19.57</v>
      </c>
      <c r="D52" s="42">
        <f>IFERROR('Data Sheet'!C59,0)</f>
        <v>17.73</v>
      </c>
      <c r="E52" s="42">
        <f>IFERROR('Data Sheet'!D59,0)</f>
        <v>33.15</v>
      </c>
      <c r="F52" s="42">
        <f>IFERROR('Data Sheet'!E59,0)</f>
        <v>35.14</v>
      </c>
      <c r="G52" s="42">
        <f>IFERROR('Data Sheet'!F59,0)</f>
        <v>35.14</v>
      </c>
      <c r="H52" s="42">
        <f>IFERROR('Data Sheet'!G59,0)</f>
        <v>188.94</v>
      </c>
      <c r="I52" s="42">
        <f>IFERROR('Data Sheet'!H59,0)</f>
        <v>147.49</v>
      </c>
      <c r="J52" s="42">
        <f>IFERROR('Data Sheet'!I59,0)</f>
        <v>266.45999999999998</v>
      </c>
      <c r="K52" s="42">
        <f>IFERROR('Data Sheet'!J59,0)</f>
        <v>270.52</v>
      </c>
      <c r="L52" s="42">
        <f>IFERROR('Data Sheet'!K59,0)</f>
        <v>341.5</v>
      </c>
    </row>
    <row r="53" spans="1:13" x14ac:dyDescent="0.3">
      <c r="B53" s="55" t="s">
        <v>36</v>
      </c>
      <c r="C53" s="42">
        <f>IFERROR('Data Sheet'!B60,0)</f>
        <v>2962.72</v>
      </c>
      <c r="D53" s="42">
        <f>IFERROR('Data Sheet'!C60,0)</f>
        <v>3250.76</v>
      </c>
      <c r="E53" s="42">
        <f>IFERROR('Data Sheet'!D60,0)</f>
        <v>3494.98</v>
      </c>
      <c r="F53" s="42">
        <f>IFERROR('Data Sheet'!E60,0)</f>
        <v>3906.86</v>
      </c>
      <c r="G53" s="42">
        <f>IFERROR('Data Sheet'!F60,0)</f>
        <v>4379.2</v>
      </c>
      <c r="H53" s="42">
        <f>IFERROR('Data Sheet'!G60,0)</f>
        <v>5065.13</v>
      </c>
      <c r="I53" s="42">
        <f>IFERROR('Data Sheet'!H60,0)</f>
        <v>5732.9</v>
      </c>
      <c r="J53" s="42">
        <f>IFERROR('Data Sheet'!I60,0)</f>
        <v>6021.29</v>
      </c>
      <c r="K53" s="42">
        <f>IFERROR('Data Sheet'!J60,0)</f>
        <v>6249.05</v>
      </c>
      <c r="L53" s="42">
        <f>IFERROR('Data Sheet'!K60,0)</f>
        <v>6659.94</v>
      </c>
    </row>
    <row r="54" spans="1:13" x14ac:dyDescent="0.3">
      <c r="B54" s="57" t="s">
        <v>82</v>
      </c>
      <c r="C54" s="47">
        <f>IFERROR(SUM(C50:C53),0)</f>
        <v>5819.5</v>
      </c>
      <c r="D54" s="47">
        <f t="shared" ref="D54:L54" si="20">IFERROR(SUM(D50:D53),0)</f>
        <v>6086.33</v>
      </c>
      <c r="E54" s="47">
        <f t="shared" si="20"/>
        <v>6810.46</v>
      </c>
      <c r="F54" s="47">
        <f t="shared" si="20"/>
        <v>7362.59</v>
      </c>
      <c r="G54" s="47">
        <f t="shared" si="20"/>
        <v>8088.08</v>
      </c>
      <c r="H54" s="47">
        <f t="shared" si="20"/>
        <v>7172.9400000000005</v>
      </c>
      <c r="I54" s="47">
        <f t="shared" si="20"/>
        <v>7899.73</v>
      </c>
      <c r="J54" s="47">
        <f t="shared" si="20"/>
        <v>8234.130000000001</v>
      </c>
      <c r="K54" s="47">
        <f t="shared" si="20"/>
        <v>8978.74</v>
      </c>
      <c r="L54" s="47">
        <f t="shared" si="20"/>
        <v>10094.189999999999</v>
      </c>
      <c r="M54" s="50"/>
    </row>
    <row r="56" spans="1:13" x14ac:dyDescent="0.3">
      <c r="B56" s="55" t="s">
        <v>83</v>
      </c>
      <c r="C56" s="42">
        <f>IFERROR('Data Sheet'!B62,0)</f>
        <v>3176.64</v>
      </c>
      <c r="D56" s="42">
        <f>IFERROR('Data Sheet'!C62,0)</f>
        <v>2897.85</v>
      </c>
      <c r="E56" s="42">
        <f>IFERROR('Data Sheet'!D62,0)</f>
        <v>2730.14</v>
      </c>
      <c r="F56" s="42">
        <f>IFERROR('Data Sheet'!E62,0)</f>
        <v>2616.1799999999998</v>
      </c>
      <c r="G56" s="42">
        <f>IFERROR('Data Sheet'!F62,0)</f>
        <v>2400.62</v>
      </c>
      <c r="H56" s="42">
        <f>IFERROR('Data Sheet'!G62,0)</f>
        <v>2341.4499999999998</v>
      </c>
      <c r="I56" s="42">
        <f>IFERROR('Data Sheet'!H62,0)</f>
        <v>2179.41</v>
      </c>
      <c r="J56" s="42">
        <f>IFERROR('Data Sheet'!I62,0)</f>
        <v>2994.67</v>
      </c>
      <c r="K56" s="42">
        <f>IFERROR('Data Sheet'!J62,0)</f>
        <v>3043.7</v>
      </c>
      <c r="L56" s="42">
        <f>IFERROR('Data Sheet'!K62,0)</f>
        <v>3322.76</v>
      </c>
    </row>
    <row r="57" spans="1:13" x14ac:dyDescent="0.3">
      <c r="B57" s="55" t="s">
        <v>39</v>
      </c>
      <c r="C57" s="42">
        <f>IFERROR('Data Sheet'!B63,0)</f>
        <v>244.78</v>
      </c>
      <c r="D57" s="42">
        <f>IFERROR('Data Sheet'!C63,0)</f>
        <v>230.79</v>
      </c>
      <c r="E57" s="42">
        <f>IFERROR('Data Sheet'!D63,0)</f>
        <v>188.17</v>
      </c>
      <c r="F57" s="42">
        <f>IFERROR('Data Sheet'!E63,0)</f>
        <v>94.16</v>
      </c>
      <c r="G57" s="42">
        <f>IFERROR('Data Sheet'!F63,0)</f>
        <v>105.2</v>
      </c>
      <c r="H57" s="42">
        <f>IFERROR('Data Sheet'!G63,0)</f>
        <v>143.30000000000001</v>
      </c>
      <c r="I57" s="42">
        <f>IFERROR('Data Sheet'!H63,0)</f>
        <v>638.58000000000004</v>
      </c>
      <c r="J57" s="42">
        <f>IFERROR('Data Sheet'!I63,0)</f>
        <v>246.23</v>
      </c>
      <c r="K57" s="42">
        <f>IFERROR('Data Sheet'!J63,0)</f>
        <v>358.36</v>
      </c>
      <c r="L57" s="42">
        <f>IFERROR('Data Sheet'!K63,0)</f>
        <v>1223.1400000000001</v>
      </c>
    </row>
    <row r="58" spans="1:13" x14ac:dyDescent="0.3">
      <c r="B58" s="55" t="s">
        <v>40</v>
      </c>
      <c r="C58" s="42">
        <f>IFERROR('Data Sheet'!B64,0)</f>
        <v>811.82</v>
      </c>
      <c r="D58" s="42">
        <f>IFERROR('Data Sheet'!C64,0)</f>
        <v>1324.92</v>
      </c>
      <c r="E58" s="42">
        <f>IFERROR('Data Sheet'!D64,0)</f>
        <v>1755.66</v>
      </c>
      <c r="F58" s="42">
        <f>IFERROR('Data Sheet'!E64,0)</f>
        <v>1978.87</v>
      </c>
      <c r="G58" s="42">
        <f>IFERROR('Data Sheet'!F64,0)</f>
        <v>2658.49</v>
      </c>
      <c r="H58" s="42">
        <f>IFERROR('Data Sheet'!G64,0)</f>
        <v>1751.05</v>
      </c>
      <c r="I58" s="42">
        <f>IFERROR('Data Sheet'!H64,0)</f>
        <v>1463.77</v>
      </c>
      <c r="J58" s="42">
        <f>IFERROR('Data Sheet'!I64,0)</f>
        <v>773.98</v>
      </c>
      <c r="K58" s="42">
        <f>IFERROR('Data Sheet'!J64,0)</f>
        <v>777.54</v>
      </c>
      <c r="L58" s="42">
        <f>IFERROR('Data Sheet'!K64,0)</f>
        <v>726.42</v>
      </c>
    </row>
    <row r="59" spans="1:13" x14ac:dyDescent="0.3">
      <c r="B59" s="55" t="s">
        <v>41</v>
      </c>
      <c r="C59" s="42">
        <f>IFERROR('Data Sheet'!B65-(SUM('Data Sheet'!B67:B69)),0)</f>
        <v>197.24</v>
      </c>
      <c r="D59" s="42">
        <f>IFERROR('Data Sheet'!C65-(SUM('Data Sheet'!C67:C69)),0)</f>
        <v>233.99</v>
      </c>
      <c r="E59" s="42">
        <f>IFERROR('Data Sheet'!D65-(SUM('Data Sheet'!D67:D69)),0)</f>
        <v>218.49999999999977</v>
      </c>
      <c r="F59" s="42">
        <f>IFERROR('Data Sheet'!E65-(SUM('Data Sheet'!E67:E69)),0)</f>
        <v>224.51999999999998</v>
      </c>
      <c r="G59" s="42">
        <f>IFERROR('Data Sheet'!F65-(SUM('Data Sheet'!F67:F69)),0)</f>
        <v>223.57000000000016</v>
      </c>
      <c r="H59" s="42">
        <f>IFERROR('Data Sheet'!G65-(SUM('Data Sheet'!G67:G69)),0)</f>
        <v>221.69000000000005</v>
      </c>
      <c r="I59" s="42">
        <f>IFERROR('Data Sheet'!H65-(SUM('Data Sheet'!H67:H69)),0)</f>
        <v>266.69000000000005</v>
      </c>
      <c r="J59" s="42">
        <f>IFERROR('Data Sheet'!I65-(SUM('Data Sheet'!I67:I69)),0)</f>
        <v>1725.2199999999998</v>
      </c>
      <c r="K59" s="42">
        <f>IFERROR('Data Sheet'!J65-(SUM('Data Sheet'!J67:J69)),0)</f>
        <v>1732.9300000000003</v>
      </c>
      <c r="L59" s="42">
        <f>IFERROR('Data Sheet'!K65-(SUM('Data Sheet'!K67:K69)),0)</f>
        <v>1871.2199999999998</v>
      </c>
    </row>
    <row r="60" spans="1:13" x14ac:dyDescent="0.3">
      <c r="B60" s="57" t="s">
        <v>84</v>
      </c>
      <c r="C60" s="47">
        <f>IFERROR(SUM(C56:C59),0)</f>
        <v>4430.4799999999996</v>
      </c>
      <c r="D60" s="47">
        <f t="shared" ref="D60:L60" si="21">IFERROR(SUM(D56:D59),0)</f>
        <v>4687.5499999999993</v>
      </c>
      <c r="E60" s="47">
        <f t="shared" si="21"/>
        <v>4892.47</v>
      </c>
      <c r="F60" s="47">
        <f t="shared" si="21"/>
        <v>4913.7299999999996</v>
      </c>
      <c r="G60" s="47">
        <f t="shared" si="21"/>
        <v>5387.8799999999992</v>
      </c>
      <c r="H60" s="47">
        <f t="shared" si="21"/>
        <v>4457.49</v>
      </c>
      <c r="I60" s="47">
        <f t="shared" si="21"/>
        <v>4548.4500000000007</v>
      </c>
      <c r="J60" s="47">
        <f t="shared" si="21"/>
        <v>5740.1</v>
      </c>
      <c r="K60" s="47">
        <f t="shared" si="21"/>
        <v>5912.5300000000007</v>
      </c>
      <c r="L60" s="47">
        <f t="shared" si="21"/>
        <v>7143.5400000000009</v>
      </c>
    </row>
    <row r="61" spans="1:13" x14ac:dyDescent="0.3">
      <c r="B61" s="58"/>
    </row>
    <row r="62" spans="1:13" x14ac:dyDescent="0.3">
      <c r="B62" s="55" t="s">
        <v>42</v>
      </c>
      <c r="C62" s="42">
        <f>IFERROR('Data Sheet'!B67,0)</f>
        <v>99.1</v>
      </c>
      <c r="D62" s="42">
        <f>IFERROR('Data Sheet'!C67,0)</f>
        <v>78.42</v>
      </c>
      <c r="E62" s="42">
        <f>IFERROR('Data Sheet'!D67,0)</f>
        <v>97.93</v>
      </c>
      <c r="F62" s="42">
        <f>IFERROR('Data Sheet'!E67,0)</f>
        <v>88.97</v>
      </c>
      <c r="G62" s="42">
        <f>IFERROR('Data Sheet'!F67,0)</f>
        <v>124.59</v>
      </c>
      <c r="H62" s="42">
        <f>IFERROR('Data Sheet'!G67,0)</f>
        <v>124.33</v>
      </c>
      <c r="I62" s="42">
        <f>IFERROR('Data Sheet'!H67,0)</f>
        <v>164.93</v>
      </c>
      <c r="J62" s="42">
        <f>IFERROR('Data Sheet'!I67,0)</f>
        <v>165.97</v>
      </c>
      <c r="K62" s="42">
        <f>IFERROR('Data Sheet'!J67,0)</f>
        <v>191.89</v>
      </c>
      <c r="L62" s="42">
        <f>IFERROR('Data Sheet'!K67,0)</f>
        <v>202.57</v>
      </c>
    </row>
    <row r="63" spans="1:13" x14ac:dyDescent="0.3">
      <c r="B63" s="55" t="s">
        <v>43</v>
      </c>
      <c r="C63" s="42">
        <f>IFERROR('Data Sheet'!B68,0)</f>
        <v>844.1</v>
      </c>
      <c r="D63" s="42">
        <f>IFERROR('Data Sheet'!C68,0)</f>
        <v>820.81</v>
      </c>
      <c r="E63" s="42">
        <f>IFERROR('Data Sheet'!D68,0)</f>
        <v>940.06</v>
      </c>
      <c r="F63" s="42">
        <f>IFERROR('Data Sheet'!E68,0)</f>
        <v>902.47</v>
      </c>
      <c r="G63" s="42">
        <f>IFERROR('Data Sheet'!F68,0)</f>
        <v>965.55</v>
      </c>
      <c r="H63" s="42">
        <f>IFERROR('Data Sheet'!G68,0)</f>
        <v>1283.07</v>
      </c>
      <c r="I63" s="42">
        <f>IFERROR('Data Sheet'!H68,0)</f>
        <v>1416.48</v>
      </c>
      <c r="J63" s="42">
        <f>IFERROR('Data Sheet'!I68,0)</f>
        <v>1592.65</v>
      </c>
      <c r="K63" s="42">
        <f>IFERROR('Data Sheet'!J68,0)</f>
        <v>1928.77</v>
      </c>
      <c r="L63" s="42">
        <f>IFERROR('Data Sheet'!K68,0)</f>
        <v>1873.26</v>
      </c>
    </row>
    <row r="64" spans="1:13" x14ac:dyDescent="0.3">
      <c r="B64" s="55" t="s">
        <v>44</v>
      </c>
      <c r="C64" s="42">
        <f>IFERROR('Data Sheet'!B69,0)</f>
        <v>445.82</v>
      </c>
      <c r="D64" s="42">
        <f>IFERROR('Data Sheet'!C69,0)</f>
        <v>499.55</v>
      </c>
      <c r="E64" s="42">
        <f>IFERROR('Data Sheet'!D69,0)</f>
        <v>880</v>
      </c>
      <c r="F64" s="42">
        <f>IFERROR('Data Sheet'!E69,0)</f>
        <v>1457.42</v>
      </c>
      <c r="G64" s="42">
        <f>IFERROR('Data Sheet'!F69,0)</f>
        <v>1610.06</v>
      </c>
      <c r="H64" s="42">
        <f>IFERROR('Data Sheet'!G69,0)</f>
        <v>1308.05</v>
      </c>
      <c r="I64" s="42">
        <f>IFERROR('Data Sheet'!H69,0)</f>
        <v>1769.87</v>
      </c>
      <c r="J64" s="42">
        <f>IFERROR('Data Sheet'!I69,0)</f>
        <v>735.41</v>
      </c>
      <c r="K64" s="42">
        <f>IFERROR('Data Sheet'!J69,0)</f>
        <v>945.55</v>
      </c>
      <c r="L64" s="42">
        <f>IFERROR('Data Sheet'!K69,0)</f>
        <v>874.82</v>
      </c>
    </row>
    <row r="65" spans="1:13" x14ac:dyDescent="0.3">
      <c r="B65" s="57" t="s">
        <v>85</v>
      </c>
      <c r="C65" s="47">
        <f>IFERROR(SUM(C62:C64),0)</f>
        <v>1389.02</v>
      </c>
      <c r="D65" s="47">
        <f t="shared" ref="D65:L65" si="22">IFERROR(SUM(D62:D64),0)</f>
        <v>1398.78</v>
      </c>
      <c r="E65" s="47">
        <f t="shared" si="22"/>
        <v>1917.99</v>
      </c>
      <c r="F65" s="47">
        <f t="shared" si="22"/>
        <v>2448.86</v>
      </c>
      <c r="G65" s="47">
        <f t="shared" si="22"/>
        <v>2700.2</v>
      </c>
      <c r="H65" s="47">
        <f t="shared" si="22"/>
        <v>2715.45</v>
      </c>
      <c r="I65" s="47">
        <f t="shared" si="22"/>
        <v>3351.2799999999997</v>
      </c>
      <c r="J65" s="47">
        <f t="shared" si="22"/>
        <v>2494.0300000000002</v>
      </c>
      <c r="K65" s="47">
        <f t="shared" si="22"/>
        <v>3066.21</v>
      </c>
      <c r="L65" s="47">
        <f t="shared" si="22"/>
        <v>2950.65</v>
      </c>
    </row>
    <row r="67" spans="1:13" x14ac:dyDescent="0.3">
      <c r="B67" s="57" t="s">
        <v>86</v>
      </c>
      <c r="C67" s="47">
        <f>IFERROR(SUM(C60,C65),0)</f>
        <v>5819.5</v>
      </c>
      <c r="D67" s="47">
        <f t="shared" ref="D67:L67" si="23">IFERROR(SUM(D60,D65),0)</f>
        <v>6086.329999999999</v>
      </c>
      <c r="E67" s="47">
        <f t="shared" si="23"/>
        <v>6810.46</v>
      </c>
      <c r="F67" s="47">
        <f t="shared" si="23"/>
        <v>7362.59</v>
      </c>
      <c r="G67" s="47">
        <f t="shared" si="23"/>
        <v>8088.079999999999</v>
      </c>
      <c r="H67" s="47">
        <f t="shared" si="23"/>
        <v>7172.94</v>
      </c>
      <c r="I67" s="47">
        <f t="shared" si="23"/>
        <v>7899.7300000000005</v>
      </c>
      <c r="J67" s="47">
        <f t="shared" si="23"/>
        <v>8234.130000000001</v>
      </c>
      <c r="K67" s="47">
        <f t="shared" si="23"/>
        <v>8978.7400000000016</v>
      </c>
      <c r="L67" s="47">
        <f t="shared" si="23"/>
        <v>10094.19</v>
      </c>
    </row>
    <row r="69" spans="1:13" x14ac:dyDescent="0.3">
      <c r="B69" s="59" t="s">
        <v>87</v>
      </c>
      <c r="C69" s="51" t="b">
        <f>C54=C67</f>
        <v>1</v>
      </c>
      <c r="D69" s="51" t="b">
        <f t="shared" ref="D69:L69" si="24">D54=D67</f>
        <v>1</v>
      </c>
      <c r="E69" s="51" t="b">
        <f t="shared" si="24"/>
        <v>1</v>
      </c>
      <c r="F69" s="51" t="b">
        <f t="shared" si="24"/>
        <v>1</v>
      </c>
      <c r="G69" s="51" t="b">
        <f t="shared" si="24"/>
        <v>1</v>
      </c>
      <c r="H69" s="51" t="b">
        <f t="shared" si="24"/>
        <v>1</v>
      </c>
      <c r="I69" s="51" t="b">
        <f t="shared" si="24"/>
        <v>1</v>
      </c>
      <c r="J69" s="51" t="b">
        <f t="shared" si="24"/>
        <v>1</v>
      </c>
      <c r="K69" s="51" t="b">
        <f t="shared" si="24"/>
        <v>1</v>
      </c>
      <c r="L69" s="51" t="b">
        <f t="shared" si="24"/>
        <v>1</v>
      </c>
    </row>
    <row r="71" spans="1:13" x14ac:dyDescent="0.3">
      <c r="A71" t="s">
        <v>59</v>
      </c>
      <c r="B71" s="54" t="s">
        <v>88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 x14ac:dyDescent="0.3">
      <c r="A72" s="34"/>
      <c r="B72" s="60" t="s">
        <v>150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3" x14ac:dyDescent="0.3">
      <c r="A73" s="34"/>
      <c r="B73" s="61" t="s">
        <v>125</v>
      </c>
      <c r="C73" s="34">
        <f>IFERROR('Cash Flow'!E4,0)</f>
        <v>2051</v>
      </c>
      <c r="D73" s="34">
        <f>IFERROR('Cash Flow'!F4,0)</f>
        <v>1109</v>
      </c>
      <c r="E73" s="34">
        <f>IFERROR('Cash Flow'!G4,0)</f>
        <v>1765</v>
      </c>
      <c r="F73" s="34">
        <f>IFERROR('Cash Flow'!H4,0)</f>
        <v>2047</v>
      </c>
      <c r="G73" s="34">
        <f>IFERROR('Cash Flow'!I4,0)</f>
        <v>2521</v>
      </c>
      <c r="H73" s="34">
        <f>IFERROR('Cash Flow'!J4,0)</f>
        <v>2805</v>
      </c>
      <c r="I73" s="34">
        <f>IFERROR('Cash Flow'!K4,0)</f>
        <v>3061</v>
      </c>
      <c r="J73" s="34">
        <f>IFERROR('Cash Flow'!L4,0)</f>
        <v>3136</v>
      </c>
      <c r="K73" s="34">
        <f>IFERROR('Cash Flow'!M4,0)</f>
        <v>3609</v>
      </c>
      <c r="L73" s="34">
        <f>IFERROR('Cash Flow'!N4,0)</f>
        <v>4388</v>
      </c>
    </row>
    <row r="74" spans="1:13" x14ac:dyDescent="0.3">
      <c r="A74" s="34"/>
      <c r="B74" s="61" t="s">
        <v>42</v>
      </c>
      <c r="C74" s="34">
        <f>IFERROR('Cash Flow'!E5,0)</f>
        <v>-14</v>
      </c>
      <c r="D74" s="34">
        <f>IFERROR('Cash Flow'!F5,0)</f>
        <v>21</v>
      </c>
      <c r="E74" s="34">
        <f>IFERROR('Cash Flow'!G5,0)</f>
        <v>-19</v>
      </c>
      <c r="F74" s="34">
        <f>IFERROR('Cash Flow'!H5,0)</f>
        <v>8</v>
      </c>
      <c r="G74" s="34">
        <f>IFERROR('Cash Flow'!I5,0)</f>
        <v>-36</v>
      </c>
      <c r="H74" s="34">
        <f>IFERROR('Cash Flow'!J5,0)</f>
        <v>0</v>
      </c>
      <c r="I74" s="34">
        <f>IFERROR('Cash Flow'!K5,0)</f>
        <v>-42</v>
      </c>
      <c r="J74" s="34">
        <f>IFERROR('Cash Flow'!L5,0)</f>
        <v>-2</v>
      </c>
      <c r="K74" s="34">
        <f>IFERROR('Cash Flow'!M5,0)</f>
        <v>-28</v>
      </c>
      <c r="L74" s="34">
        <f>IFERROR('Cash Flow'!N5,0)</f>
        <v>-11</v>
      </c>
    </row>
    <row r="75" spans="1:13" x14ac:dyDescent="0.3">
      <c r="A75" s="34"/>
      <c r="B75" s="61" t="s">
        <v>43</v>
      </c>
      <c r="C75" s="34">
        <f>IFERROR('Cash Flow'!E6,0)</f>
        <v>-108</v>
      </c>
      <c r="D75" s="34">
        <f>IFERROR('Cash Flow'!F6,0)</f>
        <v>23</v>
      </c>
      <c r="E75" s="34">
        <f>IFERROR('Cash Flow'!G6,0)</f>
        <v>-119</v>
      </c>
      <c r="F75" s="34">
        <f>IFERROR('Cash Flow'!H6,0)</f>
        <v>38</v>
      </c>
      <c r="G75" s="34">
        <f>IFERROR('Cash Flow'!I6,0)</f>
        <v>-63</v>
      </c>
      <c r="H75" s="34">
        <f>IFERROR('Cash Flow'!J6,0)</f>
        <v>-318</v>
      </c>
      <c r="I75" s="34">
        <f>IFERROR('Cash Flow'!K6,0)</f>
        <v>-133</v>
      </c>
      <c r="J75" s="34">
        <f>IFERROR('Cash Flow'!L6,0)</f>
        <v>-169</v>
      </c>
      <c r="K75" s="34">
        <f>IFERROR('Cash Flow'!M6,0)</f>
        <v>-336</v>
      </c>
      <c r="L75" s="34">
        <f>IFERROR('Cash Flow'!N6,0)</f>
        <v>56</v>
      </c>
    </row>
    <row r="76" spans="1:13" x14ac:dyDescent="0.3">
      <c r="A76" s="34"/>
      <c r="B76" s="61" t="s">
        <v>126</v>
      </c>
      <c r="C76" s="34">
        <f>IFERROR('Cash Flow'!E7,0)</f>
        <v>118</v>
      </c>
      <c r="D76" s="34">
        <f>IFERROR('Cash Flow'!F7,0)</f>
        <v>79</v>
      </c>
      <c r="E76" s="34">
        <f>IFERROR('Cash Flow'!G7,0)</f>
        <v>50</v>
      </c>
      <c r="F76" s="34">
        <f>IFERROR('Cash Flow'!H7,0)</f>
        <v>185</v>
      </c>
      <c r="G76" s="34">
        <f>IFERROR('Cash Flow'!I7,0)</f>
        <v>257</v>
      </c>
      <c r="H76" s="34">
        <f>IFERROR('Cash Flow'!J7,0)</f>
        <v>253</v>
      </c>
      <c r="I76" s="34">
        <f>IFERROR('Cash Flow'!K7,0)</f>
        <v>23</v>
      </c>
      <c r="J76" s="34">
        <f>IFERROR('Cash Flow'!L7,0)</f>
        <v>217</v>
      </c>
      <c r="K76" s="34">
        <f>IFERROR('Cash Flow'!M7,0)</f>
        <v>178</v>
      </c>
      <c r="L76" s="34">
        <f>IFERROR('Cash Flow'!N7,0)</f>
        <v>68</v>
      </c>
    </row>
    <row r="77" spans="1:13" x14ac:dyDescent="0.3">
      <c r="A77" s="34"/>
      <c r="B77" s="61" t="s">
        <v>127</v>
      </c>
      <c r="C77" s="34">
        <f>IFERROR('Cash Flow'!E8,0)</f>
        <v>34</v>
      </c>
      <c r="D77" s="34">
        <f>IFERROR('Cash Flow'!F8,0)</f>
        <v>-3</v>
      </c>
      <c r="E77" s="34">
        <f>IFERROR('Cash Flow'!G8,0)</f>
        <v>0</v>
      </c>
      <c r="F77" s="34">
        <f>IFERROR('Cash Flow'!H8,0)</f>
        <v>0</v>
      </c>
      <c r="G77" s="34">
        <f>IFERROR('Cash Flow'!I8,0)</f>
        <v>0</v>
      </c>
      <c r="H77" s="34">
        <f>IFERROR('Cash Flow'!J8,0)</f>
        <v>0</v>
      </c>
      <c r="I77" s="34">
        <f>IFERROR('Cash Flow'!K8,0)</f>
        <v>0</v>
      </c>
      <c r="J77" s="34">
        <f>IFERROR('Cash Flow'!L8,0)</f>
        <v>-40</v>
      </c>
      <c r="K77" s="34">
        <f>IFERROR('Cash Flow'!M8,0)</f>
        <v>-30</v>
      </c>
      <c r="L77" s="34">
        <f>IFERROR('Cash Flow'!N8,0)</f>
        <v>-30</v>
      </c>
    </row>
    <row r="78" spans="1:13" x14ac:dyDescent="0.3">
      <c r="A78" s="34"/>
      <c r="B78" s="38" t="s">
        <v>128</v>
      </c>
      <c r="C78" s="34">
        <f>IFERROR('Cash Flow'!E9,0)</f>
        <v>0</v>
      </c>
      <c r="D78" s="34">
        <f>IFERROR('Cash Flow'!F9,0)</f>
        <v>2</v>
      </c>
      <c r="E78" s="34">
        <f>IFERROR('Cash Flow'!G9,0)</f>
        <v>0</v>
      </c>
      <c r="F78" s="34">
        <f>IFERROR('Cash Flow'!H9,0)</f>
        <v>0</v>
      </c>
      <c r="G78" s="34">
        <f>IFERROR('Cash Flow'!I9,0)</f>
        <v>0</v>
      </c>
      <c r="H78" s="34">
        <f>IFERROR('Cash Flow'!J9,0)</f>
        <v>0</v>
      </c>
      <c r="I78" s="34">
        <f>IFERROR('Cash Flow'!K9,0)</f>
        <v>0</v>
      </c>
      <c r="J78" s="34">
        <f>IFERROR('Cash Flow'!L9,0)</f>
        <v>0</v>
      </c>
      <c r="K78" s="34">
        <f>IFERROR('Cash Flow'!M9,0)</f>
        <v>0</v>
      </c>
      <c r="L78" s="34">
        <f>IFERROR('Cash Flow'!N9,0)</f>
        <v>0</v>
      </c>
    </row>
    <row r="79" spans="1:13" x14ac:dyDescent="0.3">
      <c r="A79" s="34"/>
      <c r="B79" s="61" t="s">
        <v>129</v>
      </c>
      <c r="C79" s="34">
        <f>IFERROR('Cash Flow'!E10,0)</f>
        <v>153</v>
      </c>
      <c r="D79" s="34">
        <f>IFERROR('Cash Flow'!F10,0)</f>
        <v>210</v>
      </c>
      <c r="E79" s="34">
        <f>IFERROR('Cash Flow'!G10,0)</f>
        <v>293</v>
      </c>
      <c r="F79" s="34">
        <f>IFERROR('Cash Flow'!H10,0)</f>
        <v>144</v>
      </c>
      <c r="G79" s="34">
        <f>IFERROR('Cash Flow'!I10,0)</f>
        <v>255</v>
      </c>
      <c r="H79" s="34">
        <f>IFERROR('Cash Flow'!J10,0)</f>
        <v>227</v>
      </c>
      <c r="I79" s="34">
        <f>IFERROR('Cash Flow'!K10,0)</f>
        <v>249</v>
      </c>
      <c r="J79" s="34">
        <f>IFERROR('Cash Flow'!L10,0)</f>
        <v>-179</v>
      </c>
      <c r="K79" s="34">
        <f>IFERROR('Cash Flow'!M10,0)</f>
        <v>185</v>
      </c>
      <c r="L79" s="34">
        <f>IFERROR('Cash Flow'!N10,0)</f>
        <v>-19</v>
      </c>
    </row>
    <row r="80" spans="1:13" x14ac:dyDescent="0.3">
      <c r="A80" s="34"/>
      <c r="B80" s="61" t="s">
        <v>130</v>
      </c>
      <c r="C80" s="34">
        <f>IFERROR('Cash Flow'!E11,0)</f>
        <v>182</v>
      </c>
      <c r="D80" s="34">
        <f>IFERROR('Cash Flow'!F11,0)</f>
        <v>332</v>
      </c>
      <c r="E80" s="34">
        <f>IFERROR('Cash Flow'!G11,0)</f>
        <v>204</v>
      </c>
      <c r="F80" s="34">
        <f>IFERROR('Cash Flow'!H11,0)</f>
        <v>375</v>
      </c>
      <c r="G80" s="34">
        <f>IFERROR('Cash Flow'!I11,0)</f>
        <v>413</v>
      </c>
      <c r="H80" s="34">
        <f>IFERROR('Cash Flow'!J11,0)</f>
        <v>163</v>
      </c>
      <c r="I80" s="34">
        <f>IFERROR('Cash Flow'!K11,0)</f>
        <v>97</v>
      </c>
      <c r="J80" s="34">
        <f>IFERROR('Cash Flow'!L11,0)</f>
        <v>-172</v>
      </c>
      <c r="K80" s="34">
        <f>IFERROR('Cash Flow'!M11,0)</f>
        <v>-30</v>
      </c>
      <c r="L80" s="34">
        <f>IFERROR('Cash Flow'!N11,0)</f>
        <v>63</v>
      </c>
    </row>
    <row r="81" spans="1:13" x14ac:dyDescent="0.3">
      <c r="A81" s="34"/>
      <c r="B81" s="61" t="s">
        <v>131</v>
      </c>
      <c r="C81" s="34">
        <f>IFERROR('Cash Flow'!E12,0)</f>
        <v>-589</v>
      </c>
      <c r="D81" s="34">
        <f>IFERROR('Cash Flow'!F12,0)</f>
        <v>-342</v>
      </c>
      <c r="E81" s="34">
        <f>IFERROR('Cash Flow'!G12,0)</f>
        <v>-503</v>
      </c>
      <c r="F81" s="34">
        <f>IFERROR('Cash Flow'!H12,0)</f>
        <v>-604</v>
      </c>
      <c r="G81" s="34">
        <f>IFERROR('Cash Flow'!I12,0)</f>
        <v>-881</v>
      </c>
      <c r="H81" s="34">
        <f>IFERROR('Cash Flow'!J12,0)</f>
        <v>-673</v>
      </c>
      <c r="I81" s="34">
        <f>IFERROR('Cash Flow'!K12,0)</f>
        <v>-703</v>
      </c>
      <c r="J81" s="34">
        <f>IFERROR('Cash Flow'!L12,0)</f>
        <v>-729</v>
      </c>
      <c r="K81" s="34">
        <f>IFERROR('Cash Flow'!M12,0)</f>
        <v>-841</v>
      </c>
      <c r="L81" s="34">
        <f>IFERROR('Cash Flow'!N12,0)</f>
        <v>-1059</v>
      </c>
    </row>
    <row r="82" spans="1:13" x14ac:dyDescent="0.3">
      <c r="B82" s="57" t="s">
        <v>89</v>
      </c>
      <c r="C82" s="44">
        <f>IFERROR(SUM(C73:C79,C81),0)</f>
        <v>1645</v>
      </c>
      <c r="D82" s="44">
        <f t="shared" ref="D82:L82" si="25">IFERROR(SUM(D73:D79,D81),0)</f>
        <v>1099</v>
      </c>
      <c r="E82" s="44">
        <f t="shared" si="25"/>
        <v>1467</v>
      </c>
      <c r="F82" s="44">
        <f t="shared" si="25"/>
        <v>1818</v>
      </c>
      <c r="G82" s="44">
        <f t="shared" si="25"/>
        <v>2053</v>
      </c>
      <c r="H82" s="44">
        <f t="shared" si="25"/>
        <v>2294</v>
      </c>
      <c r="I82" s="44">
        <f t="shared" si="25"/>
        <v>2455</v>
      </c>
      <c r="J82" s="44">
        <f t="shared" si="25"/>
        <v>2234</v>
      </c>
      <c r="K82" s="44">
        <f t="shared" si="25"/>
        <v>2737</v>
      </c>
      <c r="L82" s="44">
        <f t="shared" si="25"/>
        <v>3393</v>
      </c>
      <c r="M82" s="64"/>
    </row>
    <row r="83" spans="1:13" x14ac:dyDescent="0.3">
      <c r="A83" s="34"/>
      <c r="B83" s="62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3" x14ac:dyDescent="0.3">
      <c r="A84" s="34"/>
      <c r="B84" s="60" t="s">
        <v>151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3" x14ac:dyDescent="0.3">
      <c r="A85" s="34"/>
      <c r="B85" s="39" t="s">
        <v>133</v>
      </c>
      <c r="C85" s="34">
        <f>IFERROR('Cash Flow'!E14,0)</f>
        <v>-415</v>
      </c>
      <c r="D85" s="34">
        <f>IFERROR('Cash Flow'!F14,0)</f>
        <v>-151</v>
      </c>
      <c r="E85" s="34">
        <f>IFERROR('Cash Flow'!G14,0)</f>
        <v>-207</v>
      </c>
      <c r="F85" s="34">
        <f>IFERROR('Cash Flow'!H14,0)</f>
        <v>-199</v>
      </c>
      <c r="G85" s="34">
        <f>IFERROR('Cash Flow'!I14,0)</f>
        <v>-166</v>
      </c>
      <c r="H85" s="34">
        <f>IFERROR('Cash Flow'!J14,0)</f>
        <v>-155</v>
      </c>
      <c r="I85" s="34">
        <f>IFERROR('Cash Flow'!K14,0)</f>
        <v>-478</v>
      </c>
      <c r="J85" s="34">
        <f>IFERROR('Cash Flow'!L14,0)</f>
        <v>-735</v>
      </c>
      <c r="K85" s="34">
        <f>IFERROR('Cash Flow'!M14,0)</f>
        <v>-550</v>
      </c>
      <c r="L85" s="34">
        <f>IFERROR('Cash Flow'!N14,0)</f>
        <v>-1371</v>
      </c>
    </row>
    <row r="86" spans="1:13" x14ac:dyDescent="0.3">
      <c r="A86" s="34"/>
      <c r="B86" s="39" t="s">
        <v>134</v>
      </c>
      <c r="C86" s="34">
        <f>IFERROR('Cash Flow'!E15,0)</f>
        <v>10</v>
      </c>
      <c r="D86" s="34">
        <f>IFERROR('Cash Flow'!F15,0)</f>
        <v>1</v>
      </c>
      <c r="E86" s="34">
        <f>IFERROR('Cash Flow'!G15,0)</f>
        <v>94</v>
      </c>
      <c r="F86" s="34">
        <f>IFERROR('Cash Flow'!H15,0)</f>
        <v>3</v>
      </c>
      <c r="G86" s="34">
        <f>IFERROR('Cash Flow'!I15,0)</f>
        <v>3</v>
      </c>
      <c r="H86" s="34">
        <f>IFERROR('Cash Flow'!J15,0)</f>
        <v>2</v>
      </c>
      <c r="I86" s="34">
        <f>IFERROR('Cash Flow'!K15,0)</f>
        <v>4</v>
      </c>
      <c r="J86" s="34">
        <f>IFERROR('Cash Flow'!L15,0)</f>
        <v>4</v>
      </c>
      <c r="K86" s="34">
        <f>IFERROR('Cash Flow'!M15,0)</f>
        <v>9</v>
      </c>
      <c r="L86" s="34">
        <f>IFERROR('Cash Flow'!N15,0)</f>
        <v>7</v>
      </c>
    </row>
    <row r="87" spans="1:13" x14ac:dyDescent="0.3">
      <c r="A87" s="34"/>
      <c r="B87" s="39" t="s">
        <v>135</v>
      </c>
      <c r="C87" s="34">
        <f>IFERROR('Cash Flow'!E16,0)</f>
        <v>-80</v>
      </c>
      <c r="D87" s="34">
        <f>IFERROR('Cash Flow'!F16,0)</f>
        <v>-37</v>
      </c>
      <c r="E87" s="34">
        <f>IFERROR('Cash Flow'!G16,0)</f>
        <v>-153</v>
      </c>
      <c r="F87" s="34">
        <f>IFERROR('Cash Flow'!H16,0)</f>
        <v>-112</v>
      </c>
      <c r="G87" s="34">
        <f>IFERROR('Cash Flow'!I16,0)</f>
        <v>-160</v>
      </c>
      <c r="H87" s="34">
        <f>IFERROR('Cash Flow'!J16,0)</f>
        <v>-16</v>
      </c>
      <c r="I87" s="34">
        <f>IFERROR('Cash Flow'!K16,0)</f>
        <v>0</v>
      </c>
      <c r="J87" s="34">
        <f>IFERROR('Cash Flow'!L16,0)</f>
        <v>0</v>
      </c>
      <c r="K87" s="34">
        <f>IFERROR('Cash Flow'!M16,0)</f>
        <v>0</v>
      </c>
      <c r="L87" s="34">
        <f>IFERROR('Cash Flow'!N16,0)</f>
        <v>0</v>
      </c>
    </row>
    <row r="88" spans="1:13" x14ac:dyDescent="0.3">
      <c r="A88" s="34"/>
      <c r="B88" s="39" t="s">
        <v>136</v>
      </c>
      <c r="C88" s="34">
        <f>IFERROR('Cash Flow'!E17,0)</f>
        <v>0</v>
      </c>
      <c r="D88" s="34">
        <f>IFERROR('Cash Flow'!F17,0)</f>
        <v>0</v>
      </c>
      <c r="E88" s="34">
        <f>IFERROR('Cash Flow'!G17,0)</f>
        <v>0</v>
      </c>
      <c r="F88" s="34">
        <f>IFERROR('Cash Flow'!H17,0)</f>
        <v>0</v>
      </c>
      <c r="G88" s="34">
        <f>IFERROR('Cash Flow'!I17,0)</f>
        <v>0</v>
      </c>
      <c r="H88" s="34">
        <f>IFERROR('Cash Flow'!J17,0)</f>
        <v>0</v>
      </c>
      <c r="I88" s="34">
        <f>IFERROR('Cash Flow'!K17,0)</f>
        <v>0</v>
      </c>
      <c r="J88" s="34">
        <f>IFERROR('Cash Flow'!L17,0)</f>
        <v>0</v>
      </c>
      <c r="K88" s="34">
        <f>IFERROR('Cash Flow'!M17,0)</f>
        <v>25</v>
      </c>
      <c r="L88" s="34">
        <f>IFERROR('Cash Flow'!N17,0)</f>
        <v>312</v>
      </c>
    </row>
    <row r="89" spans="1:13" x14ac:dyDescent="0.3">
      <c r="A89" s="34"/>
      <c r="B89" s="39" t="s">
        <v>137</v>
      </c>
      <c r="C89" s="34">
        <f>IFERROR('Cash Flow'!E18,0)</f>
        <v>66</v>
      </c>
      <c r="D89" s="34">
        <f>IFERROR('Cash Flow'!F18,0)</f>
        <v>99</v>
      </c>
      <c r="E89" s="34">
        <f>IFERROR('Cash Flow'!G18,0)</f>
        <v>126</v>
      </c>
      <c r="F89" s="34">
        <f>IFERROR('Cash Flow'!H18,0)</f>
        <v>154</v>
      </c>
      <c r="G89" s="34">
        <f>IFERROR('Cash Flow'!I18,0)</f>
        <v>237</v>
      </c>
      <c r="H89" s="34">
        <f>IFERROR('Cash Flow'!J18,0)</f>
        <v>238</v>
      </c>
      <c r="I89" s="34">
        <f>IFERROR('Cash Flow'!K18,0)</f>
        <v>148</v>
      </c>
      <c r="J89" s="34">
        <f>IFERROR('Cash Flow'!L18,0)</f>
        <v>125</v>
      </c>
      <c r="K89" s="34">
        <f>IFERROR('Cash Flow'!M18,0)</f>
        <v>103</v>
      </c>
      <c r="L89" s="34">
        <f>IFERROR('Cash Flow'!N18,0)</f>
        <v>0</v>
      </c>
    </row>
    <row r="90" spans="1:13" x14ac:dyDescent="0.3">
      <c r="A90" s="34"/>
      <c r="B90" s="39" t="s">
        <v>138</v>
      </c>
      <c r="C90" s="34">
        <f>IFERROR('Cash Flow'!E19,0)</f>
        <v>10</v>
      </c>
      <c r="D90" s="34">
        <f>IFERROR('Cash Flow'!F19,0)</f>
        <v>12</v>
      </c>
      <c r="E90" s="34">
        <f>IFERROR('Cash Flow'!G19,0)</f>
        <v>13</v>
      </c>
      <c r="F90" s="34">
        <f>IFERROR('Cash Flow'!H19,0)</f>
        <v>16</v>
      </c>
      <c r="G90" s="34">
        <f>IFERROR('Cash Flow'!I19,0)</f>
        <v>19</v>
      </c>
      <c r="H90" s="34">
        <f>IFERROR('Cash Flow'!J19,0)</f>
        <v>13</v>
      </c>
      <c r="I90" s="34">
        <f>IFERROR('Cash Flow'!K19,0)</f>
        <v>2</v>
      </c>
      <c r="J90" s="34">
        <f>IFERROR('Cash Flow'!L19,0)</f>
        <v>0</v>
      </c>
      <c r="K90" s="34">
        <f>IFERROR('Cash Flow'!M19,0)</f>
        <v>0</v>
      </c>
      <c r="L90" s="34">
        <f>IFERROR('Cash Flow'!N19,0)</f>
        <v>0</v>
      </c>
    </row>
    <row r="91" spans="1:13" x14ac:dyDescent="0.3">
      <c r="A91" s="34"/>
      <c r="B91" s="39" t="s">
        <v>139</v>
      </c>
      <c r="C91" s="34">
        <f>IFERROR('Cash Flow'!E20,0)</f>
        <v>-23</v>
      </c>
      <c r="D91" s="34">
        <f>IFERROR('Cash Flow'!F20,0)</f>
        <v>6</v>
      </c>
      <c r="E91" s="34">
        <f>IFERROR('Cash Flow'!G20,0)</f>
        <v>1</v>
      </c>
      <c r="F91" s="34">
        <f>IFERROR('Cash Flow'!H20,0)</f>
        <v>7</v>
      </c>
      <c r="G91" s="34">
        <f>IFERROR('Cash Flow'!I20,0)</f>
        <v>15</v>
      </c>
      <c r="H91" s="34">
        <f>IFERROR('Cash Flow'!J20,0)</f>
        <v>0</v>
      </c>
      <c r="I91" s="34">
        <f>IFERROR('Cash Flow'!K20,0)</f>
        <v>3</v>
      </c>
      <c r="J91" s="34">
        <f>IFERROR('Cash Flow'!L20,0)</f>
        <v>-1314</v>
      </c>
      <c r="K91" s="34">
        <f>IFERROR('Cash Flow'!M20,0)</f>
        <v>20</v>
      </c>
      <c r="L91" s="34">
        <f>IFERROR('Cash Flow'!N20,0)</f>
        <v>126</v>
      </c>
    </row>
    <row r="92" spans="1:13" x14ac:dyDescent="0.3">
      <c r="B92" s="57" t="s">
        <v>90</v>
      </c>
      <c r="C92" s="44">
        <f>IFERROR(SUM(C85:C91),0)</f>
        <v>-432</v>
      </c>
      <c r="D92" s="44">
        <f t="shared" ref="D92:L92" si="26">IFERROR(SUM(D85:D91),0)</f>
        <v>-70</v>
      </c>
      <c r="E92" s="44">
        <f t="shared" si="26"/>
        <v>-126</v>
      </c>
      <c r="F92" s="44">
        <f t="shared" si="26"/>
        <v>-131</v>
      </c>
      <c r="G92" s="44">
        <f t="shared" si="26"/>
        <v>-52</v>
      </c>
      <c r="H92" s="44">
        <f t="shared" si="26"/>
        <v>82</v>
      </c>
      <c r="I92" s="44">
        <f t="shared" si="26"/>
        <v>-321</v>
      </c>
      <c r="J92" s="44">
        <f t="shared" si="26"/>
        <v>-1920</v>
      </c>
      <c r="K92" s="44">
        <f t="shared" si="26"/>
        <v>-393</v>
      </c>
      <c r="L92" s="44">
        <f t="shared" si="26"/>
        <v>-926</v>
      </c>
      <c r="M92" s="64"/>
    </row>
    <row r="93" spans="1:13" x14ac:dyDescent="0.3">
      <c r="A93" s="34"/>
      <c r="B93" s="62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3" x14ac:dyDescent="0.3">
      <c r="A94" s="34"/>
      <c r="B94" s="60" t="s">
        <v>152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3" x14ac:dyDescent="0.3">
      <c r="A95" s="34"/>
      <c r="B95" s="39" t="s">
        <v>141</v>
      </c>
      <c r="C95" s="34">
        <f>IFERROR('Cash Flow'!E22,0)</f>
        <v>4</v>
      </c>
      <c r="D95" s="34">
        <f>IFERROR('Cash Flow'!F22,0)</f>
        <v>0</v>
      </c>
      <c r="E95" s="34">
        <f>IFERROR('Cash Flow'!G22,0)</f>
        <v>0</v>
      </c>
      <c r="F95" s="34">
        <f>IFERROR('Cash Flow'!H22,0)</f>
        <v>0</v>
      </c>
      <c r="G95" s="34">
        <f>IFERROR('Cash Flow'!I22,0)</f>
        <v>0</v>
      </c>
      <c r="H95" s="34">
        <f>IFERROR('Cash Flow'!J22,0)</f>
        <v>0</v>
      </c>
      <c r="I95" s="34">
        <f>IFERROR('Cash Flow'!K22,0)</f>
        <v>0</v>
      </c>
      <c r="J95" s="34">
        <f>IFERROR('Cash Flow'!L22,0)</f>
        <v>24</v>
      </c>
      <c r="K95" s="34">
        <f>IFERROR('Cash Flow'!M22,0)</f>
        <v>0</v>
      </c>
      <c r="L95" s="34">
        <f>IFERROR('Cash Flow'!N22,0)</f>
        <v>0</v>
      </c>
    </row>
    <row r="96" spans="1:13" x14ac:dyDescent="0.3">
      <c r="A96" s="34"/>
      <c r="B96" s="39" t="s">
        <v>142</v>
      </c>
      <c r="C96" s="34">
        <f>IFERROR('Cash Flow'!E23,0)</f>
        <v>0</v>
      </c>
      <c r="D96" s="34">
        <f>IFERROR('Cash Flow'!F23,0)</f>
        <v>-3</v>
      </c>
      <c r="E96" s="34">
        <f>IFERROR('Cash Flow'!G23,0)</f>
        <v>0</v>
      </c>
      <c r="F96" s="34">
        <f>IFERROR('Cash Flow'!H23,0)</f>
        <v>0</v>
      </c>
      <c r="G96" s="34">
        <f>IFERROR('Cash Flow'!I23,0)</f>
        <v>0</v>
      </c>
      <c r="H96" s="34">
        <f>IFERROR('Cash Flow'!J23,0)</f>
        <v>0</v>
      </c>
      <c r="I96" s="34">
        <f>IFERROR('Cash Flow'!K23,0)</f>
        <v>0</v>
      </c>
      <c r="J96" s="34">
        <f>IFERROR('Cash Flow'!L23,0)</f>
        <v>-24</v>
      </c>
      <c r="K96" s="34">
        <f>IFERROR('Cash Flow'!M23,0)</f>
        <v>0</v>
      </c>
      <c r="L96" s="34">
        <f>IFERROR('Cash Flow'!N23,0)</f>
        <v>0</v>
      </c>
    </row>
    <row r="97" spans="1:13" x14ac:dyDescent="0.3">
      <c r="A97" s="34"/>
      <c r="B97" s="39" t="s">
        <v>143</v>
      </c>
      <c r="C97" s="34">
        <f>IFERROR('Cash Flow'!E24,0)</f>
        <v>0</v>
      </c>
      <c r="D97" s="34">
        <f>IFERROR('Cash Flow'!F24,0)</f>
        <v>0</v>
      </c>
      <c r="E97" s="34">
        <f>IFERROR('Cash Flow'!G24,0)</f>
        <v>0</v>
      </c>
      <c r="F97" s="34">
        <f>IFERROR('Cash Flow'!H24,0)</f>
        <v>0</v>
      </c>
      <c r="G97" s="34">
        <f>IFERROR('Cash Flow'!I24,0)</f>
        <v>0</v>
      </c>
      <c r="H97" s="34">
        <f>IFERROR('Cash Flow'!J24,0)</f>
        <v>0</v>
      </c>
      <c r="I97" s="34">
        <f>IFERROR('Cash Flow'!K24,0)</f>
        <v>0</v>
      </c>
      <c r="J97" s="34">
        <f>IFERROR('Cash Flow'!L24,0)</f>
        <v>0</v>
      </c>
      <c r="K97" s="34">
        <f>IFERROR('Cash Flow'!M24,0)</f>
        <v>0</v>
      </c>
      <c r="L97" s="34">
        <f>IFERROR('Cash Flow'!N24,0)</f>
        <v>0</v>
      </c>
    </row>
    <row r="98" spans="1:13" x14ac:dyDescent="0.3">
      <c r="A98" s="34"/>
      <c r="B98" s="39" t="s">
        <v>144</v>
      </c>
      <c r="C98" s="34">
        <f>IFERROR('Cash Flow'!E25,0)</f>
        <v>-15</v>
      </c>
      <c r="D98" s="34">
        <f>IFERROR('Cash Flow'!F25,0)</f>
        <v>-3</v>
      </c>
      <c r="E98" s="34">
        <f>IFERROR('Cash Flow'!G25,0)</f>
        <v>-4</v>
      </c>
      <c r="F98" s="34">
        <f>IFERROR('Cash Flow'!H25,0)</f>
        <v>-1</v>
      </c>
      <c r="G98" s="34">
        <f>IFERROR('Cash Flow'!I25,0)</f>
        <v>-4</v>
      </c>
      <c r="H98" s="34">
        <f>IFERROR('Cash Flow'!J25,0)</f>
        <v>-63</v>
      </c>
      <c r="I98" s="34">
        <f>IFERROR('Cash Flow'!K25,0)</f>
        <v>-69</v>
      </c>
      <c r="J98" s="34">
        <f>IFERROR('Cash Flow'!L25,0)</f>
        <v>-9</v>
      </c>
      <c r="K98" s="34">
        <f>IFERROR('Cash Flow'!M25,0)</f>
        <v>-18</v>
      </c>
      <c r="L98" s="34">
        <f>IFERROR('Cash Flow'!N25,0)</f>
        <v>-20</v>
      </c>
    </row>
    <row r="99" spans="1:13" x14ac:dyDescent="0.3">
      <c r="A99" s="34"/>
      <c r="B99" s="39" t="s">
        <v>145</v>
      </c>
      <c r="C99" s="34">
        <f>IFERROR('Cash Flow'!E26,0)</f>
        <v>-607</v>
      </c>
      <c r="D99" s="34">
        <f>IFERROR('Cash Flow'!F26,0)</f>
        <v>-410</v>
      </c>
      <c r="E99" s="34">
        <f>IFERROR('Cash Flow'!G26,0)</f>
        <v>-564</v>
      </c>
      <c r="F99" s="34">
        <f>IFERROR('Cash Flow'!H26,0)</f>
        <v>-829</v>
      </c>
      <c r="G99" s="34">
        <f>IFERROR('Cash Flow'!I26,0)</f>
        <v>-1090</v>
      </c>
      <c r="H99" s="34">
        <f>IFERROR('Cash Flow'!J26,0)</f>
        <v>-2950</v>
      </c>
      <c r="I99" s="34">
        <f>IFERROR('Cash Flow'!K26,0)</f>
        <v>-1890</v>
      </c>
      <c r="J99" s="34">
        <f>IFERROR('Cash Flow'!L26,0)</f>
        <v>-1928</v>
      </c>
      <c r="K99" s="34">
        <f>IFERROR('Cash Flow'!M26,0)</f>
        <v>-2025</v>
      </c>
      <c r="L99" s="34">
        <f>IFERROR('Cash Flow'!N26,0)</f>
        <v>-2333</v>
      </c>
    </row>
    <row r="100" spans="1:13" x14ac:dyDescent="0.3">
      <c r="A100" s="34"/>
      <c r="B100" s="39" t="s">
        <v>146</v>
      </c>
      <c r="C100" s="34">
        <f>IFERROR('Cash Flow'!E27,0)</f>
        <v>0</v>
      </c>
      <c r="D100" s="34">
        <f>IFERROR('Cash Flow'!F27,0)</f>
        <v>0</v>
      </c>
      <c r="E100" s="34">
        <f>IFERROR('Cash Flow'!G27,0)</f>
        <v>0</v>
      </c>
      <c r="F100" s="34">
        <f>IFERROR('Cash Flow'!H27,0)</f>
        <v>0</v>
      </c>
      <c r="G100" s="34">
        <f>IFERROR('Cash Flow'!I27,0)</f>
        <v>0</v>
      </c>
      <c r="H100" s="34">
        <f>IFERROR('Cash Flow'!J27,0)</f>
        <v>0</v>
      </c>
      <c r="I100" s="34">
        <f>IFERROR('Cash Flow'!K27,0)</f>
        <v>0</v>
      </c>
      <c r="J100" s="34">
        <f>IFERROR('Cash Flow'!L27,0)</f>
        <v>-79</v>
      </c>
      <c r="K100" s="34">
        <f>IFERROR('Cash Flow'!M27,0)</f>
        <v>-73</v>
      </c>
      <c r="L100" s="34">
        <f>IFERROR('Cash Flow'!N27,0)</f>
        <v>-166</v>
      </c>
    </row>
    <row r="101" spans="1:13" x14ac:dyDescent="0.3">
      <c r="A101" s="34"/>
      <c r="B101" s="39" t="s">
        <v>147</v>
      </c>
      <c r="C101" s="34">
        <f>IFERROR('Cash Flow'!E28,0)</f>
        <v>-1017</v>
      </c>
      <c r="D101" s="34">
        <f>IFERROR('Cash Flow'!F28,0)</f>
        <v>-82</v>
      </c>
      <c r="E101" s="34">
        <f>IFERROR('Cash Flow'!G28,0)</f>
        <v>-98</v>
      </c>
      <c r="F101" s="34">
        <f>IFERROR('Cash Flow'!H28,0)</f>
        <v>-167</v>
      </c>
      <c r="G101" s="34">
        <f>IFERROR('Cash Flow'!I28,0)</f>
        <v>-224</v>
      </c>
      <c r="H101" s="34">
        <f>IFERROR('Cash Flow'!J28,0)</f>
        <v>-588</v>
      </c>
      <c r="I101" s="34">
        <f>IFERROR('Cash Flow'!K28,0)</f>
        <v>3</v>
      </c>
      <c r="J101" s="34">
        <f>IFERROR('Cash Flow'!L28,0)</f>
        <v>-3</v>
      </c>
      <c r="K101" s="34">
        <f>IFERROR('Cash Flow'!M28,0)</f>
        <v>-7</v>
      </c>
      <c r="L101" s="34">
        <f>IFERROR('Cash Flow'!N28,0)</f>
        <v>83</v>
      </c>
    </row>
    <row r="102" spans="1:13" x14ac:dyDescent="0.3">
      <c r="B102" s="57" t="s">
        <v>91</v>
      </c>
      <c r="C102" s="44">
        <f>IFERROR(SUM(C95:C101),0)</f>
        <v>-1635</v>
      </c>
      <c r="D102" s="44">
        <f t="shared" ref="D102:L102" si="27">IFERROR(SUM(D95:D101),0)</f>
        <v>-498</v>
      </c>
      <c r="E102" s="44">
        <f t="shared" si="27"/>
        <v>-666</v>
      </c>
      <c r="F102" s="44">
        <f t="shared" si="27"/>
        <v>-997</v>
      </c>
      <c r="G102" s="44">
        <f t="shared" si="27"/>
        <v>-1318</v>
      </c>
      <c r="H102" s="44">
        <f t="shared" si="27"/>
        <v>-3601</v>
      </c>
      <c r="I102" s="44">
        <f t="shared" si="27"/>
        <v>-1956</v>
      </c>
      <c r="J102" s="44">
        <f t="shared" si="27"/>
        <v>-2019</v>
      </c>
      <c r="K102" s="44">
        <f t="shared" si="27"/>
        <v>-2123</v>
      </c>
      <c r="L102" s="44">
        <f t="shared" si="27"/>
        <v>-2436</v>
      </c>
      <c r="M102" s="64"/>
    </row>
    <row r="103" spans="1:13" x14ac:dyDescent="0.3">
      <c r="A103" s="34"/>
      <c r="B103" s="62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3" x14ac:dyDescent="0.3">
      <c r="B104" s="57" t="s">
        <v>52</v>
      </c>
      <c r="C104" s="44">
        <f>IFERROR(SUM(C82,C92,C102),0)</f>
        <v>-422</v>
      </c>
      <c r="D104" s="44">
        <f t="shared" ref="D104:L104" si="28">IFERROR(SUM(D82,D92,D102),0)</f>
        <v>531</v>
      </c>
      <c r="E104" s="44">
        <f t="shared" si="28"/>
        <v>675</v>
      </c>
      <c r="F104" s="44">
        <f t="shared" si="28"/>
        <v>690</v>
      </c>
      <c r="G104" s="44">
        <f t="shared" si="28"/>
        <v>683</v>
      </c>
      <c r="H104" s="44">
        <f t="shared" si="28"/>
        <v>-1225</v>
      </c>
      <c r="I104" s="44">
        <f t="shared" si="28"/>
        <v>178</v>
      </c>
      <c r="J104" s="44">
        <f t="shared" si="28"/>
        <v>-1705</v>
      </c>
      <c r="K104" s="44">
        <f t="shared" si="28"/>
        <v>221</v>
      </c>
      <c r="L104" s="44">
        <f t="shared" si="28"/>
        <v>31</v>
      </c>
      <c r="M104" s="64"/>
    </row>
    <row r="105" spans="1:13" x14ac:dyDescent="0.3">
      <c r="A105" s="34"/>
      <c r="B105" s="63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3" x14ac:dyDescent="0.3">
      <c r="A106" s="34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3" x14ac:dyDescent="0.3">
      <c r="A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</sheetData>
  <mergeCells count="1">
    <mergeCell ref="B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261D-83CE-4C5B-8D6F-24F11CFFFE30}">
  <sheetPr>
    <tabColor theme="4" tint="0.39997558519241921"/>
  </sheetPr>
  <dimension ref="B2:O40"/>
  <sheetViews>
    <sheetView showGridLines="0" zoomScale="110" zoomScaleNormal="110" workbookViewId="0">
      <pane ySplit="3" topLeftCell="A4" activePane="bottomLeft" state="frozen"/>
      <selection pane="bottomLeft" activeCell="L29" sqref="L29"/>
    </sheetView>
  </sheetViews>
  <sheetFormatPr defaultRowHeight="14.4" x14ac:dyDescent="0.3"/>
  <cols>
    <col min="1" max="1" width="1.77734375" customWidth="1"/>
    <col min="2" max="2" width="29.21875" bestFit="1" customWidth="1"/>
    <col min="3" max="3" width="12.77734375" bestFit="1" customWidth="1"/>
    <col min="11" max="12" width="10" bestFit="1" customWidth="1"/>
    <col min="13" max="13" width="12.77734375" customWidth="1"/>
    <col min="14" max="14" width="8.77734375" bestFit="1" customWidth="1"/>
    <col min="15" max="15" width="7.77734375" bestFit="1" customWidth="1"/>
  </cols>
  <sheetData>
    <row r="2" spans="2:15" x14ac:dyDescent="0.3">
      <c r="B2" s="101" t="str">
        <f>"Ratio Analysis of - "&amp;'Data Sheet'!B1</f>
        <v>Ratio Analysis of - NESTLE INDIA LTD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2:15" x14ac:dyDescent="0.3">
      <c r="B3" s="11" t="s">
        <v>56</v>
      </c>
      <c r="C3" s="12">
        <f>'Data Sheet'!B16</f>
        <v>42004</v>
      </c>
      <c r="D3" s="12">
        <f>'Data Sheet'!C16</f>
        <v>42369</v>
      </c>
      <c r="E3" s="12">
        <f>'Data Sheet'!D16</f>
        <v>42735</v>
      </c>
      <c r="F3" s="12">
        <f>'Data Sheet'!E16</f>
        <v>43100</v>
      </c>
      <c r="G3" s="12">
        <f>'Data Sheet'!F16</f>
        <v>43465</v>
      </c>
      <c r="H3" s="12">
        <f>'Data Sheet'!G16</f>
        <v>43830</v>
      </c>
      <c r="I3" s="12">
        <f>'Data Sheet'!H16</f>
        <v>44196</v>
      </c>
      <c r="J3" s="12">
        <f>'Data Sheet'!I16</f>
        <v>44561</v>
      </c>
      <c r="K3" s="12">
        <f>'Data Sheet'!J16</f>
        <v>44926</v>
      </c>
      <c r="L3" s="12">
        <f>'Data Sheet'!K16</f>
        <v>45291</v>
      </c>
      <c r="M3" s="27" t="s">
        <v>123</v>
      </c>
      <c r="N3" s="13" t="s">
        <v>121</v>
      </c>
      <c r="O3" s="13" t="s">
        <v>122</v>
      </c>
    </row>
    <row r="5" spans="2:15" x14ac:dyDescent="0.3">
      <c r="B5" s="14" t="s">
        <v>96</v>
      </c>
      <c r="C5" s="14"/>
      <c r="D5" s="15">
        <f>IFERROR(HistoricalFS!D7,0)</f>
        <v>-0.17042691712904523</v>
      </c>
      <c r="E5" s="15">
        <f>IFERROR(HistoricalFS!E7,0)</f>
        <v>0.11816432649037156</v>
      </c>
      <c r="F5" s="15">
        <f>IFERROR(HistoricalFS!F7,0)</f>
        <v>9.4981698525599123E-2</v>
      </c>
      <c r="G5" s="15">
        <f>IFERROR(HistoricalFS!G7,0)</f>
        <v>0.12814398177749364</v>
      </c>
      <c r="H5" s="15">
        <f>IFERROR(HistoricalFS!H7,0)</f>
        <v>9.5342211973323376E-2</v>
      </c>
      <c r="I5" s="15">
        <f>IFERROR(HistoricalFS!I7,0)</f>
        <v>7.932233262456645E-2</v>
      </c>
      <c r="J5" s="15">
        <f>IFERROR(HistoricalFS!J7,0)</f>
        <v>0.10416156368187934</v>
      </c>
      <c r="K5" s="15">
        <f>IFERROR(HistoricalFS!K7,0)</f>
        <v>0.14628790299438488</v>
      </c>
      <c r="L5" s="15">
        <f>IFERROR(HistoricalFS!L7,0)</f>
        <v>0.13193734257523237</v>
      </c>
      <c r="M5" s="14"/>
      <c r="N5" s="15">
        <f>IFERROR(AVERAGE(D5:L5),0)</f>
        <v>8.0879382612645059E-2</v>
      </c>
      <c r="O5" s="15">
        <f>IFERROR(MEDIAN(C5:L5),0)</f>
        <v>0.10416156368187934</v>
      </c>
    </row>
    <row r="6" spans="2:15" x14ac:dyDescent="0.3">
      <c r="B6" s="16" t="s">
        <v>102</v>
      </c>
      <c r="C6" s="16"/>
      <c r="D6" s="17">
        <f>IFERROR(HistoricalFS!D18/HistoricalFS!C18-1,0)</f>
        <v>-0.23749908054431779</v>
      </c>
      <c r="E6" s="17">
        <f>IFERROR(HistoricalFS!E18/HistoricalFS!D18-1,0)</f>
        <v>0.1896612709253791</v>
      </c>
      <c r="F6" s="17">
        <f>IFERROR(HistoricalFS!F18/HistoricalFS!E18-1,0)</f>
        <v>0.13335747956580124</v>
      </c>
      <c r="G6" s="17">
        <f>IFERROR(HistoricalFS!G18/HistoricalFS!F18-1,0)</f>
        <v>0.24856310188740371</v>
      </c>
      <c r="H6" s="17">
        <f>IFERROR(HistoricalFS!H18/HistoricalFS!G18-1,0)</f>
        <v>0.11775065421274755</v>
      </c>
      <c r="I6" s="17">
        <f>IFERROR(HistoricalFS!I18/HistoricalFS!H18-1,0)</f>
        <v>9.4200719099895247E-2</v>
      </c>
      <c r="J6" s="17">
        <f>IFERROR(HistoricalFS!J18/HistoricalFS!I18-1,0)</f>
        <v>0.11272840855848743</v>
      </c>
      <c r="K6" s="17">
        <f>IFERROR(HistoricalFS!K18/HistoricalFS!J18-1,0)</f>
        <v>4.0391309229732553E-2</v>
      </c>
      <c r="L6" s="17">
        <f>IFERROR(HistoricalFS!L18/HistoricalFS!K18-1,0)</f>
        <v>0.20632492330605601</v>
      </c>
      <c r="M6" s="16"/>
      <c r="N6" s="17">
        <f t="shared" ref="N6:N9" si="0">IFERROR(AVERAGE(D6:L6),0)</f>
        <v>0.10060875402679834</v>
      </c>
      <c r="O6" s="17">
        <f t="shared" ref="O6:O9" si="1">IFERROR(MEDIAN(C6:L6),0)</f>
        <v>0.11775065421274755</v>
      </c>
    </row>
    <row r="7" spans="2:15" x14ac:dyDescent="0.3">
      <c r="B7" s="16" t="s">
        <v>97</v>
      </c>
      <c r="C7" s="16"/>
      <c r="D7" s="17">
        <f>IFERROR(HistoricalFS!D30/HistoricalFS!C30-1,0)</f>
        <v>-0.28628487448740136</v>
      </c>
      <c r="E7" s="17">
        <f>IFERROR(HistoricalFS!E30/HistoricalFS!D30-1,0)</f>
        <v>0.16679121207592229</v>
      </c>
      <c r="F7" s="17">
        <f>IFERROR(HistoricalFS!F30/HistoricalFS!E30-1,0)</f>
        <v>0.18296969955737863</v>
      </c>
      <c r="G7" s="17">
        <f>IFERROR(HistoricalFS!G30/HistoricalFS!F30-1,0)</f>
        <v>0.3053754255946286</v>
      </c>
      <c r="H7" s="17">
        <f>IFERROR(HistoricalFS!H30/HistoricalFS!G30-1,0)</f>
        <v>0.11823799670972224</v>
      </c>
      <c r="I7" s="17">
        <f>IFERROR(HistoricalFS!I30/HistoricalFS!H30-1,0)</f>
        <v>9.9039400645345443E-2</v>
      </c>
      <c r="J7" s="17">
        <f>IFERROR(HistoricalFS!J30/HistoricalFS!I30-1,0)</f>
        <v>0.11352336385520401</v>
      </c>
      <c r="K7" s="17">
        <f>IFERROR(HistoricalFS!K30/HistoricalFS!J30-1,0)</f>
        <v>6.0278816042024008E-2</v>
      </c>
      <c r="L7" s="17">
        <f>IFERROR(HistoricalFS!L30/HistoricalFS!K30-1,0)</f>
        <v>0.24584036002045373</v>
      </c>
      <c r="M7" s="16"/>
      <c r="N7" s="17">
        <f t="shared" si="0"/>
        <v>0.11175237777925306</v>
      </c>
      <c r="O7" s="17">
        <f t="shared" si="1"/>
        <v>0.11823799670972224</v>
      </c>
    </row>
    <row r="8" spans="2:15" x14ac:dyDescent="0.3">
      <c r="B8" s="16" t="s">
        <v>101</v>
      </c>
      <c r="C8" s="16"/>
      <c r="D8" s="17">
        <f>IFERROR(HistoricalFS!D36/HistoricalFS!C36-1,0)</f>
        <v>-0.13098686487766664</v>
      </c>
      <c r="E8" s="17">
        <f>IFERROR(HistoricalFS!E36/HistoricalFS!D36-1,0)</f>
        <v>-9.725162994486547E-2</v>
      </c>
      <c r="F8" s="17">
        <f>IFERROR(HistoricalFS!F36/HistoricalFS!E36-1,0)</f>
        <v>0.21716362454136107</v>
      </c>
      <c r="G8" s="17">
        <f>IFERROR(HistoricalFS!G36/HistoricalFS!F36-1,0)</f>
        <v>0.28593778320470764</v>
      </c>
      <c r="H8" s="17">
        <f>IFERROR(HistoricalFS!H36/HistoricalFS!G36-1,0)</f>
        <v>0.27711218759504641</v>
      </c>
      <c r="I8" s="17">
        <f>IFERROR(HistoricalFS!I36/HistoricalFS!H36-1,0)</f>
        <v>0.12489834800994548</v>
      </c>
      <c r="J8" s="17">
        <f>IFERROR(HistoricalFS!J36/HistoricalFS!I36-1,0)</f>
        <v>0.15192246124611319</v>
      </c>
      <c r="K8" s="17">
        <f>IFERROR(HistoricalFS!K36/HistoricalFS!J36-1,0)</f>
        <v>2.3520815495855052E-2</v>
      </c>
      <c r="L8" s="17">
        <f>IFERROR(HistoricalFS!L36/HistoricalFS!K36-1,0)</f>
        <v>0.2627427450224693</v>
      </c>
      <c r="M8" s="16"/>
      <c r="N8" s="17">
        <f t="shared" si="0"/>
        <v>0.12389549669921844</v>
      </c>
      <c r="O8" s="17">
        <f t="shared" si="1"/>
        <v>0.15192246124611319</v>
      </c>
    </row>
    <row r="9" spans="2:15" x14ac:dyDescent="0.3">
      <c r="B9" s="18" t="s">
        <v>100</v>
      </c>
      <c r="C9" s="18"/>
      <c r="D9" s="19">
        <f>IFERROR(HistoricalFS!D44/HistoricalFS!C44-1,0)</f>
        <v>-0.23015886081158965</v>
      </c>
      <c r="E9" s="19">
        <f>IFERROR(HistoricalFS!E44/HistoricalFS!D44-1,0)</f>
        <v>0.29896929261825367</v>
      </c>
      <c r="F9" s="19">
        <f>IFERROR(HistoricalFS!F44/HistoricalFS!E44-1,0)</f>
        <v>0.36506708371059338</v>
      </c>
      <c r="G9" s="19">
        <f>IFERROR(HistoricalFS!G44/HistoricalFS!F44-1,0)</f>
        <v>0.33721252758649767</v>
      </c>
      <c r="H9" s="19">
        <f>IFERROR(HistoricalFS!H44/HistoricalFS!G44-1,0)</f>
        <v>1.9739094360722569</v>
      </c>
      <c r="I9" s="19">
        <f>IFERROR(HistoricalFS!I44/HistoricalFS!H44-1,0)</f>
        <v>-0.41520396899525702</v>
      </c>
      <c r="J9" s="19">
        <f>IFERROR(HistoricalFS!J44/HistoricalFS!I44-1,0)</f>
        <v>0</v>
      </c>
      <c r="K9" s="19">
        <f>IFERROR(HistoricalFS!K44/HistoricalFS!J44-1,0)</f>
        <v>9.9999999999999867E-2</v>
      </c>
      <c r="L9" s="19">
        <f>IFERROR(HistoricalFS!L44/HistoricalFS!K44-1,0)</f>
        <v>-0.20908996624615772</v>
      </c>
      <c r="M9" s="18"/>
      <c r="N9" s="19">
        <f t="shared" si="0"/>
        <v>0.24674506043717745</v>
      </c>
      <c r="O9" s="19">
        <f t="shared" si="1"/>
        <v>9.9999999999999867E-2</v>
      </c>
    </row>
    <row r="11" spans="2:15" x14ac:dyDescent="0.3">
      <c r="B11" s="14" t="s">
        <v>92</v>
      </c>
      <c r="C11" s="15">
        <f>IFERROR(HistoricalFS!C13,0)</f>
        <v>0.39700187927962305</v>
      </c>
      <c r="D11" s="15">
        <f>IFERROR(HistoricalFS!D13,0)</f>
        <v>0.41601480555477405</v>
      </c>
      <c r="E11" s="15">
        <f>IFERROR(HistoricalFS!E13,0)</f>
        <v>0.43062942632043</v>
      </c>
      <c r="F11" s="15">
        <f>IFERROR(HistoricalFS!F13,0)</f>
        <v>0.41844229539641958</v>
      </c>
      <c r="G11" s="15">
        <f>IFERROR(HistoricalFS!G13,0)</f>
        <v>0.44728562104873515</v>
      </c>
      <c r="H11" s="15">
        <f>IFERROR(HistoricalFS!H13,0)</f>
        <v>0.43374350184737526</v>
      </c>
      <c r="I11" s="15">
        <f>IFERROR(HistoricalFS!I13,0)</f>
        <v>0.42416608801628164</v>
      </c>
      <c r="J11" s="15">
        <f>IFERROR(HistoricalFS!J13,0)</f>
        <v>0.4219261237168932</v>
      </c>
      <c r="K11" s="15">
        <f>IFERROR(HistoricalFS!K13,0)</f>
        <v>0.3950568622994905</v>
      </c>
      <c r="L11" s="15">
        <f>IFERROR(HistoricalFS!L13,0)</f>
        <v>0.46242137789326737</v>
      </c>
      <c r="M11" s="14"/>
      <c r="N11" s="15">
        <f>IFERROR(AVERAGE(C11:L11),0)</f>
        <v>0.424668798137329</v>
      </c>
      <c r="O11" s="15">
        <f t="shared" ref="O11:O15" si="2">IFERROR(MEDIAN(C11:L11),0)</f>
        <v>0.42304610586658742</v>
      </c>
    </row>
    <row r="12" spans="2:15" x14ac:dyDescent="0.3">
      <c r="B12" s="16" t="s">
        <v>93</v>
      </c>
      <c r="C12" s="17">
        <f>IFERROR(HistoricalFS!C19,0)</f>
        <v>0.20692877814353153</v>
      </c>
      <c r="D12" s="17">
        <f>IFERROR(HistoricalFS!D19,0)</f>
        <v>0.19019829217485332</v>
      </c>
      <c r="E12" s="17">
        <f>IFERROR(HistoricalFS!E19,0)</f>
        <v>0.2023598290841386</v>
      </c>
      <c r="F12" s="17">
        <f>IFERROR(HistoricalFS!F19,0)</f>
        <v>0.20945192615089528</v>
      </c>
      <c r="G12" s="17">
        <f>IFERROR(HistoricalFS!G19,0)</f>
        <v>0.23180901625625322</v>
      </c>
      <c r="H12" s="17">
        <f>IFERROR(HistoricalFS!H19,0)</f>
        <v>0.23655135056472276</v>
      </c>
      <c r="I12" s="17">
        <f>IFERROR(HistoricalFS!I19,0)</f>
        <v>0.23981219517858768</v>
      </c>
      <c r="J12" s="17">
        <f>IFERROR(HistoricalFS!J19,0)</f>
        <v>0.24167282313665861</v>
      </c>
      <c r="K12" s="17">
        <f>IFERROR(HistoricalFS!K19,0)</f>
        <v>0.21934655701380593</v>
      </c>
      <c r="L12" s="17">
        <f>IFERROR(HistoricalFS!L19,0)</f>
        <v>0.23376136524053268</v>
      </c>
      <c r="M12" s="16"/>
      <c r="N12" s="17">
        <f t="shared" ref="N12:N40" si="3">IFERROR(AVERAGE(C12:L12),0)</f>
        <v>0.22118921329439795</v>
      </c>
      <c r="O12" s="17">
        <f t="shared" si="2"/>
        <v>0.22557778663502959</v>
      </c>
    </row>
    <row r="13" spans="2:15" x14ac:dyDescent="0.3">
      <c r="B13" s="16" t="s">
        <v>103</v>
      </c>
      <c r="C13" s="17">
        <f>IFERROR((HistoricalFS!C18-HistoricalFS!C24)/HistoricalFS!C6,0)</f>
        <v>0.17267758786545498</v>
      </c>
      <c r="D13" s="17">
        <f>IFERROR((HistoricalFS!D18-HistoricalFS!D24)/HistoricalFS!D6,0)</f>
        <v>0.14772161544944473</v>
      </c>
      <c r="E13" s="17">
        <f>IFERROR((HistoricalFS!E18-HistoricalFS!E24)/HistoricalFS!E6,0)</f>
        <v>0.16367075286555358</v>
      </c>
      <c r="F13" s="17">
        <f>IFERROR((HistoricalFS!F18-HistoricalFS!F24)/HistoricalFS!F6,0)</f>
        <v>0.17525975063938634</v>
      </c>
      <c r="G13" s="17">
        <f>IFERROR((HistoricalFS!G18-HistoricalFS!G24)/HistoricalFS!G6,0)</f>
        <v>0.2020833720766507</v>
      </c>
      <c r="H13" s="17">
        <f>IFERROR((HistoricalFS!H18-HistoricalFS!H24)/HistoricalFS!H6,0)</f>
        <v>0.20662548811939616</v>
      </c>
      <c r="I13" s="17">
        <f>IFERROR((HistoricalFS!I18-HistoricalFS!I24)/HistoricalFS!I6,0)</f>
        <v>0.2120684372993919</v>
      </c>
      <c r="J13" s="17">
        <f>IFERROR((HistoricalFS!J18-HistoricalFS!J24)/HistoricalFS!J6,0)</f>
        <v>0.21514606945854939</v>
      </c>
      <c r="K13" s="17">
        <f>IFERROR((HistoricalFS!K18-HistoricalFS!K24)/HistoricalFS!K6,0)</f>
        <v>0.19549552108781687</v>
      </c>
      <c r="L13" s="17">
        <f>IFERROR((HistoricalFS!L18-HistoricalFS!L24)/HistoricalFS!L6,0)</f>
        <v>0.21133622289726711</v>
      </c>
      <c r="M13" s="16"/>
      <c r="N13" s="17">
        <f t="shared" si="3"/>
        <v>0.19020848177589117</v>
      </c>
      <c r="O13" s="17">
        <f t="shared" si="2"/>
        <v>0.1987894465822338</v>
      </c>
    </row>
    <row r="14" spans="2:15" x14ac:dyDescent="0.3">
      <c r="B14" s="16" t="s">
        <v>104</v>
      </c>
      <c r="C14" s="17">
        <f>IFERROR(HistoricalFS!C31,0)</f>
        <v>0.17123362733438596</v>
      </c>
      <c r="D14" s="17">
        <f>IFERROR(HistoricalFS!D31,0)</f>
        <v>0.14731918422665319</v>
      </c>
      <c r="E14" s="17">
        <f>IFERROR(HistoricalFS!E31,0)</f>
        <v>0.15372582137848495</v>
      </c>
      <c r="F14" s="17">
        <f>IFERROR(HistoricalFS!F31,0)</f>
        <v>0.16607856457800527</v>
      </c>
      <c r="G14" s="17">
        <f>IFERROR(HistoricalFS!G31,0)</f>
        <v>0.19216951064754922</v>
      </c>
      <c r="H14" s="17">
        <f>IFERROR(HistoricalFS!H31,0)</f>
        <v>0.19618640299460738</v>
      </c>
      <c r="I14" s="17">
        <f>IFERROR(HistoricalFS!I31,0)</f>
        <v>0.19977033759474705</v>
      </c>
      <c r="J14" s="17">
        <f>IFERROR(HistoricalFS!J31,0)</f>
        <v>0.20146412049992565</v>
      </c>
      <c r="K14" s="17">
        <f>IFERROR(HistoricalFS!K31,0)</f>
        <v>0.18634772172035668</v>
      </c>
      <c r="L14" s="17">
        <f>IFERROR(HistoricalFS!L31,0)</f>
        <v>0.20509926122668787</v>
      </c>
      <c r="M14" s="16"/>
      <c r="N14" s="17">
        <f t="shared" si="3"/>
        <v>0.18193945522014032</v>
      </c>
      <c r="O14" s="17">
        <f t="shared" si="2"/>
        <v>0.18925861618395295</v>
      </c>
    </row>
    <row r="15" spans="2:15" x14ac:dyDescent="0.3">
      <c r="B15" s="18" t="s">
        <v>105</v>
      </c>
      <c r="C15" s="19">
        <f>IFERROR(HistoricalFS!C37,0)</f>
        <v>0.11139906888391898</v>
      </c>
      <c r="D15" s="19">
        <f>IFERROR(HistoricalFS!D37,0)</f>
        <v>0.11669526904790155</v>
      </c>
      <c r="E15" s="19">
        <f>IFERROR(HistoricalFS!E37,0)</f>
        <v>9.4213758595566896E-2</v>
      </c>
      <c r="F15" s="19">
        <f>IFERROR(HistoricalFS!F37,0)</f>
        <v>0.10472646259590807</v>
      </c>
      <c r="G15" s="19">
        <f>IFERROR(HistoricalFS!G37,0)</f>
        <v>0.11937458101869691</v>
      </c>
      <c r="H15" s="19">
        <f>IFERROR(HistoricalFS!H37,0)</f>
        <v>0.13918456774652552</v>
      </c>
      <c r="I15" s="19">
        <f>IFERROR(HistoricalFS!I37,0)</f>
        <v>0.14506184630296717</v>
      </c>
      <c r="J15" s="19">
        <f>IFERROR(HistoricalFS!J37,0)</f>
        <v>0.15133654758730819</v>
      </c>
      <c r="K15" s="19">
        <f>IFERROR(HistoricalFS!K37,0)</f>
        <v>0.13512844914114713</v>
      </c>
      <c r="L15" s="19">
        <f>IFERROR(HistoricalFS!L37,0)</f>
        <v>0.15074374029477736</v>
      </c>
      <c r="M15" s="18"/>
      <c r="N15" s="19">
        <f t="shared" si="3"/>
        <v>0.12678642912147178</v>
      </c>
      <c r="O15" s="19">
        <f t="shared" si="2"/>
        <v>0.12725151507992202</v>
      </c>
    </row>
    <row r="17" spans="2:15" x14ac:dyDescent="0.3">
      <c r="B17" s="14" t="s">
        <v>95</v>
      </c>
      <c r="C17" s="15">
        <f>IFERROR(HistoricalFS!C16,0)</f>
        <v>0.19007310113609152</v>
      </c>
      <c r="D17" s="15">
        <f>IFERROR(HistoricalFS!D16,0)</f>
        <v>0.22581651337992076</v>
      </c>
      <c r="E17" s="15">
        <f>IFERROR(HistoricalFS!E16,0)</f>
        <v>0.22826959723629139</v>
      </c>
      <c r="F17" s="15">
        <f>IFERROR(HistoricalFS!F16,0)</f>
        <v>0.20899036924552428</v>
      </c>
      <c r="G17" s="15">
        <f>IFERROR(HistoricalFS!G16,0)</f>
        <v>0.21547660479248196</v>
      </c>
      <c r="H17" s="15">
        <f>IFERROR(HistoricalFS!H16,0)</f>
        <v>0.19719215128265247</v>
      </c>
      <c r="I17" s="15">
        <f>IFERROR(HistoricalFS!I16,0)</f>
        <v>0.18435389283769399</v>
      </c>
      <c r="J17" s="15">
        <f>IFERROR(HistoricalFS!J16,0)</f>
        <v>0.18025330058023456</v>
      </c>
      <c r="K17" s="15">
        <f>IFERROR(HistoricalFS!K16,0)</f>
        <v>0.17571030528568454</v>
      </c>
      <c r="L17" s="15">
        <f>IFERROR(HistoricalFS!L16,0)</f>
        <v>0.22866001265273472</v>
      </c>
      <c r="M17" s="14"/>
      <c r="N17" s="15">
        <f t="shared" si="3"/>
        <v>0.20347958484293099</v>
      </c>
      <c r="O17" s="15">
        <f t="shared" ref="O17:O19" si="4">IFERROR(MEDIAN(C17:L17),0)</f>
        <v>0.20309126026408836</v>
      </c>
    </row>
    <row r="18" spans="2:15" x14ac:dyDescent="0.3">
      <c r="B18" s="16" t="s">
        <v>69</v>
      </c>
      <c r="C18" s="17">
        <f>IFERROR(HistoricalFS!C25,0)</f>
        <v>3.4251190278076563E-2</v>
      </c>
      <c r="D18" s="17">
        <f>IFERROR(HistoricalFS!D25,0)</f>
        <v>4.2476676725408571E-2</v>
      </c>
      <c r="E18" s="17">
        <f>IFERROR(HistoricalFS!E25,0)</f>
        <v>3.8689076218585021E-2</v>
      </c>
      <c r="F18" s="17">
        <f>IFERROR(HistoricalFS!F25,0)</f>
        <v>3.4192175511508952E-2</v>
      </c>
      <c r="G18" s="17">
        <f>IFERROR(HistoricalFS!G25,0)</f>
        <v>2.9725644179602505E-2</v>
      </c>
      <c r="H18" s="17">
        <f>IFERROR(HistoricalFS!H25,0)</f>
        <v>2.9925862445326586E-2</v>
      </c>
      <c r="I18" s="17">
        <f>IFERROR(HistoricalFS!I25,0)</f>
        <v>2.7743757879195776E-2</v>
      </c>
      <c r="J18" s="17">
        <f>IFERROR(HistoricalFS!J25,0)</f>
        <v>2.6526753678109218E-2</v>
      </c>
      <c r="K18" s="17">
        <f>IFERROR(HistoricalFS!K25,0)</f>
        <v>2.3851035925989056E-2</v>
      </c>
      <c r="L18" s="17">
        <f>IFERROR(HistoricalFS!L25,0)</f>
        <v>2.2425142343265557E-2</v>
      </c>
      <c r="M18" s="16"/>
      <c r="N18" s="17">
        <f t="shared" si="3"/>
        <v>3.0980731518506777E-2</v>
      </c>
      <c r="O18" s="17">
        <f t="shared" si="4"/>
        <v>2.9825753312464544E-2</v>
      </c>
    </row>
    <row r="19" spans="2:15" x14ac:dyDescent="0.3">
      <c r="B19" s="18" t="s">
        <v>94</v>
      </c>
      <c r="C19" s="20">
        <f>C13</f>
        <v>0.17267758786545498</v>
      </c>
      <c r="D19" s="20">
        <f t="shared" ref="D19:L19" si="5">D13</f>
        <v>0.14772161544944473</v>
      </c>
      <c r="E19" s="20">
        <f t="shared" si="5"/>
        <v>0.16367075286555358</v>
      </c>
      <c r="F19" s="20">
        <f t="shared" si="5"/>
        <v>0.17525975063938634</v>
      </c>
      <c r="G19" s="20">
        <f t="shared" si="5"/>
        <v>0.2020833720766507</v>
      </c>
      <c r="H19" s="20">
        <f t="shared" si="5"/>
        <v>0.20662548811939616</v>
      </c>
      <c r="I19" s="20">
        <f t="shared" si="5"/>
        <v>0.2120684372993919</v>
      </c>
      <c r="J19" s="20">
        <f t="shared" si="5"/>
        <v>0.21514606945854939</v>
      </c>
      <c r="K19" s="20">
        <f t="shared" si="5"/>
        <v>0.19549552108781687</v>
      </c>
      <c r="L19" s="20">
        <f t="shared" si="5"/>
        <v>0.21133622289726711</v>
      </c>
      <c r="M19" s="18"/>
      <c r="N19" s="19">
        <f t="shared" si="3"/>
        <v>0.19020848177589117</v>
      </c>
      <c r="O19" s="19">
        <f t="shared" si="4"/>
        <v>0.1987894465822338</v>
      </c>
    </row>
    <row r="21" spans="2:15" x14ac:dyDescent="0.3">
      <c r="B21" s="14" t="s">
        <v>116</v>
      </c>
      <c r="C21" s="15">
        <f>IFERROR((HistoricalFS!C18-HistoricalFS!C24)/(SUM(HistoricalFS!C50:C52)),0)</f>
        <v>0.59567415061712847</v>
      </c>
      <c r="D21" s="15">
        <f>IFERROR((HistoricalFS!D18-HistoricalFS!D24)/(SUM(HistoricalFS!D50:D52)),0)</f>
        <v>0.4259002599124691</v>
      </c>
      <c r="E21" s="15">
        <f>IFERROR((HistoricalFS!E18-HistoricalFS!E24)/(SUM(HistoricalFS!E50:E52)),0)</f>
        <v>0.45126799136173334</v>
      </c>
      <c r="F21" s="15">
        <f>IFERROR((HistoricalFS!F18-HistoricalFS!F24)/(SUM(HistoricalFS!F50:F52)),0)</f>
        <v>0.50764382634060001</v>
      </c>
      <c r="G21" s="15">
        <f>IFERROR((HistoricalFS!G18-HistoricalFS!G24)/(SUM(HistoricalFS!G50:G52)),0)</f>
        <v>0.6152746920903347</v>
      </c>
      <c r="H21" s="15">
        <f>IFERROR((HistoricalFS!H18-HistoricalFS!H24)/(SUM(HistoricalFS!H50:H52)),0)</f>
        <v>1.2125049221704041</v>
      </c>
      <c r="I21" s="15">
        <f>IFERROR((HistoricalFS!I18-HistoricalFS!I24)/(SUM(HistoricalFS!I50:I52)),0)</f>
        <v>1.3065722737824383</v>
      </c>
      <c r="J21" s="15">
        <f>IFERROR((HistoricalFS!J18-HistoricalFS!J24)/(SUM(HistoricalFS!J50:J52)),0)</f>
        <v>1.4331718515572742</v>
      </c>
      <c r="K21" s="15">
        <f>IFERROR((HistoricalFS!K18-HistoricalFS!K24)/(SUM(HistoricalFS!K50:K52)),0)</f>
        <v>1.2101300880319736</v>
      </c>
      <c r="L21" s="15">
        <f>IFERROR((HistoricalFS!L18-HistoricalFS!L24)/(SUM(HistoricalFS!L50:L52)),0)</f>
        <v>1.1769906093033413</v>
      </c>
      <c r="M21" s="14"/>
      <c r="N21" s="15">
        <f t="shared" si="3"/>
        <v>0.89351306651676976</v>
      </c>
      <c r="O21" s="15">
        <f t="shared" ref="O21:O25" si="6">IFERROR(MEDIAN(C21:L21),0)</f>
        <v>0.89613265069683801</v>
      </c>
    </row>
    <row r="22" spans="2:15" x14ac:dyDescent="0.3">
      <c r="B22" s="16" t="s">
        <v>99</v>
      </c>
      <c r="C22" s="17">
        <f>IFERROR(HistoricalFS!C47,0)</f>
        <v>0.44667613998651878</v>
      </c>
      <c r="D22" s="17">
        <f>IFERROR(HistoricalFS!D47,0)</f>
        <v>0.50982159703150887</v>
      </c>
      <c r="E22" s="17">
        <f>IFERROR(HistoricalFS!E47,0)</f>
        <v>0.29467976406112073</v>
      </c>
      <c r="F22" s="17">
        <f>IFERROR(HistoricalFS!F47,0)</f>
        <v>0.20897287912465401</v>
      </c>
      <c r="G22" s="17">
        <f>IFERROR(HistoricalFS!G47,0)</f>
        <v>0.17743191816084503</v>
      </c>
      <c r="H22" s="17">
        <f>IFERROR(HistoricalFS!H47,0)</f>
        <v>0</v>
      </c>
      <c r="I22" s="17">
        <f>IFERROR(HistoricalFS!I47,0)</f>
        <v>4.2239411746484157E-3</v>
      </c>
      <c r="J22" s="17">
        <f>IFERROR(HistoricalFS!J47,0)</f>
        <v>0.13555287588701725</v>
      </c>
      <c r="K22" s="17">
        <f>IFERROR(HistoricalFS!K47,0)</f>
        <v>7.095994323905197E-2</v>
      </c>
      <c r="L22" s="17">
        <f>IFERROR(HistoricalFS!L47,0)</f>
        <v>0.41810229712434577</v>
      </c>
      <c r="M22" s="16"/>
      <c r="N22" s="17">
        <f t="shared" si="3"/>
        <v>0.22664213557897109</v>
      </c>
      <c r="O22" s="17">
        <f t="shared" si="6"/>
        <v>0.19320239864274952</v>
      </c>
    </row>
    <row r="23" spans="2:15" x14ac:dyDescent="0.3">
      <c r="B23" s="16" t="s">
        <v>115</v>
      </c>
      <c r="C23" s="17">
        <f>IFERROR(HistoricalFS!C36/SUM(HistoricalFS!C50:C51),0)</f>
        <v>0.38693646222873884</v>
      </c>
      <c r="D23" s="17">
        <f>IFERROR(HistoricalFS!D36/SUM(HistoricalFS!D50:D51),0)</f>
        <v>0.33856429037844593</v>
      </c>
      <c r="E23" s="17">
        <f>IFERROR(HistoricalFS!E36/SUM(HistoricalFS!E50:E51),0)</f>
        <v>0.26238678012265665</v>
      </c>
      <c r="F23" s="17">
        <f>IFERROR(HistoricalFS!F36/SUM(HistoricalFS!F50:F51),0)</f>
        <v>0.3064588272783354</v>
      </c>
      <c r="G23" s="17">
        <f>IFERROR(HistoricalFS!G36/SUM(HistoricalFS!G50:G51),0)</f>
        <v>0.36693124717590264</v>
      </c>
      <c r="H23" s="17">
        <f>IFERROR(HistoricalFS!H36/SUM(HistoricalFS!H50:H51),0)</f>
        <v>0.89717385753073375</v>
      </c>
      <c r="I23" s="17">
        <f>IFERROR(HistoricalFS!I36/SUM(HistoricalFS!I50:I51),0)</f>
        <v>0.95901631226044193</v>
      </c>
      <c r="J23" s="17">
        <f>IFERROR(HistoricalFS!J36/SUM(HistoricalFS!J50:J51),0)</f>
        <v>1.1461225454433352</v>
      </c>
      <c r="K23" s="17">
        <f>IFERROR(HistoricalFS!K36/SUM(HistoricalFS!K50:K51),0)</f>
        <v>0.92846773504881619</v>
      </c>
      <c r="L23" s="17">
        <f>IFERROR(HistoricalFS!L36/SUM(HistoricalFS!L50:L51),0)</f>
        <v>0.93223506587988036</v>
      </c>
      <c r="M23" s="16"/>
      <c r="N23" s="17">
        <f t="shared" si="3"/>
        <v>0.65242931233472867</v>
      </c>
      <c r="O23" s="17">
        <f t="shared" si="6"/>
        <v>0.64205515987973638</v>
      </c>
    </row>
    <row r="24" spans="2:15" x14ac:dyDescent="0.3">
      <c r="B24" s="16" t="s">
        <v>98</v>
      </c>
      <c r="C24" s="17">
        <f>IFERROR(C22*C23,0)</f>
        <v>0.17283528536837248</v>
      </c>
      <c r="D24" s="17">
        <f t="shared" ref="D24:L24" si="7">IFERROR(D22*D23,0)</f>
        <v>0.17260738721857882</v>
      </c>
      <c r="E24" s="17">
        <f t="shared" si="7"/>
        <v>7.7320074459301627E-2</v>
      </c>
      <c r="F24" s="17">
        <f t="shared" si="7"/>
        <v>6.4041583469518798E-2</v>
      </c>
      <c r="G24" s="17">
        <f t="shared" si="7"/>
        <v>6.510531501957155E-2</v>
      </c>
      <c r="H24" s="17">
        <f t="shared" si="7"/>
        <v>0</v>
      </c>
      <c r="I24" s="17">
        <f>IFERROR(I22*I23,0)</f>
        <v>4.050828488516363E-3</v>
      </c>
      <c r="J24" s="17">
        <f t="shared" si="7"/>
        <v>0.15536020715379273</v>
      </c>
      <c r="K24" s="17">
        <f t="shared" si="7"/>
        <v>6.5884017778355147E-2</v>
      </c>
      <c r="L24" s="17">
        <f t="shared" si="7"/>
        <v>0.3897696225042438</v>
      </c>
      <c r="M24" s="16"/>
      <c r="N24" s="17">
        <f t="shared" si="3"/>
        <v>0.11669743214602513</v>
      </c>
      <c r="O24" s="17">
        <f t="shared" si="6"/>
        <v>7.1602046118828394E-2</v>
      </c>
    </row>
    <row r="25" spans="2:15" x14ac:dyDescent="0.3">
      <c r="B25" s="18" t="s">
        <v>106</v>
      </c>
      <c r="C25" s="21">
        <f>((HistoricalFS!C18-HistoricalFS!C24)/HistoricalFS!C21)</f>
        <v>119.58608573436403</v>
      </c>
      <c r="D25" s="21">
        <f>((HistoricalFS!D18-HistoricalFS!D24)/HistoricalFS!D21)</f>
        <v>367.0729483282675</v>
      </c>
      <c r="E25" s="21">
        <f>((HistoricalFS!E18-HistoricalFS!E24)/HistoricalFS!E21)</f>
        <v>16.457705422945768</v>
      </c>
      <c r="F25" s="21">
        <f>((HistoricalFS!F18-HistoricalFS!F24)/HistoricalFS!F21)</f>
        <v>19.089009793253553</v>
      </c>
      <c r="G25" s="21">
        <f>((HistoricalFS!G18-HistoricalFS!G24)/HistoricalFS!G21)</f>
        <v>20.383921393479234</v>
      </c>
      <c r="H25" s="21">
        <f>((HistoricalFS!H18-HistoricalFS!H24)/HistoricalFS!H21)</f>
        <v>19.793447955390327</v>
      </c>
      <c r="I25" s="21">
        <f>((HistoricalFS!I18-HistoricalFS!I24)/HistoricalFS!I21)</f>
        <v>17.244000487270075</v>
      </c>
      <c r="J25" s="21">
        <f>((HistoricalFS!J18-HistoricalFS!J24)/HistoricalFS!J21)</f>
        <v>15.72481158270527</v>
      </c>
      <c r="K25" s="21">
        <f>((HistoricalFS!K18-HistoricalFS!K24)/HistoricalFS!K21)</f>
        <v>21.370770524681362</v>
      </c>
      <c r="L25" s="21">
        <f>((HistoricalFS!L18-HistoricalFS!L24)/HistoricalFS!L21)</f>
        <v>33.884483192220635</v>
      </c>
      <c r="M25" s="18"/>
      <c r="N25" s="21">
        <f t="shared" si="3"/>
        <v>65.060718441457766</v>
      </c>
      <c r="O25" s="21">
        <f t="shared" si="6"/>
        <v>20.088684674434781</v>
      </c>
    </row>
    <row r="27" spans="2:15" x14ac:dyDescent="0.3">
      <c r="B27" s="14" t="s">
        <v>107</v>
      </c>
      <c r="C27" s="22">
        <f>HistoricalFS!C6/HistoricalFS!C62</f>
        <v>99.443390514631687</v>
      </c>
      <c r="D27" s="22">
        <f>HistoricalFS!D6/HistoricalFS!D62</f>
        <v>104.25031879622546</v>
      </c>
      <c r="E27" s="22">
        <f>HistoricalFS!E6/HistoricalFS!E62</f>
        <v>93.345655059736544</v>
      </c>
      <c r="F27" s="22">
        <f>HistoricalFS!F6/HistoricalFS!F62</f>
        <v>112.50533887827358</v>
      </c>
      <c r="G27" s="22">
        <f>HistoricalFS!G6/HistoricalFS!G62</f>
        <v>90.635444257163499</v>
      </c>
      <c r="H27" s="22">
        <f>HistoricalFS!H6/HistoricalFS!H62</f>
        <v>99.484436580069172</v>
      </c>
      <c r="I27" s="22">
        <f>HistoricalFS!I6/HistoricalFS!I62</f>
        <v>80.943612441641903</v>
      </c>
      <c r="J27" s="22">
        <f>HistoricalFS!J6/HistoricalFS!J62</f>
        <v>88.814785804663501</v>
      </c>
      <c r="K27" s="22">
        <f>HistoricalFS!K6/HistoricalFS!K62</f>
        <v>88.055448433998649</v>
      </c>
      <c r="L27" s="22">
        <f>HistoricalFS!L6/HistoricalFS!L62</f>
        <v>94.418225798489416</v>
      </c>
      <c r="M27" s="14"/>
      <c r="N27" s="22">
        <f t="shared" si="3"/>
        <v>95.189665656489339</v>
      </c>
      <c r="O27" s="22">
        <f t="shared" ref="O27:O31" si="8">IFERROR(MEDIAN(C27:L27),0)</f>
        <v>93.881940429112973</v>
      </c>
    </row>
    <row r="28" spans="2:15" x14ac:dyDescent="0.3">
      <c r="B28" s="16" t="s">
        <v>111</v>
      </c>
      <c r="C28" s="23">
        <f>IFERROR(HistoricalFS!C6/HistoricalFS!C53,0)</f>
        <v>3.3262812550629155</v>
      </c>
      <c r="D28" s="23">
        <f>IFERROR(HistoricalFS!D6/HistoricalFS!D53,0)</f>
        <v>2.5148919022013314</v>
      </c>
      <c r="E28" s="23">
        <f>IFERROR(HistoricalFS!E6/HistoricalFS!E53,0)</f>
        <v>2.6155628930637658</v>
      </c>
      <c r="F28" s="23">
        <f>IFERROR(HistoricalFS!F6/HistoricalFS!F53,0)</f>
        <v>2.5620575090993789</v>
      </c>
      <c r="G28" s="23">
        <f>IFERROR(HistoricalFS!G6/HistoricalFS!G53,0)</f>
        <v>2.5786148154914144</v>
      </c>
      <c r="H28" s="23">
        <f>IFERROR(HistoricalFS!H6/HistoricalFS!H53,0)</f>
        <v>2.4419708872230328</v>
      </c>
      <c r="I28" s="23">
        <f>IFERROR(HistoricalFS!I6/HistoricalFS!I53,0)</f>
        <v>2.3286696087494989</v>
      </c>
      <c r="J28" s="23">
        <f>IFERROR(HistoricalFS!J6/HistoricalFS!J53,0)</f>
        <v>2.4480784018042647</v>
      </c>
      <c r="K28" s="23">
        <f>IFERROR(HistoricalFS!K6/HistoricalFS!K53,0)</f>
        <v>2.7039245965386738</v>
      </c>
      <c r="L28" s="23">
        <f>IFERROR(HistoricalFS!L6/HistoricalFS!L53,0)</f>
        <v>2.871842689273477</v>
      </c>
      <c r="M28" s="16"/>
      <c r="N28" s="23">
        <f t="shared" si="3"/>
        <v>2.6391894558507754</v>
      </c>
      <c r="O28" s="23">
        <f t="shared" si="8"/>
        <v>2.5703361622953969</v>
      </c>
    </row>
    <row r="29" spans="2:15" x14ac:dyDescent="0.3">
      <c r="B29" s="16" t="s">
        <v>108</v>
      </c>
      <c r="C29" s="23">
        <f>IFERROR(HistoricalFS!C6/HistoricalFS!C63,0)</f>
        <v>11.674967420921691</v>
      </c>
      <c r="D29" s="23">
        <f>IFERROR(HistoricalFS!D6/HistoricalFS!D63,0)</f>
        <v>9.9600516562907391</v>
      </c>
      <c r="E29" s="23">
        <f>IFERROR(HistoricalFS!E6/HistoricalFS!E63,0)</f>
        <v>9.724209093036615</v>
      </c>
      <c r="F29" s="23">
        <f>IFERROR(HistoricalFS!F6/HistoricalFS!F63,0)</f>
        <v>11.091338216228795</v>
      </c>
      <c r="G29" s="23">
        <f>IFERROR(HistoricalFS!G6/HistoricalFS!G63,0)</f>
        <v>11.695168556781111</v>
      </c>
      <c r="H29" s="23">
        <f>IFERROR(HistoricalFS!H6/HistoricalFS!H63,0)</f>
        <v>9.6400819908500708</v>
      </c>
      <c r="I29" s="23">
        <f>IFERROR(HistoricalFS!I6/HistoricalFS!I63,0)</f>
        <v>9.4247924432395802</v>
      </c>
      <c r="J29" s="23">
        <f>IFERROR(HistoricalFS!J6/HistoricalFS!J63,0)</f>
        <v>9.2553856779581203</v>
      </c>
      <c r="K29" s="23">
        <f>IFERROR(HistoricalFS!K6/HistoricalFS!K63,0)</f>
        <v>8.760484661208956</v>
      </c>
      <c r="L29" s="23">
        <f>IFERROR(HistoricalFS!L6/HistoricalFS!L63,0)</f>
        <v>10.210168369580304</v>
      </c>
      <c r="M29" s="16"/>
      <c r="N29" s="23">
        <f t="shared" si="3"/>
        <v>10.143664808609598</v>
      </c>
      <c r="O29" s="23">
        <f t="shared" si="8"/>
        <v>9.842130374663677</v>
      </c>
    </row>
    <row r="30" spans="2:15" x14ac:dyDescent="0.3">
      <c r="B30" s="16" t="s">
        <v>109</v>
      </c>
      <c r="C30" s="23">
        <f>IFERROR(HistoricalFS!C6/HistoricalFS!C56,0)</f>
        <v>3.1022841744736578</v>
      </c>
      <c r="D30" s="23">
        <f>IFERROR(HistoricalFS!D6/HistoricalFS!D56,0)</f>
        <v>2.8211639663888746</v>
      </c>
      <c r="E30" s="23">
        <f>IFERROR(HistoricalFS!E6/HistoricalFS!E56,0)</f>
        <v>3.3483044825540085</v>
      </c>
      <c r="F30" s="23">
        <f>IFERROR(HistoricalFS!F6/HistoricalFS!F56,0)</f>
        <v>3.8260364348018872</v>
      </c>
      <c r="G30" s="23">
        <f>IFERROR(HistoricalFS!G6/HistoricalFS!G56,0)</f>
        <v>4.7038973265239816</v>
      </c>
      <c r="H30" s="23">
        <f>IFERROR(HistoricalFS!H6/HistoricalFS!H56,0)</f>
        <v>5.2825813064554019</v>
      </c>
      <c r="I30" s="23">
        <f>IFERROR(HistoricalFS!I6/HistoricalFS!I56,0)</f>
        <v>6.125524797995789</v>
      </c>
      <c r="J30" s="23">
        <f>IFERROR(HistoricalFS!J6/HistoricalFS!J56,0)</f>
        <v>4.9222752423472365</v>
      </c>
      <c r="K30" s="23">
        <f>IFERROR(HistoricalFS!K6/HistoricalFS!K56,0)</f>
        <v>5.551453822650064</v>
      </c>
      <c r="L30" s="23">
        <f>IFERROR(HistoricalFS!L6/HistoricalFS!L56,0)</f>
        <v>5.756148503051679</v>
      </c>
      <c r="M30" s="16"/>
      <c r="N30" s="23">
        <f t="shared" si="3"/>
        <v>4.5439670057242578</v>
      </c>
      <c r="O30" s="23">
        <f t="shared" si="8"/>
        <v>4.8130862844356095</v>
      </c>
    </row>
    <row r="31" spans="2:15" x14ac:dyDescent="0.3">
      <c r="B31" s="18" t="s">
        <v>113</v>
      </c>
      <c r="C31" s="21">
        <f>IFERROR(HistoricalFS!C6/SUM(HistoricalFS!C50:C51),0)</f>
        <v>3.4734263589935184</v>
      </c>
      <c r="D31" s="21">
        <f>IFERROR(HistoricalFS!D6/SUM(HistoricalFS!D50:D51),0)</f>
        <v>2.901268347386651</v>
      </c>
      <c r="E31" s="21">
        <f>IFERROR(HistoricalFS!E6/SUM(HistoricalFS!E50:E51),0)</f>
        <v>2.7850155225099247</v>
      </c>
      <c r="F31" s="21">
        <f>IFERROR(HistoricalFS!F6/SUM(HistoricalFS!F50:F51),0)</f>
        <v>2.9262787998561652</v>
      </c>
      <c r="G31" s="21">
        <f>IFERROR(HistoricalFS!G6/SUM(HistoricalFS!G50:G51),0)</f>
        <v>3.0737803981773344</v>
      </c>
      <c r="H31" s="21">
        <f>IFERROR(HistoricalFS!H6/SUM(HistoricalFS!H50:H51),0)</f>
        <v>6.445929114530947</v>
      </c>
      <c r="I31" s="21">
        <f>IFERROR(HistoricalFS!I6/SUM(HistoricalFS!I50:I51),0)</f>
        <v>6.6110858003109927</v>
      </c>
      <c r="J31" s="21">
        <f>IFERROR(HistoricalFS!J6/SUM(HistoricalFS!J50:J51),0)</f>
        <v>7.5733361419661112</v>
      </c>
      <c r="K31" s="21">
        <f>IFERROR(HistoricalFS!K6/SUM(HistoricalFS!K50:K51),0)</f>
        <v>6.8710011914589062</v>
      </c>
      <c r="L31" s="21">
        <f>IFERROR(HistoricalFS!L6/SUM(HistoricalFS!L50:L51),0)</f>
        <v>6.1842373292377335</v>
      </c>
      <c r="M31" s="18"/>
      <c r="N31" s="21">
        <f t="shared" si="3"/>
        <v>4.8845359004428284</v>
      </c>
      <c r="O31" s="21">
        <f t="shared" si="8"/>
        <v>4.8288318441156264</v>
      </c>
    </row>
    <row r="33" spans="2:15" x14ac:dyDescent="0.3">
      <c r="B33" s="14" t="s">
        <v>110</v>
      </c>
      <c r="C33" s="24">
        <f>IFERROR(365/C27,0)</f>
        <v>3.6704299613184994</v>
      </c>
      <c r="D33" s="24">
        <f t="shared" ref="D33:L33" si="9">IFERROR(365/D27,0)</f>
        <v>3.5011883341426806</v>
      </c>
      <c r="E33" s="24">
        <f t="shared" si="9"/>
        <v>3.9101980672417831</v>
      </c>
      <c r="F33" s="24">
        <f t="shared" si="9"/>
        <v>3.2442904811381075</v>
      </c>
      <c r="G33" s="24">
        <f t="shared" si="9"/>
        <v>4.0271220932549436</v>
      </c>
      <c r="H33" s="24">
        <f t="shared" si="9"/>
        <v>3.6689155866730268</v>
      </c>
      <c r="I33" s="24">
        <f t="shared" si="9"/>
        <v>4.5093119640929649</v>
      </c>
      <c r="J33" s="24">
        <f t="shared" si="9"/>
        <v>4.1096760713105782</v>
      </c>
      <c r="K33" s="24">
        <f t="shared" si="9"/>
        <v>4.1451154527204892</v>
      </c>
      <c r="L33" s="24">
        <f t="shared" si="9"/>
        <v>3.8657790581555238</v>
      </c>
      <c r="M33" s="14"/>
      <c r="N33" s="24">
        <f t="shared" si="3"/>
        <v>3.8652027070048596</v>
      </c>
      <c r="O33" s="24">
        <f t="shared" ref="O33:O40" si="10">IFERROR(MEDIAN(C33:L33),0)</f>
        <v>3.8879885626986534</v>
      </c>
    </row>
    <row r="34" spans="2:15" x14ac:dyDescent="0.3">
      <c r="B34" s="16" t="s">
        <v>112</v>
      </c>
      <c r="C34" s="25">
        <f>IFERROR(365/C28,0)</f>
        <v>109.73215191723051</v>
      </c>
      <c r="D34" s="25">
        <f t="shared" ref="D34:L34" si="11">IFERROR(365/D28,0)</f>
        <v>145.13546275309437</v>
      </c>
      <c r="E34" s="25">
        <f t="shared" si="11"/>
        <v>139.54931115131916</v>
      </c>
      <c r="F34" s="25">
        <f t="shared" si="11"/>
        <v>142.46362492007674</v>
      </c>
      <c r="G34" s="25">
        <f t="shared" si="11"/>
        <v>141.54886484294121</v>
      </c>
      <c r="H34" s="25">
        <f t="shared" si="11"/>
        <v>149.46943139648636</v>
      </c>
      <c r="I34" s="25">
        <f t="shared" si="11"/>
        <v>156.7418575089344</v>
      </c>
      <c r="J34" s="25">
        <f t="shared" si="11"/>
        <v>149.09653209267742</v>
      </c>
      <c r="K34" s="25">
        <f t="shared" si="11"/>
        <v>134.98897138893625</v>
      </c>
      <c r="L34" s="25">
        <f t="shared" si="11"/>
        <v>127.09609804300884</v>
      </c>
      <c r="M34" s="16"/>
      <c r="N34" s="25">
        <f t="shared" si="3"/>
        <v>139.58223060147051</v>
      </c>
      <c r="O34" s="25">
        <f t="shared" si="10"/>
        <v>142.00624488150896</v>
      </c>
    </row>
    <row r="35" spans="2:15" x14ac:dyDescent="0.3">
      <c r="B35" s="16" t="s">
        <v>114</v>
      </c>
      <c r="C35" s="25">
        <f>IFERROR(365/C29,0)</f>
        <v>31.263470538334467</v>
      </c>
      <c r="D35" s="25">
        <f t="shared" ref="D35:L35" si="12">IFERROR(365/D29,0)</f>
        <v>36.646396283443678</v>
      </c>
      <c r="E35" s="25">
        <f t="shared" si="12"/>
        <v>37.535186307477893</v>
      </c>
      <c r="F35" s="25">
        <f t="shared" si="12"/>
        <v>32.908562779731454</v>
      </c>
      <c r="G35" s="25">
        <f t="shared" si="12"/>
        <v>31.209468955311905</v>
      </c>
      <c r="H35" s="25">
        <f t="shared" si="12"/>
        <v>37.862748506334434</v>
      </c>
      <c r="I35" s="25">
        <f t="shared" si="12"/>
        <v>38.727643308666721</v>
      </c>
      <c r="J35" s="25">
        <f t="shared" si="12"/>
        <v>39.436498132028639</v>
      </c>
      <c r="K35" s="25">
        <f t="shared" si="12"/>
        <v>41.664361518284949</v>
      </c>
      <c r="L35" s="25">
        <f t="shared" si="12"/>
        <v>35.748675906997171</v>
      </c>
      <c r="M35" s="16"/>
      <c r="N35" s="25">
        <f t="shared" si="3"/>
        <v>36.30030122366113</v>
      </c>
      <c r="O35" s="25">
        <f t="shared" si="10"/>
        <v>37.090791295460789</v>
      </c>
    </row>
    <row r="36" spans="2:15" x14ac:dyDescent="0.3">
      <c r="B36" s="18" t="s">
        <v>120</v>
      </c>
      <c r="C36" s="26">
        <f>SUM(C33,C35)-C34</f>
        <v>-74.798251417577546</v>
      </c>
      <c r="D36" s="26">
        <f t="shared" ref="D36:L36" si="13">SUM(D33,D35)-D34</f>
        <v>-104.98787813550801</v>
      </c>
      <c r="E36" s="26">
        <f t="shared" si="13"/>
        <v>-98.103926776599479</v>
      </c>
      <c r="F36" s="26">
        <f t="shared" si="13"/>
        <v>-106.31077165920718</v>
      </c>
      <c r="G36" s="26">
        <f t="shared" si="13"/>
        <v>-106.31227379437436</v>
      </c>
      <c r="H36" s="26">
        <f t="shared" si="13"/>
        <v>-107.93776730347889</v>
      </c>
      <c r="I36" s="26">
        <f t="shared" si="13"/>
        <v>-113.50490223617471</v>
      </c>
      <c r="J36" s="26">
        <f t="shared" si="13"/>
        <v>-105.5503578893382</v>
      </c>
      <c r="K36" s="26">
        <f t="shared" si="13"/>
        <v>-89.179494417930812</v>
      </c>
      <c r="L36" s="26">
        <f t="shared" si="13"/>
        <v>-87.481643077856148</v>
      </c>
      <c r="M36" s="18"/>
      <c r="N36" s="26">
        <f t="shared" si="3"/>
        <v>-99.41672667080455</v>
      </c>
      <c r="O36" s="26">
        <f t="shared" si="10"/>
        <v>-105.26911801242311</v>
      </c>
    </row>
    <row r="38" spans="2:15" x14ac:dyDescent="0.3">
      <c r="B38" s="14" t="s">
        <v>117</v>
      </c>
      <c r="C38" s="15">
        <f>IFERROR(HistoricalFS!C82/HistoricalFS!C6,0)</f>
        <v>0.16692305506735777</v>
      </c>
      <c r="D38" s="15">
        <f>IFERROR(HistoricalFS!D82/HistoricalFS!D6,0)</f>
        <v>0.13442915314526299</v>
      </c>
      <c r="E38" s="15">
        <f>IFERROR(HistoricalFS!E82/HistoricalFS!E6,0)</f>
        <v>0.16047975460928046</v>
      </c>
      <c r="F38" s="15">
        <f>IFERROR(HistoricalFS!F82/HistoricalFS!F6,0)</f>
        <v>0.18162563938618925</v>
      </c>
      <c r="G38" s="15">
        <f>IFERROR(HistoricalFS!G82/HistoricalFS!G6,0)</f>
        <v>0.18180578395663582</v>
      </c>
      <c r="H38" s="15">
        <f>IFERROR(HistoricalFS!H82/HistoricalFS!H6,0)</f>
        <v>0.18546515858322082</v>
      </c>
      <c r="I38" s="15">
        <f>IFERROR(HistoricalFS!I82/HistoricalFS!I6,0)</f>
        <v>0.18389471783958536</v>
      </c>
      <c r="J38" s="15">
        <f>IFERROR(HistoricalFS!J82/HistoricalFS!J6,0)</f>
        <v>0.15155431363330776</v>
      </c>
      <c r="K38" s="15">
        <f>IFERROR(HistoricalFS!K82/HistoricalFS!K6,0)</f>
        <v>0.16198180027649944</v>
      </c>
      <c r="L38" s="15">
        <f>IFERROR(HistoricalFS!L82/HistoricalFS!L6,0)</f>
        <v>0.17739970616376405</v>
      </c>
      <c r="M38" s="14"/>
      <c r="N38" s="15">
        <f t="shared" si="3"/>
        <v>0.16855590826611036</v>
      </c>
      <c r="O38" s="15">
        <f t="shared" si="10"/>
        <v>0.17216138061556091</v>
      </c>
    </row>
    <row r="39" spans="2:15" x14ac:dyDescent="0.3">
      <c r="B39" s="16" t="s">
        <v>118</v>
      </c>
      <c r="C39" s="17">
        <f>IFERROR(HistoricalFS!C82/HistoricalFS!C67,0)</f>
        <v>0.28267033250279233</v>
      </c>
      <c r="D39" s="17">
        <f>IFERROR(HistoricalFS!D82/HistoricalFS!D67,0)</f>
        <v>0.18056858566656755</v>
      </c>
      <c r="E39" s="17">
        <f>IFERROR(HistoricalFS!E82/HistoricalFS!E67,0)</f>
        <v>0.21540395215594835</v>
      </c>
      <c r="F39" s="17">
        <f>IFERROR(HistoricalFS!F82/HistoricalFS!F67,0)</f>
        <v>0.24692397648110243</v>
      </c>
      <c r="G39" s="17">
        <f>IFERROR(HistoricalFS!G82/HistoricalFS!G67,0)</f>
        <v>0.25383032808775385</v>
      </c>
      <c r="H39" s="17">
        <f>IFERROR(HistoricalFS!H82/HistoricalFS!H67,0)</f>
        <v>0.31981307525226754</v>
      </c>
      <c r="I39" s="17">
        <f>IFERROR(HistoricalFS!I82/HistoricalFS!I67,0)</f>
        <v>0.31077011492797851</v>
      </c>
      <c r="J39" s="17">
        <f>IFERROR(HistoricalFS!J82/HistoricalFS!J67,0)</f>
        <v>0.27130978014677931</v>
      </c>
      <c r="K39" s="17">
        <f>IFERROR(HistoricalFS!K82/HistoricalFS!K67,0)</f>
        <v>0.30483119012244475</v>
      </c>
      <c r="L39" s="17">
        <f>IFERROR(HistoricalFS!L82/HistoricalFS!L67,0)</f>
        <v>0.33613395428459342</v>
      </c>
      <c r="M39" s="16"/>
      <c r="N39" s="17">
        <f t="shared" si="3"/>
        <v>0.27222552896282282</v>
      </c>
      <c r="O39" s="17">
        <f t="shared" si="10"/>
        <v>0.27699005632478579</v>
      </c>
    </row>
    <row r="40" spans="2:15" x14ac:dyDescent="0.3">
      <c r="B40" s="18" t="s">
        <v>119</v>
      </c>
      <c r="C40" s="19">
        <f>IFERROR(HistoricalFS!C82/HistoricalFS!C52,0)</f>
        <v>84.057230454777724</v>
      </c>
      <c r="D40" s="19">
        <f>IFERROR(HistoricalFS!D82/HistoricalFS!D52,0)</f>
        <v>61.985335589396499</v>
      </c>
      <c r="E40" s="19">
        <f>IFERROR(HistoricalFS!E82/HistoricalFS!E52,0)</f>
        <v>44.25339366515837</v>
      </c>
      <c r="F40" s="19">
        <f>IFERROR(HistoricalFS!F82/HistoricalFS!F52,0)</f>
        <v>51.735913488901538</v>
      </c>
      <c r="G40" s="19">
        <f>IFERROR(HistoricalFS!G82/HistoricalFS!G52,0)</f>
        <v>58.423449060899259</v>
      </c>
      <c r="H40" s="19">
        <f>IFERROR(HistoricalFS!H82/HistoricalFS!H52,0)</f>
        <v>12.141420556790516</v>
      </c>
      <c r="I40" s="19">
        <f>IFERROR(HistoricalFS!I82/HistoricalFS!I52,0)</f>
        <v>16.645196284493863</v>
      </c>
      <c r="J40" s="19">
        <f>IFERROR(HistoricalFS!J82/HistoricalFS!J52,0)</f>
        <v>8.3839975981385582</v>
      </c>
      <c r="K40" s="19">
        <f>IFERROR(HistoricalFS!K82/HistoricalFS!K52,0)</f>
        <v>10.117551382522549</v>
      </c>
      <c r="L40" s="19">
        <f>IFERROR(HistoricalFS!L82/HistoricalFS!L52,0)</f>
        <v>9.9355783308931187</v>
      </c>
      <c r="M40" s="18"/>
      <c r="N40" s="19">
        <f t="shared" si="3"/>
        <v>35.7679066411972</v>
      </c>
      <c r="O40" s="19">
        <f t="shared" si="10"/>
        <v>30.449294974826117</v>
      </c>
    </row>
  </sheetData>
  <mergeCells count="1">
    <mergeCell ref="B2:O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FDF8D94-77CE-4F06-9AC2-82F982CD923E}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  <x14:sparkline>
              <xm:f>'Ratio Analysis'!C38:L38</xm:f>
              <xm:sqref>M38</xm:sqref>
            </x14:sparkline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</x14:sparklines>
        </x14:sparklineGroup>
        <x14:sparklineGroup displayEmptyCellsAs="gap" markers="1" xr2:uid="{9C5CC07B-4CC3-4A4B-BDE8-15B6C284CC38}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Analysis'!D5:L5</xm:f>
              <xm:sqref>M5</xm:sqref>
            </x14:sparkline>
            <x14:sparkline>
              <xm:f>'Ratio Analysis'!D6:L6</xm:f>
              <xm:sqref>M6</xm:sqref>
            </x14:sparkline>
            <x14:sparkline>
              <xm:f>'Ratio Analysis'!D7:L7</xm:f>
              <xm:sqref>M7</xm:sqref>
            </x14:sparkline>
            <x14:sparkline>
              <xm:f>'Ratio Analysis'!D8:L8</xm:f>
              <xm:sqref>M8</xm:sqref>
            </x14:sparkline>
            <x14:sparkline>
              <xm:f>'Ratio Analysis'!D9:L9</xm:f>
              <xm:sqref>M9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1756-B79B-4F5E-9716-7DC31C17C861}">
  <sheetPr>
    <tabColor theme="4" tint="0.39997558519241921"/>
  </sheetPr>
  <dimension ref="B2:E18"/>
  <sheetViews>
    <sheetView showGridLines="0" workbookViewId="0">
      <selection activeCell="J24" sqref="J24"/>
    </sheetView>
  </sheetViews>
  <sheetFormatPr defaultRowHeight="14.4" x14ac:dyDescent="0.3"/>
  <cols>
    <col min="1" max="1" width="1.77734375" customWidth="1"/>
    <col min="5" max="5" width="8.77734375" customWidth="1"/>
  </cols>
  <sheetData>
    <row r="2" spans="2:5" x14ac:dyDescent="0.3">
      <c r="B2" s="102" t="str">
        <f>'Data Sheet'!B1&amp;" - "&amp;"Sales Forecasting"</f>
        <v>NESTLE INDIA LTD - Sales Forecasting</v>
      </c>
      <c r="C2" s="102"/>
      <c r="D2" s="102"/>
      <c r="E2" s="102"/>
    </row>
    <row r="3" spans="2:5" x14ac:dyDescent="0.3">
      <c r="B3" s="65" t="s">
        <v>153</v>
      </c>
      <c r="C3" s="65" t="s">
        <v>154</v>
      </c>
      <c r="D3" s="65" t="s">
        <v>12</v>
      </c>
      <c r="E3" s="65" t="s">
        <v>60</v>
      </c>
    </row>
    <row r="4" spans="2:5" x14ac:dyDescent="0.3">
      <c r="B4" s="16">
        <v>1</v>
      </c>
      <c r="C4" s="70">
        <v>2014</v>
      </c>
      <c r="D4" s="71">
        <v>9854.84</v>
      </c>
      <c r="E4" s="16"/>
    </row>
    <row r="5" spans="2:5" x14ac:dyDescent="0.3">
      <c r="B5" s="16">
        <f>B4+1</f>
        <v>2</v>
      </c>
      <c r="C5" s="70">
        <f>C4+1</f>
        <v>2015</v>
      </c>
      <c r="D5" s="71">
        <v>8175.31</v>
      </c>
      <c r="E5" s="17">
        <f>IFERROR(D5/D4-1,0)</f>
        <v>-0.17042691712904523</v>
      </c>
    </row>
    <row r="6" spans="2:5" x14ac:dyDescent="0.3">
      <c r="B6" s="16">
        <f t="shared" ref="B6:B13" si="0">B5+1</f>
        <v>3</v>
      </c>
      <c r="C6" s="70">
        <f t="shared" ref="C6:C13" si="1">C5+1</f>
        <v>2016</v>
      </c>
      <c r="D6" s="71">
        <v>9141.34</v>
      </c>
      <c r="E6" s="17">
        <f t="shared" ref="E6:E18" si="2">IFERROR(D6/D5-1,0)</f>
        <v>0.11816432649037156</v>
      </c>
    </row>
    <row r="7" spans="2:5" x14ac:dyDescent="0.3">
      <c r="B7" s="16">
        <f t="shared" si="0"/>
        <v>4</v>
      </c>
      <c r="C7" s="70">
        <f t="shared" si="1"/>
        <v>2017</v>
      </c>
      <c r="D7" s="71">
        <v>10009.6</v>
      </c>
      <c r="E7" s="17">
        <f t="shared" si="2"/>
        <v>9.4981698525599123E-2</v>
      </c>
    </row>
    <row r="8" spans="2:5" x14ac:dyDescent="0.3">
      <c r="B8" s="16">
        <f t="shared" si="0"/>
        <v>5</v>
      </c>
      <c r="C8" s="70">
        <f t="shared" si="1"/>
        <v>2018</v>
      </c>
      <c r="D8" s="71">
        <v>11292.27</v>
      </c>
      <c r="E8" s="17">
        <f t="shared" si="2"/>
        <v>0.12814398177749364</v>
      </c>
    </row>
    <row r="9" spans="2:5" x14ac:dyDescent="0.3">
      <c r="B9" s="16">
        <f t="shared" si="0"/>
        <v>6</v>
      </c>
      <c r="C9" s="70">
        <f t="shared" si="1"/>
        <v>2019</v>
      </c>
      <c r="D9" s="71">
        <v>12368.9</v>
      </c>
      <c r="E9" s="17">
        <f t="shared" si="2"/>
        <v>9.5342211973323376E-2</v>
      </c>
    </row>
    <row r="10" spans="2:5" x14ac:dyDescent="0.3">
      <c r="B10" s="16">
        <f t="shared" si="0"/>
        <v>7</v>
      </c>
      <c r="C10" s="70">
        <f t="shared" si="1"/>
        <v>2020</v>
      </c>
      <c r="D10" s="71">
        <v>13350.03</v>
      </c>
      <c r="E10" s="17">
        <f t="shared" si="2"/>
        <v>7.932233262456645E-2</v>
      </c>
    </row>
    <row r="11" spans="2:5" x14ac:dyDescent="0.3">
      <c r="B11" s="16">
        <f t="shared" si="0"/>
        <v>8</v>
      </c>
      <c r="C11" s="70">
        <f t="shared" si="1"/>
        <v>2021</v>
      </c>
      <c r="D11" s="71">
        <v>14740.59</v>
      </c>
      <c r="E11" s="17">
        <f t="shared" si="2"/>
        <v>0.10416156368187934</v>
      </c>
    </row>
    <row r="12" spans="2:5" x14ac:dyDescent="0.3">
      <c r="B12" s="16">
        <f t="shared" si="0"/>
        <v>9</v>
      </c>
      <c r="C12" s="70">
        <f t="shared" si="1"/>
        <v>2022</v>
      </c>
      <c r="D12" s="71">
        <v>16896.96</v>
      </c>
      <c r="E12" s="17">
        <f t="shared" si="2"/>
        <v>0.14628790299438488</v>
      </c>
    </row>
    <row r="13" spans="2:5" x14ac:dyDescent="0.3">
      <c r="B13" s="16">
        <f t="shared" si="0"/>
        <v>10</v>
      </c>
      <c r="C13" s="70">
        <f t="shared" si="1"/>
        <v>2023</v>
      </c>
      <c r="D13" s="71">
        <v>19126.3</v>
      </c>
      <c r="E13" s="17">
        <f t="shared" si="2"/>
        <v>0.13193734257523237</v>
      </c>
    </row>
    <row r="14" spans="2:5" x14ac:dyDescent="0.3">
      <c r="B14" s="72">
        <f>B13+1</f>
        <v>11</v>
      </c>
      <c r="C14" s="73">
        <f>C13+1</f>
        <v>2024</v>
      </c>
      <c r="D14" s="72">
        <f>IFERROR(FORECAST(B14,$D$4:$D$13,$B$4:$B$13),0)</f>
        <v>18615.242666666665</v>
      </c>
      <c r="E14" s="74">
        <f t="shared" si="2"/>
        <v>-2.6720135799048084E-2</v>
      </c>
    </row>
    <row r="15" spans="2:5" x14ac:dyDescent="0.3">
      <c r="B15" s="72">
        <f t="shared" ref="B15:B18" si="3">B14+1</f>
        <v>12</v>
      </c>
      <c r="C15" s="73">
        <f t="shared" ref="C15:C18" si="4">C14+1</f>
        <v>2025</v>
      </c>
      <c r="D15" s="72">
        <f t="shared" ref="D15:D18" si="5">IFERROR(FORECAST(B15,$D$4:$D$13,$B$4:$B$13),0)</f>
        <v>19727.902424242424</v>
      </c>
      <c r="E15" s="74">
        <f t="shared" si="2"/>
        <v>5.9771434490517805E-2</v>
      </c>
    </row>
    <row r="16" spans="2:5" x14ac:dyDescent="0.3">
      <c r="B16" s="72">
        <f t="shared" si="3"/>
        <v>13</v>
      </c>
      <c r="C16" s="73">
        <f t="shared" si="4"/>
        <v>2026</v>
      </c>
      <c r="D16" s="72">
        <f t="shared" si="5"/>
        <v>20840.562181818183</v>
      </c>
      <c r="E16" s="74">
        <f t="shared" si="2"/>
        <v>5.6400307222144397E-2</v>
      </c>
    </row>
    <row r="17" spans="2:5" x14ac:dyDescent="0.3">
      <c r="B17" s="72">
        <f t="shared" si="3"/>
        <v>14</v>
      </c>
      <c r="C17" s="73">
        <f t="shared" si="4"/>
        <v>2027</v>
      </c>
      <c r="D17" s="72">
        <f t="shared" si="5"/>
        <v>21953.221939393938</v>
      </c>
      <c r="E17" s="74">
        <f t="shared" si="2"/>
        <v>5.3389143146362228E-2</v>
      </c>
    </row>
    <row r="18" spans="2:5" x14ac:dyDescent="0.3">
      <c r="B18" s="75">
        <f t="shared" si="3"/>
        <v>15</v>
      </c>
      <c r="C18" s="76">
        <f t="shared" si="4"/>
        <v>2028</v>
      </c>
      <c r="D18" s="75">
        <f t="shared" si="5"/>
        <v>23065.881696969696</v>
      </c>
      <c r="E18" s="77">
        <f t="shared" si="2"/>
        <v>5.0683209992932632E-2</v>
      </c>
    </row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07E1-B415-4DF3-BBDC-F80C4BDD75BF}">
  <sheetPr>
    <tabColor theme="4" tint="0.39997558519241921"/>
  </sheetPr>
  <dimension ref="B2:O32"/>
  <sheetViews>
    <sheetView showGridLines="0" workbookViewId="0">
      <selection activeCell="H13" sqref="H13"/>
    </sheetView>
  </sheetViews>
  <sheetFormatPr defaultRowHeight="14.4" x14ac:dyDescent="0.3"/>
  <cols>
    <col min="2" max="2" width="4.6640625" bestFit="1" customWidth="1"/>
    <col min="3" max="3" width="6.77734375" bestFit="1" customWidth="1"/>
    <col min="4" max="4" width="9" bestFit="1" customWidth="1"/>
    <col min="5" max="5" width="11.6640625" bestFit="1" customWidth="1"/>
  </cols>
  <sheetData>
    <row r="2" spans="2:7" x14ac:dyDescent="0.3">
      <c r="B2" s="102" t="str">
        <f>'Data Sheet'!B1&amp;" - "&amp;"Sales Forecasting"</f>
        <v>NESTLE INDIA LTD - Sales Forecasting</v>
      </c>
      <c r="C2" s="102"/>
      <c r="D2" s="102"/>
      <c r="E2" s="102"/>
    </row>
    <row r="3" spans="2:7" x14ac:dyDescent="0.3">
      <c r="B3" s="65" t="s">
        <v>153</v>
      </c>
      <c r="C3" s="65" t="s">
        <v>154</v>
      </c>
      <c r="D3" s="65" t="s">
        <v>12</v>
      </c>
      <c r="E3" s="65" t="s">
        <v>60</v>
      </c>
    </row>
    <row r="4" spans="2:7" x14ac:dyDescent="0.3">
      <c r="B4" s="16">
        <v>1</v>
      </c>
      <c r="C4" s="70">
        <v>2014</v>
      </c>
      <c r="D4" s="71">
        <v>9854.84</v>
      </c>
      <c r="E4" s="16"/>
    </row>
    <row r="5" spans="2:7" x14ac:dyDescent="0.3">
      <c r="B5" s="16">
        <f>B4+1</f>
        <v>2</v>
      </c>
      <c r="C5" s="70">
        <f>C4+1</f>
        <v>2015</v>
      </c>
      <c r="D5" s="71">
        <v>8175.31</v>
      </c>
      <c r="E5" s="17">
        <f>IFERROR(D5/D4-1,0)</f>
        <v>-0.17042691712904523</v>
      </c>
    </row>
    <row r="6" spans="2:7" x14ac:dyDescent="0.3">
      <c r="B6" s="16">
        <f t="shared" ref="B6:C13" si="0">B5+1</f>
        <v>3</v>
      </c>
      <c r="C6" s="70">
        <f t="shared" si="0"/>
        <v>2016</v>
      </c>
      <c r="D6" s="71">
        <v>9141.34</v>
      </c>
      <c r="E6" s="17">
        <f t="shared" ref="E6:E18" si="1">IFERROR(D6/D5-1,0)</f>
        <v>0.11816432649037156</v>
      </c>
    </row>
    <row r="7" spans="2:7" x14ac:dyDescent="0.3">
      <c r="B7" s="16">
        <f t="shared" si="0"/>
        <v>4</v>
      </c>
      <c r="C7" s="70">
        <f t="shared" si="0"/>
        <v>2017</v>
      </c>
      <c r="D7" s="71">
        <v>10009.6</v>
      </c>
      <c r="E7" s="17">
        <f t="shared" si="1"/>
        <v>9.4981698525599123E-2</v>
      </c>
    </row>
    <row r="8" spans="2:7" x14ac:dyDescent="0.3">
      <c r="B8" s="16">
        <f t="shared" si="0"/>
        <v>5</v>
      </c>
      <c r="C8" s="70">
        <f t="shared" si="0"/>
        <v>2018</v>
      </c>
      <c r="D8" s="71">
        <v>11292.27</v>
      </c>
      <c r="E8" s="17">
        <f t="shared" si="1"/>
        <v>0.12814398177749364</v>
      </c>
    </row>
    <row r="9" spans="2:7" x14ac:dyDescent="0.3">
      <c r="B9" s="16">
        <f t="shared" si="0"/>
        <v>6</v>
      </c>
      <c r="C9" s="70">
        <f t="shared" si="0"/>
        <v>2019</v>
      </c>
      <c r="D9" s="71">
        <v>12368.9</v>
      </c>
      <c r="E9" s="17">
        <f t="shared" si="1"/>
        <v>9.5342211973323376E-2</v>
      </c>
    </row>
    <row r="10" spans="2:7" x14ac:dyDescent="0.3">
      <c r="B10" s="16">
        <f t="shared" si="0"/>
        <v>7</v>
      </c>
      <c r="C10" s="70">
        <f t="shared" si="0"/>
        <v>2020</v>
      </c>
      <c r="D10" s="71">
        <v>13350.03</v>
      </c>
      <c r="E10" s="17">
        <f t="shared" si="1"/>
        <v>7.932233262456645E-2</v>
      </c>
    </row>
    <row r="11" spans="2:7" x14ac:dyDescent="0.3">
      <c r="B11" s="16">
        <f t="shared" si="0"/>
        <v>8</v>
      </c>
      <c r="C11" s="70">
        <f t="shared" si="0"/>
        <v>2021</v>
      </c>
      <c r="D11" s="71">
        <v>14740.59</v>
      </c>
      <c r="E11" s="17">
        <f t="shared" si="1"/>
        <v>0.10416156368187934</v>
      </c>
    </row>
    <row r="12" spans="2:7" x14ac:dyDescent="0.3">
      <c r="B12" s="16">
        <f t="shared" si="0"/>
        <v>9</v>
      </c>
      <c r="C12" s="70">
        <f t="shared" si="0"/>
        <v>2022</v>
      </c>
      <c r="D12" s="71">
        <v>16896.96</v>
      </c>
      <c r="E12" s="17">
        <f t="shared" si="1"/>
        <v>0.14628790299438488</v>
      </c>
    </row>
    <row r="13" spans="2:7" x14ac:dyDescent="0.3">
      <c r="B13" s="16">
        <f t="shared" si="0"/>
        <v>10</v>
      </c>
      <c r="C13" s="70">
        <f t="shared" si="0"/>
        <v>2023</v>
      </c>
      <c r="D13" s="71">
        <v>19126.3</v>
      </c>
      <c r="E13" s="17">
        <f t="shared" si="1"/>
        <v>0.13193734257523237</v>
      </c>
    </row>
    <row r="14" spans="2:7" x14ac:dyDescent="0.3">
      <c r="B14" s="72">
        <f t="shared" ref="B14:C14" si="2">B13+1</f>
        <v>11</v>
      </c>
      <c r="C14" s="80">
        <f t="shared" si="2"/>
        <v>2024</v>
      </c>
      <c r="D14" s="72">
        <f>$H$31+B14*$H$32</f>
        <v>18615.242666666669</v>
      </c>
      <c r="E14" s="74">
        <f t="shared" si="1"/>
        <v>-2.6720135799047973E-2</v>
      </c>
    </row>
    <row r="15" spans="2:7" x14ac:dyDescent="0.3">
      <c r="B15" s="72">
        <f t="shared" ref="B15:C15" si="3">B14+1</f>
        <v>12</v>
      </c>
      <c r="C15" s="80">
        <f t="shared" si="3"/>
        <v>2025</v>
      </c>
      <c r="D15" s="72">
        <f t="shared" ref="D15:D18" si="4">$H$31+B15*$H$32</f>
        <v>19727.902424242428</v>
      </c>
      <c r="E15" s="74">
        <f t="shared" si="1"/>
        <v>5.9771434490517805E-2</v>
      </c>
      <c r="G15" t="s">
        <v>155</v>
      </c>
    </row>
    <row r="16" spans="2:7" ht="15" thickBot="1" x14ac:dyDescent="0.35">
      <c r="B16" s="72">
        <f t="shared" ref="B16:C16" si="5">B15+1</f>
        <v>13</v>
      </c>
      <c r="C16" s="80">
        <f t="shared" si="5"/>
        <v>2026</v>
      </c>
      <c r="D16" s="72">
        <f t="shared" si="4"/>
        <v>20840.562181818183</v>
      </c>
      <c r="E16" s="74">
        <f t="shared" si="1"/>
        <v>5.6400307222144175E-2</v>
      </c>
    </row>
    <row r="17" spans="2:15" x14ac:dyDescent="0.3">
      <c r="B17" s="72">
        <f t="shared" ref="B17:C17" si="6">B16+1</f>
        <v>14</v>
      </c>
      <c r="C17" s="80">
        <f t="shared" si="6"/>
        <v>2027</v>
      </c>
      <c r="D17" s="72">
        <f t="shared" si="4"/>
        <v>21953.221939393945</v>
      </c>
      <c r="E17" s="74">
        <f t="shared" si="1"/>
        <v>5.3389143146362672E-2</v>
      </c>
      <c r="G17" s="69" t="s">
        <v>156</v>
      </c>
      <c r="H17" s="69"/>
    </row>
    <row r="18" spans="2:15" x14ac:dyDescent="0.3">
      <c r="B18" s="75">
        <f t="shared" ref="B18:C18" si="7">B17+1</f>
        <v>15</v>
      </c>
      <c r="C18" s="105">
        <f t="shared" si="7"/>
        <v>2028</v>
      </c>
      <c r="D18" s="75">
        <f t="shared" si="4"/>
        <v>23065.8816969697</v>
      </c>
      <c r="E18" s="77">
        <f t="shared" si="1"/>
        <v>5.068320999293241E-2</v>
      </c>
      <c r="G18" s="66" t="s">
        <v>157</v>
      </c>
      <c r="H18" s="66">
        <v>0.94802522626164865</v>
      </c>
    </row>
    <row r="19" spans="2:15" x14ac:dyDescent="0.3">
      <c r="G19" s="66" t="s">
        <v>158</v>
      </c>
      <c r="H19" s="66">
        <v>0.89875182962845002</v>
      </c>
    </row>
    <row r="20" spans="2:15" x14ac:dyDescent="0.3">
      <c r="G20" s="66" t="s">
        <v>159</v>
      </c>
      <c r="H20" s="66">
        <v>0.8860958083320063</v>
      </c>
    </row>
    <row r="21" spans="2:15" x14ac:dyDescent="0.3">
      <c r="G21" s="66" t="s">
        <v>160</v>
      </c>
      <c r="H21" s="66">
        <v>1199.2730100062258</v>
      </c>
    </row>
    <row r="22" spans="2:15" ht="15" thickBot="1" x14ac:dyDescent="0.35">
      <c r="G22" s="67" t="s">
        <v>161</v>
      </c>
      <c r="H22" s="67">
        <v>10</v>
      </c>
    </row>
    <row r="24" spans="2:15" ht="15" thickBot="1" x14ac:dyDescent="0.35">
      <c r="G24" t="s">
        <v>162</v>
      </c>
    </row>
    <row r="25" spans="2:15" x14ac:dyDescent="0.3">
      <c r="G25" s="68"/>
      <c r="H25" s="68" t="s">
        <v>166</v>
      </c>
      <c r="I25" s="68" t="s">
        <v>167</v>
      </c>
      <c r="J25" s="68" t="s">
        <v>168</v>
      </c>
      <c r="K25" s="68" t="s">
        <v>169</v>
      </c>
      <c r="L25" s="68" t="s">
        <v>170</v>
      </c>
    </row>
    <row r="26" spans="2:15" x14ac:dyDescent="0.3">
      <c r="G26" s="66" t="s">
        <v>163</v>
      </c>
      <c r="H26" s="66">
        <v>1</v>
      </c>
      <c r="I26" s="66">
        <v>102135968.23060483</v>
      </c>
      <c r="J26" s="66">
        <v>102135968.23060483</v>
      </c>
      <c r="K26" s="66">
        <v>71.013773489856078</v>
      </c>
      <c r="L26" s="66">
        <v>2.9977860511811165E-5</v>
      </c>
    </row>
    <row r="27" spans="2:15" x14ac:dyDescent="0.3">
      <c r="G27" s="66" t="s">
        <v>164</v>
      </c>
      <c r="H27" s="66">
        <v>8</v>
      </c>
      <c r="I27" s="66">
        <v>11506046.020235145</v>
      </c>
      <c r="J27" s="66">
        <v>1438255.7525293932</v>
      </c>
      <c r="K27" s="66"/>
      <c r="L27" s="66"/>
    </row>
    <row r="28" spans="2:15" ht="15" thickBot="1" x14ac:dyDescent="0.35">
      <c r="G28" s="67" t="s">
        <v>37</v>
      </c>
      <c r="H28" s="67">
        <v>9</v>
      </c>
      <c r="I28" s="67">
        <v>113642014.25083998</v>
      </c>
      <c r="J28" s="67"/>
      <c r="K28" s="67"/>
      <c r="L28" s="67"/>
    </row>
    <row r="29" spans="2:15" ht="15" thickBot="1" x14ac:dyDescent="0.35"/>
    <row r="30" spans="2:15" x14ac:dyDescent="0.3">
      <c r="G30" s="68"/>
      <c r="H30" s="68" t="s">
        <v>171</v>
      </c>
      <c r="I30" s="68" t="s">
        <v>160</v>
      </c>
      <c r="J30" s="68" t="s">
        <v>172</v>
      </c>
      <c r="K30" s="68" t="s">
        <v>173</v>
      </c>
      <c r="L30" s="68" t="s">
        <v>174</v>
      </c>
      <c r="M30" s="68" t="s">
        <v>175</v>
      </c>
      <c r="N30" s="68" t="s">
        <v>176</v>
      </c>
      <c r="O30" s="68" t="s">
        <v>177</v>
      </c>
    </row>
    <row r="31" spans="2:15" x14ac:dyDescent="0.3">
      <c r="G31" s="66" t="s">
        <v>165</v>
      </c>
      <c r="H31" s="66">
        <v>6375.9853333333303</v>
      </c>
      <c r="I31" s="66">
        <v>819.25943256519804</v>
      </c>
      <c r="J31" s="66">
        <v>7.7826205959806494</v>
      </c>
      <c r="K31" s="66">
        <v>5.3216914420043354E-5</v>
      </c>
      <c r="L31" s="66">
        <v>4486.7696940329643</v>
      </c>
      <c r="M31" s="66">
        <v>8265.2009726336964</v>
      </c>
      <c r="N31" s="66">
        <v>4486.7696940329643</v>
      </c>
      <c r="O31" s="66">
        <v>8265.2009726336964</v>
      </c>
    </row>
    <row r="32" spans="2:15" ht="15" thickBot="1" x14ac:dyDescent="0.35">
      <c r="G32" s="67" t="s">
        <v>178</v>
      </c>
      <c r="H32" s="67">
        <v>1112.659757575758</v>
      </c>
      <c r="I32" s="67">
        <v>132.03561285108782</v>
      </c>
      <c r="J32" s="67">
        <v>8.4269670397988463</v>
      </c>
      <c r="K32" s="67">
        <v>2.9977860511811046E-5</v>
      </c>
      <c r="L32" s="67">
        <v>808.18508834693307</v>
      </c>
      <c r="M32" s="67">
        <v>1417.134426804583</v>
      </c>
      <c r="N32" s="67">
        <v>808.18508834693307</v>
      </c>
      <c r="O32" s="67">
        <v>1417.134426804583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604E-E8E4-4056-A6E0-7739FA5820B5}">
  <sheetPr>
    <tabColor theme="4" tint="0.39997558519241921"/>
  </sheetPr>
  <dimension ref="B2:Q18"/>
  <sheetViews>
    <sheetView showGridLines="0" tabSelected="1" workbookViewId="0">
      <selection activeCell="L17" sqref="L17"/>
    </sheetView>
  </sheetViews>
  <sheetFormatPr defaultRowHeight="14.4" x14ac:dyDescent="0.3"/>
  <cols>
    <col min="1" max="1" width="1.77734375" customWidth="1"/>
    <col min="4" max="4" width="10.44140625" bestFit="1" customWidth="1"/>
    <col min="5" max="5" width="14.21875" customWidth="1"/>
    <col min="10" max="10" width="9.44140625" bestFit="1" customWidth="1"/>
    <col min="11" max="11" width="14.77734375" customWidth="1"/>
    <col min="16" max="16" width="9.33203125" bestFit="1" customWidth="1"/>
    <col min="17" max="17" width="13.21875" customWidth="1"/>
  </cols>
  <sheetData>
    <row r="2" spans="2:17" x14ac:dyDescent="0.3">
      <c r="B2" s="102" t="str">
        <f>'Data Sheet'!$B$1&amp;" - "&amp;"Sales Forecasting"</f>
        <v>NESTLE INDIA LTD - Sales Forecasting</v>
      </c>
      <c r="C2" s="102"/>
      <c r="D2" s="102"/>
      <c r="E2" s="102"/>
      <c r="H2" s="102" t="str">
        <f>'Data Sheet'!$B$1&amp;" - "&amp;"EBITDA Forecasting"</f>
        <v>NESTLE INDIA LTD - EBITDA Forecasting</v>
      </c>
      <c r="I2" s="102"/>
      <c r="J2" s="102"/>
      <c r="K2" s="102"/>
      <c r="N2" s="102" t="str">
        <f>'Data Sheet'!$B$1&amp;" - "&amp;"EPS Forecasting"</f>
        <v>NESTLE INDIA LTD - EPS Forecasting</v>
      </c>
      <c r="O2" s="102"/>
      <c r="P2" s="102"/>
      <c r="Q2" s="102"/>
    </row>
    <row r="3" spans="2:17" x14ac:dyDescent="0.3">
      <c r="B3" s="65" t="s">
        <v>153</v>
      </c>
      <c r="C3" s="65" t="s">
        <v>154</v>
      </c>
      <c r="D3" s="65" t="s">
        <v>12</v>
      </c>
      <c r="E3" s="65" t="s">
        <v>60</v>
      </c>
      <c r="H3" s="65" t="s">
        <v>153</v>
      </c>
      <c r="I3" s="65" t="s">
        <v>154</v>
      </c>
      <c r="J3" s="65" t="s">
        <v>28</v>
      </c>
      <c r="K3" s="65" t="s">
        <v>102</v>
      </c>
      <c r="N3" s="65" t="s">
        <v>153</v>
      </c>
      <c r="O3" s="65" t="s">
        <v>154</v>
      </c>
      <c r="P3" s="65" t="s">
        <v>179</v>
      </c>
      <c r="Q3" s="65" t="s">
        <v>180</v>
      </c>
    </row>
    <row r="4" spans="2:17" x14ac:dyDescent="0.3">
      <c r="B4" s="16">
        <v>1</v>
      </c>
      <c r="C4" s="70">
        <v>2014</v>
      </c>
      <c r="D4" s="78">
        <v>9854.84</v>
      </c>
      <c r="E4" s="16"/>
      <c r="H4" s="16">
        <v>1</v>
      </c>
      <c r="I4" s="70">
        <v>2014</v>
      </c>
      <c r="J4" s="78">
        <v>2039.2500000000002</v>
      </c>
      <c r="K4" s="16"/>
      <c r="N4" s="16">
        <v>1</v>
      </c>
      <c r="O4" s="70">
        <v>2014</v>
      </c>
      <c r="P4" s="78">
        <v>11.385812072184196</v>
      </c>
      <c r="Q4" s="16"/>
    </row>
    <row r="5" spans="2:17" x14ac:dyDescent="0.3">
      <c r="B5" s="16">
        <f>B4+1</f>
        <v>2</v>
      </c>
      <c r="C5" s="70">
        <f>C4+1</f>
        <v>2015</v>
      </c>
      <c r="D5" s="78">
        <v>8175.31</v>
      </c>
      <c r="E5" s="17">
        <f>IFERROR(D5/D4-1,0)</f>
        <v>-0.17042691712904523</v>
      </c>
      <c r="H5" s="16">
        <f>H4+1</f>
        <v>2</v>
      </c>
      <c r="I5" s="70">
        <f>I4+1</f>
        <v>2015</v>
      </c>
      <c r="J5" s="78">
        <v>1554.93</v>
      </c>
      <c r="K5" s="17">
        <f>IFERROR(J5/J4-1,0)</f>
        <v>-0.23749908054431779</v>
      </c>
      <c r="N5" s="16">
        <f>N4+1</f>
        <v>2</v>
      </c>
      <c r="O5" s="70">
        <f>O4+1</f>
        <v>2015</v>
      </c>
      <c r="P5" s="78">
        <v>9.8944202447624985</v>
      </c>
      <c r="Q5" s="17">
        <f>IFERROR(P5/P4-1,0)</f>
        <v>-0.13098686487766664</v>
      </c>
    </row>
    <row r="6" spans="2:17" x14ac:dyDescent="0.3">
      <c r="B6" s="16">
        <f t="shared" ref="B6:C13" si="0">B5+1</f>
        <v>3</v>
      </c>
      <c r="C6" s="70">
        <f t="shared" si="0"/>
        <v>2016</v>
      </c>
      <c r="D6" s="78">
        <v>9141.34</v>
      </c>
      <c r="E6" s="17">
        <f t="shared" ref="E6:E18" si="1">IFERROR(D6/D5-1,0)</f>
        <v>0.11816432649037156</v>
      </c>
      <c r="H6" s="16">
        <f t="shared" ref="H6:H18" si="2">H5+1</f>
        <v>3</v>
      </c>
      <c r="I6" s="70">
        <f t="shared" ref="I6:I18" si="3">I5+1</f>
        <v>2016</v>
      </c>
      <c r="J6" s="78">
        <v>1849.8399999999997</v>
      </c>
      <c r="K6" s="17">
        <f t="shared" ref="K6:K18" si="4">IFERROR(J6/J5-1,0)</f>
        <v>0.1896612709253791</v>
      </c>
      <c r="N6" s="16">
        <f t="shared" ref="N6:N18" si="5">N5+1</f>
        <v>3</v>
      </c>
      <c r="O6" s="70">
        <f t="shared" ref="O6:O18" si="6">O5+1</f>
        <v>2016</v>
      </c>
      <c r="P6" s="78">
        <v>8.9321717485998704</v>
      </c>
      <c r="Q6" s="17">
        <f t="shared" ref="Q6:Q18" si="7">IFERROR(P6/P5-1,0)</f>
        <v>-9.725162994486547E-2</v>
      </c>
    </row>
    <row r="7" spans="2:17" x14ac:dyDescent="0.3">
      <c r="B7" s="16">
        <f t="shared" si="0"/>
        <v>4</v>
      </c>
      <c r="C7" s="70">
        <f t="shared" si="0"/>
        <v>2017</v>
      </c>
      <c r="D7" s="78">
        <v>10009.6</v>
      </c>
      <c r="E7" s="17">
        <f t="shared" si="1"/>
        <v>9.4981698525599123E-2</v>
      </c>
      <c r="H7" s="16">
        <f t="shared" si="2"/>
        <v>4</v>
      </c>
      <c r="I7" s="70">
        <f t="shared" si="3"/>
        <v>2017</v>
      </c>
      <c r="J7" s="78">
        <v>2096.5300000000016</v>
      </c>
      <c r="K7" s="17">
        <f t="shared" si="4"/>
        <v>0.13335747956580124</v>
      </c>
      <c r="N7" s="16">
        <f t="shared" si="5"/>
        <v>4</v>
      </c>
      <c r="O7" s="70">
        <f t="shared" si="6"/>
        <v>2017</v>
      </c>
      <c r="P7" s="78">
        <v>10.871914540551767</v>
      </c>
      <c r="Q7" s="17">
        <f t="shared" si="7"/>
        <v>0.21716362454136129</v>
      </c>
    </row>
    <row r="8" spans="2:17" x14ac:dyDescent="0.3">
      <c r="B8" s="16">
        <f t="shared" si="0"/>
        <v>5</v>
      </c>
      <c r="C8" s="70">
        <f t="shared" si="0"/>
        <v>2018</v>
      </c>
      <c r="D8" s="78">
        <v>11292.27</v>
      </c>
      <c r="E8" s="17">
        <f t="shared" si="1"/>
        <v>0.12814398177749364</v>
      </c>
      <c r="H8" s="16">
        <f t="shared" si="2"/>
        <v>5</v>
      </c>
      <c r="I8" s="70">
        <f t="shared" si="3"/>
        <v>2018</v>
      </c>
      <c r="J8" s="78">
        <v>2617.6500000000005</v>
      </c>
      <c r="K8" s="17">
        <f t="shared" si="4"/>
        <v>0.24856310188740371</v>
      </c>
      <c r="N8" s="16">
        <f t="shared" si="5"/>
        <v>5</v>
      </c>
      <c r="O8" s="70">
        <f t="shared" si="6"/>
        <v>2018</v>
      </c>
      <c r="P8" s="78">
        <v>13.980605683468166</v>
      </c>
      <c r="Q8" s="17">
        <f t="shared" si="7"/>
        <v>0.28593778320470764</v>
      </c>
    </row>
    <row r="9" spans="2:17" x14ac:dyDescent="0.3">
      <c r="B9" s="16">
        <f t="shared" si="0"/>
        <v>6</v>
      </c>
      <c r="C9" s="70">
        <f t="shared" si="0"/>
        <v>2019</v>
      </c>
      <c r="D9" s="78">
        <v>12368.9</v>
      </c>
      <c r="E9" s="17">
        <f t="shared" si="1"/>
        <v>9.5342211973323376E-2</v>
      </c>
      <c r="H9" s="16">
        <f t="shared" si="2"/>
        <v>6</v>
      </c>
      <c r="I9" s="70">
        <f t="shared" si="3"/>
        <v>2019</v>
      </c>
      <c r="J9" s="78">
        <v>2925.8799999999992</v>
      </c>
      <c r="K9" s="17">
        <f t="shared" si="4"/>
        <v>0.11775065421274755</v>
      </c>
      <c r="N9" s="16">
        <f t="shared" si="5"/>
        <v>6</v>
      </c>
      <c r="O9" s="70">
        <f t="shared" si="6"/>
        <v>2019</v>
      </c>
      <c r="P9" s="78">
        <v>17.854801908317768</v>
      </c>
      <c r="Q9" s="17">
        <f t="shared" si="7"/>
        <v>0.27711218759504641</v>
      </c>
    </row>
    <row r="10" spans="2:17" x14ac:dyDescent="0.3">
      <c r="B10" s="16">
        <f t="shared" si="0"/>
        <v>7</v>
      </c>
      <c r="C10" s="70">
        <f t="shared" si="0"/>
        <v>2020</v>
      </c>
      <c r="D10" s="78">
        <v>13350.03</v>
      </c>
      <c r="E10" s="17">
        <f t="shared" si="1"/>
        <v>7.932233262456645E-2</v>
      </c>
      <c r="H10" s="16">
        <f t="shared" si="2"/>
        <v>7</v>
      </c>
      <c r="I10" s="70">
        <f t="shared" si="3"/>
        <v>2020</v>
      </c>
      <c r="J10" s="78">
        <v>3201.5000000000009</v>
      </c>
      <c r="K10" s="17">
        <f t="shared" si="4"/>
        <v>9.4200719099895247E-2</v>
      </c>
      <c r="N10" s="16">
        <f t="shared" si="5"/>
        <v>7</v>
      </c>
      <c r="O10" s="70">
        <f t="shared" si="6"/>
        <v>2020</v>
      </c>
      <c r="P10" s="78">
        <v>20.084837170711477</v>
      </c>
      <c r="Q10" s="17">
        <f t="shared" si="7"/>
        <v>0.12489834800994548</v>
      </c>
    </row>
    <row r="11" spans="2:17" x14ac:dyDescent="0.3">
      <c r="B11" s="16">
        <f t="shared" si="0"/>
        <v>8</v>
      </c>
      <c r="C11" s="70">
        <f t="shared" si="0"/>
        <v>2021</v>
      </c>
      <c r="D11" s="78">
        <v>14740.59</v>
      </c>
      <c r="E11" s="17">
        <f t="shared" si="1"/>
        <v>0.10416156368187934</v>
      </c>
      <c r="H11" s="16">
        <f t="shared" si="2"/>
        <v>8</v>
      </c>
      <c r="I11" s="70">
        <f t="shared" si="3"/>
        <v>2021</v>
      </c>
      <c r="J11" s="78">
        <v>3562.3999999999987</v>
      </c>
      <c r="K11" s="17">
        <f t="shared" si="4"/>
        <v>0.11272840855848743</v>
      </c>
      <c r="N11" s="16">
        <f t="shared" si="5"/>
        <v>8</v>
      </c>
      <c r="O11" s="70">
        <f t="shared" si="6"/>
        <v>2021</v>
      </c>
      <c r="P11" s="78">
        <v>23.13617506741339</v>
      </c>
      <c r="Q11" s="17">
        <f t="shared" si="7"/>
        <v>0.15192246124611342</v>
      </c>
    </row>
    <row r="12" spans="2:17" x14ac:dyDescent="0.3">
      <c r="B12" s="16">
        <f t="shared" si="0"/>
        <v>9</v>
      </c>
      <c r="C12" s="70">
        <f t="shared" si="0"/>
        <v>2022</v>
      </c>
      <c r="D12" s="78">
        <v>16896.96</v>
      </c>
      <c r="E12" s="17">
        <f t="shared" si="1"/>
        <v>0.14628790299438488</v>
      </c>
      <c r="H12" s="16">
        <f t="shared" si="2"/>
        <v>9</v>
      </c>
      <c r="I12" s="70">
        <f t="shared" si="3"/>
        <v>2022</v>
      </c>
      <c r="J12" s="78">
        <v>3706.2899999999981</v>
      </c>
      <c r="K12" s="17">
        <f t="shared" si="4"/>
        <v>4.0391309229732553E-2</v>
      </c>
      <c r="N12" s="16">
        <f t="shared" si="5"/>
        <v>9</v>
      </c>
      <c r="O12" s="70">
        <f t="shared" si="6"/>
        <v>2022</v>
      </c>
      <c r="P12" s="78">
        <v>23.68035677245382</v>
      </c>
      <c r="Q12" s="17">
        <f t="shared" si="7"/>
        <v>2.3520815495855052E-2</v>
      </c>
    </row>
    <row r="13" spans="2:17" x14ac:dyDescent="0.3">
      <c r="B13" s="16">
        <f t="shared" si="0"/>
        <v>10</v>
      </c>
      <c r="C13" s="70">
        <f t="shared" si="0"/>
        <v>2023</v>
      </c>
      <c r="D13" s="78">
        <v>19126.3</v>
      </c>
      <c r="E13" s="17">
        <f t="shared" si="1"/>
        <v>0.13193734257523237</v>
      </c>
      <c r="H13" s="16">
        <f t="shared" si="2"/>
        <v>10</v>
      </c>
      <c r="I13" s="70">
        <f t="shared" si="3"/>
        <v>2023</v>
      </c>
      <c r="J13" s="78">
        <v>4470.99</v>
      </c>
      <c r="K13" s="17">
        <f t="shared" si="4"/>
        <v>0.20632492330605601</v>
      </c>
      <c r="N13" s="16">
        <f t="shared" si="5"/>
        <v>10</v>
      </c>
      <c r="O13" s="70">
        <f t="shared" si="6"/>
        <v>2023</v>
      </c>
      <c r="P13" s="78">
        <v>29.902198713959759</v>
      </c>
      <c r="Q13" s="17">
        <f t="shared" si="7"/>
        <v>0.2627427450224693</v>
      </c>
    </row>
    <row r="14" spans="2:17" x14ac:dyDescent="0.3">
      <c r="B14" s="72">
        <f>B13+1</f>
        <v>11</v>
      </c>
      <c r="C14" s="73">
        <f>C13+1</f>
        <v>2024</v>
      </c>
      <c r="D14" s="79">
        <f>IFERROR(FORECAST(B14,$D$4:$D$13,$B$4:$B$13),0)</f>
        <v>18615.242666666665</v>
      </c>
      <c r="E14" s="74">
        <f t="shared" si="1"/>
        <v>-2.6720135799048084E-2</v>
      </c>
      <c r="H14" s="72">
        <f t="shared" si="2"/>
        <v>11</v>
      </c>
      <c r="I14" s="80">
        <f t="shared" si="3"/>
        <v>2024</v>
      </c>
      <c r="J14" s="81">
        <f>FORECAST(H14,$J$4:$J$13,$H$4:$H$13)</f>
        <v>4440.2299999999987</v>
      </c>
      <c r="K14" s="74">
        <f t="shared" si="4"/>
        <v>-6.8799080293181492E-3</v>
      </c>
      <c r="N14" s="72">
        <f t="shared" si="5"/>
        <v>11</v>
      </c>
      <c r="O14" s="80">
        <f t="shared" si="6"/>
        <v>2024</v>
      </c>
      <c r="P14" s="81">
        <f>FORECAST(N14,$P$4:$P$13,$N$4:$N$13)</f>
        <v>29.161729931549463</v>
      </c>
      <c r="Q14" s="74">
        <f t="shared" si="7"/>
        <v>-2.4763021257851903E-2</v>
      </c>
    </row>
    <row r="15" spans="2:17" x14ac:dyDescent="0.3">
      <c r="B15" s="72">
        <f t="shared" ref="B15:C18" si="8">B14+1</f>
        <v>12</v>
      </c>
      <c r="C15" s="73">
        <f t="shared" si="8"/>
        <v>2025</v>
      </c>
      <c r="D15" s="79">
        <f t="shared" ref="D15:D18" si="9">IFERROR(FORECAST(B15,$D$4:$D$13,$B$4:$B$13),0)</f>
        <v>19727.902424242424</v>
      </c>
      <c r="E15" s="74">
        <f t="shared" si="1"/>
        <v>5.9771434490517805E-2</v>
      </c>
      <c r="H15" s="72">
        <f t="shared" si="2"/>
        <v>12</v>
      </c>
      <c r="I15" s="80">
        <f t="shared" si="3"/>
        <v>2025</v>
      </c>
      <c r="J15" s="81">
        <f t="shared" ref="J15:J18" si="10">FORECAST(H15,$J$4:$J$13,$H$4:$H$13)</f>
        <v>4737.9943636363623</v>
      </c>
      <c r="K15" s="74">
        <f t="shared" si="4"/>
        <v>6.7060572005586128E-2</v>
      </c>
      <c r="N15" s="72">
        <f t="shared" si="5"/>
        <v>12</v>
      </c>
      <c r="O15" s="80">
        <f t="shared" si="6"/>
        <v>2025</v>
      </c>
      <c r="P15" s="81">
        <f t="shared" ref="P15:P18" si="11">FORECAST(N15,$P$4:$P$13,$N$4:$N$13)</f>
        <v>31.377984575059859</v>
      </c>
      <c r="Q15" s="74">
        <f t="shared" si="7"/>
        <v>7.5998736999229877E-2</v>
      </c>
    </row>
    <row r="16" spans="2:17" x14ac:dyDescent="0.3">
      <c r="B16" s="72">
        <f t="shared" si="8"/>
        <v>13</v>
      </c>
      <c r="C16" s="73">
        <f t="shared" si="8"/>
        <v>2026</v>
      </c>
      <c r="D16" s="79">
        <f t="shared" si="9"/>
        <v>20840.562181818183</v>
      </c>
      <c r="E16" s="74">
        <f t="shared" si="1"/>
        <v>5.6400307222144397E-2</v>
      </c>
      <c r="H16" s="72">
        <f t="shared" si="2"/>
        <v>13</v>
      </c>
      <c r="I16" s="80">
        <f t="shared" si="3"/>
        <v>2026</v>
      </c>
      <c r="J16" s="81">
        <f t="shared" si="10"/>
        <v>5035.7587272727251</v>
      </c>
      <c r="K16" s="74">
        <f t="shared" si="4"/>
        <v>6.2846078062412714E-2</v>
      </c>
      <c r="N16" s="72">
        <f t="shared" si="5"/>
        <v>13</v>
      </c>
      <c r="O16" s="80">
        <f t="shared" si="6"/>
        <v>2026</v>
      </c>
      <c r="P16" s="81">
        <f t="shared" si="11"/>
        <v>33.594239218570252</v>
      </c>
      <c r="Q16" s="74">
        <f t="shared" si="7"/>
        <v>7.063087937368473E-2</v>
      </c>
    </row>
    <row r="17" spans="2:17" x14ac:dyDescent="0.3">
      <c r="B17" s="72">
        <f t="shared" si="8"/>
        <v>14</v>
      </c>
      <c r="C17" s="73">
        <f t="shared" si="8"/>
        <v>2027</v>
      </c>
      <c r="D17" s="79">
        <f t="shared" si="9"/>
        <v>21953.221939393938</v>
      </c>
      <c r="E17" s="74">
        <f t="shared" si="1"/>
        <v>5.3389143146362228E-2</v>
      </c>
      <c r="H17" s="72">
        <f t="shared" si="2"/>
        <v>14</v>
      </c>
      <c r="I17" s="80">
        <f t="shared" si="3"/>
        <v>2027</v>
      </c>
      <c r="J17" s="81">
        <f t="shared" si="10"/>
        <v>5333.5230909090888</v>
      </c>
      <c r="K17" s="74">
        <f t="shared" si="4"/>
        <v>5.9129990089423323E-2</v>
      </c>
      <c r="N17" s="72">
        <f t="shared" si="5"/>
        <v>14</v>
      </c>
      <c r="O17" s="80">
        <f t="shared" si="6"/>
        <v>2027</v>
      </c>
      <c r="P17" s="81">
        <f t="shared" si="11"/>
        <v>35.810493862080655</v>
      </c>
      <c r="Q17" s="74">
        <f t="shared" si="7"/>
        <v>6.5971270523230041E-2</v>
      </c>
    </row>
    <row r="18" spans="2:17" x14ac:dyDescent="0.3">
      <c r="B18" s="72">
        <f t="shared" si="8"/>
        <v>15</v>
      </c>
      <c r="C18" s="73">
        <f t="shared" si="8"/>
        <v>2028</v>
      </c>
      <c r="D18" s="79">
        <f t="shared" si="9"/>
        <v>23065.881696969696</v>
      </c>
      <c r="E18" s="74">
        <f t="shared" si="1"/>
        <v>5.0683209992932632E-2</v>
      </c>
      <c r="H18" s="72">
        <f t="shared" si="2"/>
        <v>15</v>
      </c>
      <c r="I18" s="80">
        <f t="shared" si="3"/>
        <v>2028</v>
      </c>
      <c r="J18" s="81">
        <f t="shared" si="10"/>
        <v>5631.2874545454524</v>
      </c>
      <c r="K18" s="74">
        <f t="shared" si="4"/>
        <v>5.5828831817358981E-2</v>
      </c>
      <c r="N18" s="72">
        <f t="shared" si="5"/>
        <v>15</v>
      </c>
      <c r="O18" s="80">
        <f t="shared" si="6"/>
        <v>2028</v>
      </c>
      <c r="P18" s="81">
        <f t="shared" si="11"/>
        <v>38.026748505591058</v>
      </c>
      <c r="Q18" s="74">
        <f t="shared" si="7"/>
        <v>6.1888413269194587E-2</v>
      </c>
    </row>
  </sheetData>
  <mergeCells count="3">
    <mergeCell ref="B2:E2"/>
    <mergeCell ref="H2:K2"/>
    <mergeCell ref="N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EAB5-1258-49C9-9C0B-A8027D874526}">
  <sheetPr>
    <tabColor theme="5" tint="0.39997558519241921"/>
  </sheetPr>
  <dimension ref="A1"/>
  <sheetViews>
    <sheetView workbookViewId="0">
      <selection activeCell="F26" sqref="F26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62FD-DF5B-46E4-B662-07A4F4D5E9B8}">
  <sheetPr>
    <tabColor rgb="FFC00000"/>
  </sheetPr>
  <dimension ref="B3:N72"/>
  <sheetViews>
    <sheetView showGridLines="0" zoomScale="90" zoomScaleNormal="90" workbookViewId="0">
      <pane ySplit="3" topLeftCell="A4" activePane="bottomLeft" state="frozen"/>
      <selection pane="bottomLeft" activeCell="R21" sqref="R21"/>
    </sheetView>
  </sheetViews>
  <sheetFormatPr defaultRowHeight="14.4" x14ac:dyDescent="0.3"/>
  <cols>
    <col min="2" max="2" width="28.21875" customWidth="1"/>
  </cols>
  <sheetData>
    <row r="3" spans="2:14" x14ac:dyDescent="0.3">
      <c r="B3" s="90" t="s">
        <v>181</v>
      </c>
      <c r="C3" s="92">
        <v>41244</v>
      </c>
      <c r="D3" s="92">
        <v>41609</v>
      </c>
      <c r="E3" s="92">
        <v>41974</v>
      </c>
      <c r="F3" s="92">
        <v>42339</v>
      </c>
      <c r="G3" s="92">
        <v>42705</v>
      </c>
      <c r="H3" s="92">
        <v>43070</v>
      </c>
      <c r="I3" s="92">
        <v>43435</v>
      </c>
      <c r="J3" s="92">
        <v>43800</v>
      </c>
      <c r="K3" s="92">
        <v>44166</v>
      </c>
      <c r="L3" s="92">
        <v>44531</v>
      </c>
      <c r="M3" s="92">
        <v>44896</v>
      </c>
      <c r="N3" s="92">
        <v>45261</v>
      </c>
    </row>
    <row r="4" spans="2:14" x14ac:dyDescent="0.3"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</row>
    <row r="5" spans="2:14" x14ac:dyDescent="0.3">
      <c r="B5" s="83" t="s">
        <v>182</v>
      </c>
      <c r="C5" s="84">
        <v>96</v>
      </c>
      <c r="D5" s="84">
        <v>96</v>
      </c>
      <c r="E5" s="84">
        <v>96</v>
      </c>
      <c r="F5" s="84">
        <v>96</v>
      </c>
      <c r="G5" s="84">
        <v>96</v>
      </c>
      <c r="H5" s="84">
        <v>96</v>
      </c>
      <c r="I5" s="84">
        <v>96</v>
      </c>
      <c r="J5" s="84">
        <v>96</v>
      </c>
      <c r="K5" s="84">
        <v>96</v>
      </c>
      <c r="L5" s="84">
        <v>96</v>
      </c>
      <c r="M5" s="84">
        <v>96</v>
      </c>
      <c r="N5" s="84">
        <v>96</v>
      </c>
    </row>
    <row r="6" spans="2:14" x14ac:dyDescent="0.3">
      <c r="B6" s="83" t="s">
        <v>34</v>
      </c>
      <c r="C6" s="86">
        <v>1702</v>
      </c>
      <c r="D6" s="86">
        <v>2272</v>
      </c>
      <c r="E6" s="86">
        <v>2741</v>
      </c>
      <c r="F6" s="86">
        <v>2721</v>
      </c>
      <c r="G6" s="86">
        <v>3186</v>
      </c>
      <c r="H6" s="86">
        <v>3324</v>
      </c>
      <c r="I6" s="86">
        <v>3577</v>
      </c>
      <c r="J6" s="86">
        <v>1822</v>
      </c>
      <c r="K6" s="86">
        <v>1923</v>
      </c>
      <c r="L6" s="86">
        <v>1850</v>
      </c>
      <c r="M6" s="86">
        <v>2363</v>
      </c>
      <c r="N6" s="86">
        <v>2996</v>
      </c>
    </row>
    <row r="7" spans="2:14" x14ac:dyDescent="0.3">
      <c r="B7" s="93" t="s">
        <v>183</v>
      </c>
      <c r="C7" s="88"/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2:14" x14ac:dyDescent="0.3">
      <c r="B8" s="83" t="s">
        <v>184</v>
      </c>
      <c r="C8" s="86">
        <v>1050</v>
      </c>
      <c r="D8" s="86">
        <v>1189</v>
      </c>
      <c r="E8" s="84">
        <v>15</v>
      </c>
      <c r="F8" s="84">
        <v>17</v>
      </c>
      <c r="G8" s="84">
        <v>33</v>
      </c>
      <c r="H8" s="84">
        <v>35</v>
      </c>
      <c r="I8" s="84">
        <v>35</v>
      </c>
      <c r="J8" s="84">
        <v>53</v>
      </c>
      <c r="K8" s="84">
        <v>32</v>
      </c>
      <c r="L8" s="84">
        <v>27</v>
      </c>
      <c r="M8" s="84">
        <v>27</v>
      </c>
      <c r="N8" s="84">
        <v>26</v>
      </c>
    </row>
    <row r="9" spans="2:14" x14ac:dyDescent="0.3">
      <c r="B9" s="83" t="s">
        <v>185</v>
      </c>
      <c r="C9" s="84">
        <v>0</v>
      </c>
      <c r="D9" s="84">
        <v>0</v>
      </c>
      <c r="E9" s="84">
        <v>4</v>
      </c>
      <c r="F9" s="84">
        <v>1</v>
      </c>
      <c r="G9" s="84">
        <v>0</v>
      </c>
      <c r="H9" s="84">
        <v>0</v>
      </c>
      <c r="I9" s="84">
        <v>0</v>
      </c>
      <c r="J9" s="84">
        <v>0</v>
      </c>
      <c r="K9" s="84">
        <v>3</v>
      </c>
      <c r="L9" s="84">
        <v>7</v>
      </c>
      <c r="M9" s="84">
        <v>3</v>
      </c>
      <c r="N9" s="84">
        <v>5</v>
      </c>
    </row>
    <row r="10" spans="2:14" x14ac:dyDescent="0.3">
      <c r="B10" s="83" t="s">
        <v>186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136</v>
      </c>
      <c r="K10" s="84">
        <v>113</v>
      </c>
      <c r="L10" s="84">
        <v>232</v>
      </c>
      <c r="M10" s="84">
        <v>240</v>
      </c>
      <c r="N10" s="84">
        <v>310</v>
      </c>
    </row>
    <row r="11" spans="2:14" x14ac:dyDescent="0.3">
      <c r="B11" s="93" t="s">
        <v>187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 spans="2:14" x14ac:dyDescent="0.3">
      <c r="B12" s="83" t="s">
        <v>188</v>
      </c>
      <c r="C12" s="84">
        <v>539</v>
      </c>
      <c r="D12" s="84">
        <v>633</v>
      </c>
      <c r="E12" s="84">
        <v>729</v>
      </c>
      <c r="F12" s="84">
        <v>749</v>
      </c>
      <c r="G12" s="84">
        <v>799</v>
      </c>
      <c r="H12" s="84">
        <v>985</v>
      </c>
      <c r="I12" s="86">
        <v>1240</v>
      </c>
      <c r="J12" s="86">
        <v>1492</v>
      </c>
      <c r="K12" s="86">
        <v>1517</v>
      </c>
      <c r="L12" s="86">
        <v>1748</v>
      </c>
      <c r="M12" s="86">
        <v>1934</v>
      </c>
      <c r="N12" s="86">
        <v>2454</v>
      </c>
    </row>
    <row r="13" spans="2:14" x14ac:dyDescent="0.3">
      <c r="B13" s="83" t="s">
        <v>189</v>
      </c>
      <c r="C13" s="84">
        <v>0</v>
      </c>
      <c r="D13" s="84">
        <v>0</v>
      </c>
      <c r="E13" s="84">
        <v>0</v>
      </c>
      <c r="F13" s="84">
        <v>103</v>
      </c>
      <c r="G13" s="84">
        <v>25</v>
      </c>
      <c r="H13" s="84">
        <v>17</v>
      </c>
      <c r="I13" s="84">
        <v>41</v>
      </c>
      <c r="J13" s="84">
        <v>37</v>
      </c>
      <c r="K13" s="84">
        <v>53</v>
      </c>
      <c r="L13" s="84">
        <v>69</v>
      </c>
      <c r="M13" s="84">
        <v>114</v>
      </c>
      <c r="N13" s="84"/>
    </row>
    <row r="14" spans="2:14" x14ac:dyDescent="0.3">
      <c r="B14" s="83" t="s">
        <v>190</v>
      </c>
      <c r="C14" s="86">
        <v>1776</v>
      </c>
      <c r="D14" s="86">
        <v>2123</v>
      </c>
      <c r="E14" s="86">
        <v>2234</v>
      </c>
      <c r="F14" s="86">
        <v>2398</v>
      </c>
      <c r="G14" s="86">
        <v>2671</v>
      </c>
      <c r="H14" s="86">
        <v>2905</v>
      </c>
      <c r="I14" s="86">
        <v>3098</v>
      </c>
      <c r="J14" s="86">
        <v>3537</v>
      </c>
      <c r="K14" s="86">
        <v>4164</v>
      </c>
      <c r="L14" s="86">
        <v>4204</v>
      </c>
      <c r="M14" s="86">
        <v>4201</v>
      </c>
      <c r="N14" s="86">
        <v>4206</v>
      </c>
    </row>
    <row r="15" spans="2:14" s="82" customFormat="1" x14ac:dyDescent="0.3">
      <c r="B15" s="93" t="s">
        <v>82</v>
      </c>
      <c r="C15" s="94">
        <v>5164</v>
      </c>
      <c r="D15" s="94">
        <v>6314</v>
      </c>
      <c r="E15" s="94">
        <v>5820</v>
      </c>
      <c r="F15" s="94">
        <v>6086</v>
      </c>
      <c r="G15" s="94">
        <v>6810</v>
      </c>
      <c r="H15" s="94">
        <v>7363</v>
      </c>
      <c r="I15" s="94">
        <v>8088</v>
      </c>
      <c r="J15" s="94">
        <v>7173</v>
      </c>
      <c r="K15" s="94">
        <v>7900</v>
      </c>
      <c r="L15" s="94">
        <v>8234</v>
      </c>
      <c r="M15" s="94">
        <v>8979</v>
      </c>
      <c r="N15" s="94">
        <v>10094</v>
      </c>
    </row>
    <row r="16" spans="2:14" x14ac:dyDescent="0.3"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 spans="2:14" x14ac:dyDescent="0.3">
      <c r="B17" s="93" t="s">
        <v>191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</row>
    <row r="18" spans="2:14" x14ac:dyDescent="0.3">
      <c r="B18" s="83" t="s">
        <v>192</v>
      </c>
      <c r="C18" s="84">
        <v>135.99</v>
      </c>
      <c r="D18" s="84">
        <v>148.69999999999999</v>
      </c>
      <c r="E18" s="84">
        <v>145.57</v>
      </c>
      <c r="F18" s="84">
        <v>145.57</v>
      </c>
      <c r="G18" s="84">
        <v>140.5</v>
      </c>
      <c r="H18" s="84">
        <v>140.5</v>
      </c>
      <c r="I18" s="84">
        <v>140.51</v>
      </c>
      <c r="J18" s="84">
        <v>141.46</v>
      </c>
      <c r="K18" s="84">
        <v>141.46</v>
      </c>
      <c r="L18" s="84">
        <v>141.57</v>
      </c>
      <c r="M18" s="84">
        <v>141.57</v>
      </c>
      <c r="N18" s="84"/>
    </row>
    <row r="19" spans="2:14" x14ac:dyDescent="0.3">
      <c r="B19" s="83" t="s">
        <v>193</v>
      </c>
      <c r="C19" s="84">
        <v>829.16</v>
      </c>
      <c r="D19" s="84">
        <v>917.13</v>
      </c>
      <c r="E19" s="84">
        <v>964.1</v>
      </c>
      <c r="F19" s="84">
        <v>985.03</v>
      </c>
      <c r="G19" s="84">
        <v>865</v>
      </c>
      <c r="H19" s="84">
        <v>903.2</v>
      </c>
      <c r="I19" s="84">
        <v>912.4</v>
      </c>
      <c r="J19" s="91">
        <v>1159.6300000000001</v>
      </c>
      <c r="K19" s="91">
        <v>1140.29</v>
      </c>
      <c r="L19" s="91">
        <v>1485.32</v>
      </c>
      <c r="M19" s="91">
        <v>1532.2</v>
      </c>
      <c r="N19" s="84"/>
    </row>
    <row r="20" spans="2:14" x14ac:dyDescent="0.3">
      <c r="B20" s="83" t="s">
        <v>194</v>
      </c>
      <c r="C20" s="91">
        <v>3148.77</v>
      </c>
      <c r="D20" s="91">
        <v>3511.17</v>
      </c>
      <c r="E20" s="91">
        <v>3561.81</v>
      </c>
      <c r="F20" s="91">
        <v>3635.95</v>
      </c>
      <c r="G20" s="91">
        <v>1972.4</v>
      </c>
      <c r="H20" s="91">
        <v>2180.41</v>
      </c>
      <c r="I20" s="91">
        <v>2279.56</v>
      </c>
      <c r="J20" s="91">
        <v>2377.67</v>
      </c>
      <c r="K20" s="91">
        <v>2519.37</v>
      </c>
      <c r="L20" s="91">
        <v>3286.91</v>
      </c>
      <c r="M20" s="91">
        <v>3545.66</v>
      </c>
      <c r="N20" s="84"/>
    </row>
    <row r="21" spans="2:14" x14ac:dyDescent="0.3">
      <c r="B21" s="83" t="s">
        <v>195</v>
      </c>
      <c r="C21" s="84">
        <v>10.36</v>
      </c>
      <c r="D21" s="84">
        <v>11.19</v>
      </c>
      <c r="E21" s="84">
        <v>11.37</v>
      </c>
      <c r="F21" s="84">
        <v>15.19</v>
      </c>
      <c r="G21" s="84">
        <v>11.3</v>
      </c>
      <c r="H21" s="84">
        <v>13.25</v>
      </c>
      <c r="I21" s="84">
        <v>14.85</v>
      </c>
      <c r="J21" s="84">
        <v>18.079999999999998</v>
      </c>
      <c r="K21" s="84">
        <v>20.29</v>
      </c>
      <c r="L21" s="84">
        <v>23.08</v>
      </c>
      <c r="M21" s="84">
        <v>43.23</v>
      </c>
      <c r="N21" s="84"/>
    </row>
    <row r="22" spans="2:14" x14ac:dyDescent="0.3">
      <c r="B22" s="83" t="s">
        <v>208</v>
      </c>
      <c r="C22" s="84">
        <v>55.64</v>
      </c>
      <c r="D22" s="84">
        <v>59.44</v>
      </c>
      <c r="E22" s="84">
        <v>66.77</v>
      </c>
      <c r="F22" s="84">
        <v>75.489999999999995</v>
      </c>
      <c r="G22" s="84">
        <v>34.42</v>
      </c>
      <c r="H22" s="84">
        <v>47.76</v>
      </c>
      <c r="I22" s="84">
        <v>64.78</v>
      </c>
      <c r="J22" s="84">
        <v>78.27</v>
      </c>
      <c r="K22" s="84">
        <v>89.28</v>
      </c>
      <c r="L22" s="84">
        <v>97.64</v>
      </c>
      <c r="M22" s="84">
        <v>129.24</v>
      </c>
      <c r="N22" s="84"/>
    </row>
    <row r="23" spans="2:14" x14ac:dyDescent="0.3">
      <c r="B23" s="83" t="s">
        <v>196</v>
      </c>
      <c r="C23" s="84">
        <v>184.4</v>
      </c>
      <c r="D23" s="84">
        <v>192.47</v>
      </c>
      <c r="E23" s="84">
        <v>195.79</v>
      </c>
      <c r="F23" s="84">
        <v>196.56</v>
      </c>
      <c r="G23" s="84">
        <v>68.83</v>
      </c>
      <c r="H23" s="84">
        <v>70.790000000000006</v>
      </c>
      <c r="I23" s="84">
        <v>70.89</v>
      </c>
      <c r="J23" s="84">
        <v>69.62</v>
      </c>
      <c r="K23" s="84">
        <v>69.37</v>
      </c>
      <c r="L23" s="84">
        <v>65.14</v>
      </c>
      <c r="M23" s="84">
        <v>64.41</v>
      </c>
      <c r="N23" s="84"/>
    </row>
    <row r="24" spans="2:14" x14ac:dyDescent="0.3">
      <c r="B24" s="83" t="s">
        <v>209</v>
      </c>
      <c r="C24" s="84">
        <v>1.17</v>
      </c>
      <c r="D24" s="84">
        <v>1.17</v>
      </c>
      <c r="E24" s="84">
        <v>1.17</v>
      </c>
      <c r="F24" s="84">
        <v>1.17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/>
    </row>
    <row r="25" spans="2:14" x14ac:dyDescent="0.3">
      <c r="B25" s="83" t="s">
        <v>197</v>
      </c>
      <c r="C25" s="84">
        <v>3.19</v>
      </c>
      <c r="D25" s="84">
        <v>3.01</v>
      </c>
      <c r="E25" s="84">
        <v>3.52</v>
      </c>
      <c r="F25" s="84">
        <v>3.52</v>
      </c>
      <c r="G25" s="84">
        <v>2.67</v>
      </c>
      <c r="H25" s="84">
        <v>2.52</v>
      </c>
      <c r="I25" s="84">
        <v>2.4300000000000002</v>
      </c>
      <c r="J25" s="84">
        <v>20.45</v>
      </c>
      <c r="K25" s="84">
        <v>18.21</v>
      </c>
      <c r="L25" s="84">
        <v>19.079999999999998</v>
      </c>
      <c r="M25" s="84">
        <v>17.690000000000001</v>
      </c>
      <c r="N25" s="84"/>
    </row>
    <row r="26" spans="2:14" x14ac:dyDescent="0.3">
      <c r="B26" s="83" t="s">
        <v>198</v>
      </c>
      <c r="C26" s="84">
        <v>0</v>
      </c>
      <c r="D26" s="84">
        <v>5.25</v>
      </c>
      <c r="E26" s="84">
        <v>5.25</v>
      </c>
      <c r="F26" s="84">
        <v>5.25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</row>
    <row r="27" spans="2:14" x14ac:dyDescent="0.3">
      <c r="B27" s="83" t="s">
        <v>199</v>
      </c>
      <c r="C27" s="84">
        <v>0</v>
      </c>
      <c r="D27" s="84">
        <v>53.63</v>
      </c>
      <c r="E27" s="84">
        <v>53.63</v>
      </c>
      <c r="F27" s="84">
        <v>53.63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/>
    </row>
    <row r="28" spans="2:14" s="82" customFormat="1" x14ac:dyDescent="0.3">
      <c r="B28" s="93" t="s">
        <v>200</v>
      </c>
      <c r="C28" s="95">
        <v>4368.68</v>
      </c>
      <c r="D28" s="95">
        <v>4903.16</v>
      </c>
      <c r="E28" s="95">
        <v>5008.9799999999996</v>
      </c>
      <c r="F28" s="95">
        <v>5117.3599999999997</v>
      </c>
      <c r="G28" s="95">
        <v>3095.12</v>
      </c>
      <c r="H28" s="95">
        <v>3358.43</v>
      </c>
      <c r="I28" s="95">
        <v>3485.42</v>
      </c>
      <c r="J28" s="95">
        <v>3865.18</v>
      </c>
      <c r="K28" s="95">
        <v>3998.27</v>
      </c>
      <c r="L28" s="95">
        <v>5118.74</v>
      </c>
      <c r="M28" s="95">
        <v>5474</v>
      </c>
      <c r="N28" s="96"/>
    </row>
    <row r="29" spans="2:14" x14ac:dyDescent="0.3">
      <c r="B29" s="93" t="s">
        <v>201</v>
      </c>
      <c r="C29" s="91">
        <v>1164.4100000000001</v>
      </c>
      <c r="D29" s="91">
        <v>1533.85</v>
      </c>
      <c r="E29" s="91">
        <v>1832.34</v>
      </c>
      <c r="F29" s="91">
        <v>2219.5100000000002</v>
      </c>
      <c r="G29" s="84">
        <v>364.98</v>
      </c>
      <c r="H29" s="84">
        <v>742.25</v>
      </c>
      <c r="I29" s="91">
        <v>1084.8</v>
      </c>
      <c r="J29" s="91">
        <v>1523.73</v>
      </c>
      <c r="K29" s="91">
        <v>1818.86</v>
      </c>
      <c r="L29" s="91">
        <v>2124.0700000000002</v>
      </c>
      <c r="M29" s="91">
        <v>2430.3000000000002</v>
      </c>
      <c r="N29" s="84"/>
    </row>
    <row r="30" spans="2:14" s="82" customFormat="1" x14ac:dyDescent="0.3">
      <c r="B30" s="93" t="s">
        <v>38</v>
      </c>
      <c r="C30" s="95">
        <f>C28-C29</f>
        <v>3204.2700000000004</v>
      </c>
      <c r="D30" s="95">
        <f t="shared" ref="D30:M30" si="0">D28-D29</f>
        <v>3369.31</v>
      </c>
      <c r="E30" s="95">
        <f t="shared" si="0"/>
        <v>3176.6399999999994</v>
      </c>
      <c r="F30" s="95">
        <f t="shared" si="0"/>
        <v>2897.8499999999995</v>
      </c>
      <c r="G30" s="95">
        <f t="shared" si="0"/>
        <v>2730.14</v>
      </c>
      <c r="H30" s="95">
        <f t="shared" si="0"/>
        <v>2616.1799999999998</v>
      </c>
      <c r="I30" s="95">
        <f t="shared" si="0"/>
        <v>2400.62</v>
      </c>
      <c r="J30" s="95">
        <f t="shared" si="0"/>
        <v>2341.4499999999998</v>
      </c>
      <c r="K30" s="95">
        <f t="shared" si="0"/>
        <v>2179.41</v>
      </c>
      <c r="L30" s="95">
        <f t="shared" si="0"/>
        <v>2994.6699999999996</v>
      </c>
      <c r="M30" s="95">
        <f t="shared" si="0"/>
        <v>3043.7</v>
      </c>
      <c r="N30" s="96"/>
    </row>
    <row r="31" spans="2:14" x14ac:dyDescent="0.3">
      <c r="B31" s="83"/>
      <c r="C31" s="91"/>
      <c r="D31" s="91"/>
      <c r="E31" s="91"/>
      <c r="F31" s="91"/>
      <c r="G31" s="84"/>
      <c r="H31" s="84"/>
      <c r="I31" s="91"/>
      <c r="J31" s="91"/>
      <c r="K31" s="91"/>
      <c r="L31" s="91"/>
      <c r="M31" s="91"/>
      <c r="N31" s="84"/>
    </row>
    <row r="32" spans="2:14" x14ac:dyDescent="0.3">
      <c r="B32" s="93" t="s">
        <v>202</v>
      </c>
      <c r="C32" s="84">
        <v>344</v>
      </c>
      <c r="D32" s="84">
        <v>295</v>
      </c>
      <c r="E32" s="84">
        <v>245</v>
      </c>
      <c r="F32" s="84">
        <v>231</v>
      </c>
      <c r="G32" s="84">
        <v>188</v>
      </c>
      <c r="H32" s="84">
        <v>94</v>
      </c>
      <c r="I32" s="84">
        <v>105</v>
      </c>
      <c r="J32" s="84">
        <v>143</v>
      </c>
      <c r="K32" s="84">
        <v>639</v>
      </c>
      <c r="L32" s="84">
        <v>246</v>
      </c>
      <c r="M32" s="84">
        <v>358</v>
      </c>
      <c r="N32" s="86">
        <v>1223</v>
      </c>
    </row>
    <row r="33" spans="2:14" x14ac:dyDescent="0.3">
      <c r="B33" s="93" t="s">
        <v>40</v>
      </c>
      <c r="C33" s="84">
        <v>365</v>
      </c>
      <c r="D33" s="84">
        <v>851</v>
      </c>
      <c r="E33" s="84">
        <v>812</v>
      </c>
      <c r="F33" s="86">
        <v>1325</v>
      </c>
      <c r="G33" s="86">
        <v>1756</v>
      </c>
      <c r="H33" s="86">
        <v>1979</v>
      </c>
      <c r="I33" s="86">
        <v>2658</v>
      </c>
      <c r="J33" s="86">
        <v>1751</v>
      </c>
      <c r="K33" s="86">
        <v>1464</v>
      </c>
      <c r="L33" s="84">
        <v>774</v>
      </c>
      <c r="M33" s="84">
        <v>778</v>
      </c>
      <c r="N33" s="84">
        <v>726</v>
      </c>
    </row>
    <row r="34" spans="2:14" x14ac:dyDescent="0.3">
      <c r="B34" s="83"/>
      <c r="C34" s="84"/>
      <c r="D34" s="84"/>
      <c r="E34" s="84"/>
      <c r="F34" s="86"/>
      <c r="G34" s="86"/>
      <c r="H34" s="86"/>
      <c r="I34" s="86"/>
      <c r="J34" s="86"/>
      <c r="K34" s="86"/>
      <c r="L34" s="84"/>
      <c r="M34" s="84"/>
      <c r="N34" s="84"/>
    </row>
    <row r="35" spans="2:14" x14ac:dyDescent="0.3">
      <c r="B35" s="83"/>
      <c r="C35" s="84"/>
      <c r="D35" s="84"/>
      <c r="E35" s="84"/>
      <c r="F35" s="86"/>
      <c r="G35" s="86"/>
      <c r="H35" s="86"/>
      <c r="I35" s="86"/>
      <c r="J35" s="86"/>
      <c r="K35" s="86"/>
      <c r="L35" s="84"/>
      <c r="M35" s="84"/>
      <c r="N35" s="84"/>
    </row>
    <row r="36" spans="2:14" x14ac:dyDescent="0.3">
      <c r="B36" s="93" t="s">
        <v>203</v>
      </c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</row>
    <row r="37" spans="2:14" x14ac:dyDescent="0.3">
      <c r="B37" s="83" t="s">
        <v>204</v>
      </c>
      <c r="C37" s="84">
        <v>746</v>
      </c>
      <c r="D37" s="84">
        <v>736</v>
      </c>
      <c r="E37" s="84">
        <v>844</v>
      </c>
      <c r="F37" s="84">
        <v>821</v>
      </c>
      <c r="G37" s="84">
        <v>940</v>
      </c>
      <c r="H37" s="84">
        <v>902</v>
      </c>
      <c r="I37" s="84">
        <v>966</v>
      </c>
      <c r="J37" s="86">
        <v>1283</v>
      </c>
      <c r="K37" s="86">
        <v>1416</v>
      </c>
      <c r="L37" s="86">
        <v>1593</v>
      </c>
      <c r="M37" s="86">
        <v>1929</v>
      </c>
      <c r="N37" s="86">
        <v>1873</v>
      </c>
    </row>
    <row r="38" spans="2:14" x14ac:dyDescent="0.3">
      <c r="B38" s="83" t="s">
        <v>210</v>
      </c>
      <c r="C38" s="84">
        <v>88</v>
      </c>
      <c r="D38" s="84">
        <v>84</v>
      </c>
      <c r="E38" s="84">
        <v>99</v>
      </c>
      <c r="F38" s="84">
        <v>78</v>
      </c>
      <c r="G38" s="84">
        <v>98</v>
      </c>
      <c r="H38" s="84">
        <v>89</v>
      </c>
      <c r="I38" s="84">
        <v>125</v>
      </c>
      <c r="J38" s="84">
        <v>124</v>
      </c>
      <c r="K38" s="84">
        <v>165</v>
      </c>
      <c r="L38" s="84">
        <v>166</v>
      </c>
      <c r="M38" s="84">
        <v>192</v>
      </c>
      <c r="N38" s="84">
        <v>203</v>
      </c>
    </row>
    <row r="39" spans="2:14" x14ac:dyDescent="0.3">
      <c r="B39" s="83" t="s">
        <v>205</v>
      </c>
      <c r="C39" s="84">
        <v>237</v>
      </c>
      <c r="D39" s="84">
        <v>749</v>
      </c>
      <c r="E39" s="84">
        <v>446</v>
      </c>
      <c r="F39" s="84">
        <v>500</v>
      </c>
      <c r="G39" s="84">
        <v>880</v>
      </c>
      <c r="H39" s="86">
        <v>1457</v>
      </c>
      <c r="I39" s="86">
        <v>1610</v>
      </c>
      <c r="J39" s="86">
        <v>1308</v>
      </c>
      <c r="K39" s="86">
        <v>1770</v>
      </c>
      <c r="L39" s="84">
        <v>735</v>
      </c>
      <c r="M39" s="84">
        <v>946</v>
      </c>
      <c r="N39" s="84">
        <v>875</v>
      </c>
    </row>
    <row r="40" spans="2:14" x14ac:dyDescent="0.3">
      <c r="B40" s="83" t="s">
        <v>206</v>
      </c>
      <c r="C40" s="84">
        <v>14</v>
      </c>
      <c r="D40" s="84">
        <v>15</v>
      </c>
      <c r="E40" s="84">
        <v>15</v>
      </c>
      <c r="F40" s="84">
        <v>15</v>
      </c>
      <c r="G40" s="84">
        <v>17</v>
      </c>
      <c r="H40" s="84">
        <v>31</v>
      </c>
      <c r="I40" s="84">
        <v>23</v>
      </c>
      <c r="J40" s="84">
        <v>26</v>
      </c>
      <c r="K40" s="84">
        <v>27</v>
      </c>
      <c r="L40" s="84">
        <v>21</v>
      </c>
      <c r="M40" s="84">
        <v>27</v>
      </c>
      <c r="N40" s="84">
        <v>11</v>
      </c>
    </row>
    <row r="41" spans="2:14" x14ac:dyDescent="0.3">
      <c r="B41" s="83" t="s">
        <v>207</v>
      </c>
      <c r="C41" s="84">
        <v>167</v>
      </c>
      <c r="D41" s="84">
        <v>215</v>
      </c>
      <c r="E41" s="84">
        <v>182</v>
      </c>
      <c r="F41" s="84">
        <v>219</v>
      </c>
      <c r="G41" s="84">
        <v>201</v>
      </c>
      <c r="H41" s="84">
        <v>193</v>
      </c>
      <c r="I41" s="84">
        <v>201</v>
      </c>
      <c r="J41" s="84">
        <v>196</v>
      </c>
      <c r="K41" s="84">
        <v>240</v>
      </c>
      <c r="L41" s="86">
        <v>1704</v>
      </c>
      <c r="M41" s="86">
        <v>1706</v>
      </c>
      <c r="N41" s="86">
        <v>1860</v>
      </c>
    </row>
    <row r="42" spans="2:14" s="82" customFormat="1" x14ac:dyDescent="0.3">
      <c r="B42" s="93" t="s">
        <v>86</v>
      </c>
      <c r="C42" s="94">
        <v>5164</v>
      </c>
      <c r="D42" s="94">
        <v>6314</v>
      </c>
      <c r="E42" s="94">
        <v>5820</v>
      </c>
      <c r="F42" s="94">
        <v>6086</v>
      </c>
      <c r="G42" s="94">
        <v>6810</v>
      </c>
      <c r="H42" s="94">
        <v>7363</v>
      </c>
      <c r="I42" s="94">
        <v>8088</v>
      </c>
      <c r="J42" s="94">
        <v>7173</v>
      </c>
      <c r="K42" s="94">
        <v>7900</v>
      </c>
      <c r="L42" s="94">
        <v>8234</v>
      </c>
      <c r="M42" s="94">
        <v>8979</v>
      </c>
      <c r="N42" s="94">
        <v>10094</v>
      </c>
    </row>
    <row r="45" spans="2:14" x14ac:dyDescent="0.3">
      <c r="C45" s="97">
        <v>41244</v>
      </c>
      <c r="D45" s="97">
        <v>41609</v>
      </c>
      <c r="E45" s="97">
        <v>41974</v>
      </c>
      <c r="F45" s="97">
        <v>42339</v>
      </c>
      <c r="G45" s="97">
        <v>42705</v>
      </c>
      <c r="H45" s="97">
        <v>43070</v>
      </c>
      <c r="I45" s="97">
        <v>43435</v>
      </c>
      <c r="J45" s="97">
        <v>43800</v>
      </c>
      <c r="K45" s="97">
        <v>44166</v>
      </c>
      <c r="L45" s="97">
        <v>44531</v>
      </c>
      <c r="M45" s="97">
        <v>44896</v>
      </c>
      <c r="N45" s="97">
        <v>45261</v>
      </c>
    </row>
    <row r="46" spans="2:14" x14ac:dyDescent="0.3">
      <c r="B46" s="98" t="s">
        <v>124</v>
      </c>
      <c r="C46" s="99">
        <v>1693</v>
      </c>
      <c r="D46" s="99">
        <v>1796</v>
      </c>
      <c r="E46" s="99">
        <v>1644</v>
      </c>
      <c r="F46" s="99">
        <v>1098</v>
      </c>
      <c r="G46" s="99">
        <v>1466</v>
      </c>
      <c r="H46" s="99">
        <v>1818</v>
      </c>
      <c r="I46" s="99">
        <v>2052</v>
      </c>
      <c r="J46" s="99">
        <v>2295</v>
      </c>
      <c r="K46" s="99">
        <v>2454</v>
      </c>
      <c r="L46" s="99">
        <v>2236</v>
      </c>
      <c r="M46" s="99">
        <v>2737</v>
      </c>
      <c r="N46" s="99">
        <v>3392</v>
      </c>
    </row>
    <row r="47" spans="2:14" x14ac:dyDescent="0.3">
      <c r="B47" s="98" t="s">
        <v>125</v>
      </c>
      <c r="C47" s="99">
        <v>1845</v>
      </c>
      <c r="D47" s="99">
        <v>1956</v>
      </c>
      <c r="E47" s="99">
        <v>2051</v>
      </c>
      <c r="F47" s="99">
        <v>1109</v>
      </c>
      <c r="G47" s="99">
        <v>1765</v>
      </c>
      <c r="H47" s="99">
        <v>2047</v>
      </c>
      <c r="I47" s="99">
        <v>2521</v>
      </c>
      <c r="J47" s="99">
        <v>2805</v>
      </c>
      <c r="K47" s="99">
        <v>3061</v>
      </c>
      <c r="L47" s="99">
        <v>3136</v>
      </c>
      <c r="M47" s="99">
        <v>3609</v>
      </c>
      <c r="N47" s="99">
        <v>4388</v>
      </c>
    </row>
    <row r="48" spans="2:14" x14ac:dyDescent="0.3">
      <c r="B48" s="83" t="s">
        <v>42</v>
      </c>
      <c r="C48" s="84">
        <v>26</v>
      </c>
      <c r="D48" s="84">
        <v>3</v>
      </c>
      <c r="E48" s="84">
        <v>-14</v>
      </c>
      <c r="F48" s="84">
        <v>21</v>
      </c>
      <c r="G48" s="84">
        <v>-19</v>
      </c>
      <c r="H48" s="84">
        <v>8</v>
      </c>
      <c r="I48" s="84">
        <v>-36</v>
      </c>
      <c r="J48" s="84">
        <v>0</v>
      </c>
      <c r="K48" s="84">
        <v>-42</v>
      </c>
      <c r="L48" s="84">
        <v>-2</v>
      </c>
      <c r="M48" s="84">
        <v>-28</v>
      </c>
      <c r="N48" s="84">
        <v>-11</v>
      </c>
    </row>
    <row r="49" spans="2:14" x14ac:dyDescent="0.3">
      <c r="B49" s="83" t="s">
        <v>43</v>
      </c>
      <c r="C49" s="84">
        <v>-12</v>
      </c>
      <c r="D49" s="84">
        <v>10</v>
      </c>
      <c r="E49" s="84">
        <v>-108</v>
      </c>
      <c r="F49" s="84">
        <v>23</v>
      </c>
      <c r="G49" s="84">
        <v>-119</v>
      </c>
      <c r="H49" s="84">
        <v>38</v>
      </c>
      <c r="I49" s="84">
        <v>-63</v>
      </c>
      <c r="J49" s="84">
        <v>-318</v>
      </c>
      <c r="K49" s="84">
        <v>-133</v>
      </c>
      <c r="L49" s="84">
        <v>-169</v>
      </c>
      <c r="M49" s="84">
        <v>-336</v>
      </c>
      <c r="N49" s="84">
        <v>56</v>
      </c>
    </row>
    <row r="50" spans="2:14" x14ac:dyDescent="0.3">
      <c r="B50" s="83" t="s">
        <v>126</v>
      </c>
      <c r="C50" s="84">
        <v>108</v>
      </c>
      <c r="D50" s="84">
        <v>128</v>
      </c>
      <c r="E50" s="84">
        <v>118</v>
      </c>
      <c r="F50" s="84">
        <v>79</v>
      </c>
      <c r="G50" s="84">
        <v>50</v>
      </c>
      <c r="H50" s="84">
        <v>185</v>
      </c>
      <c r="I50" s="84">
        <v>257</v>
      </c>
      <c r="J50" s="84">
        <v>253</v>
      </c>
      <c r="K50" s="84">
        <v>23</v>
      </c>
      <c r="L50" s="84">
        <v>217</v>
      </c>
      <c r="M50" s="84">
        <v>178</v>
      </c>
      <c r="N50" s="84">
        <v>68</v>
      </c>
    </row>
    <row r="51" spans="2:14" x14ac:dyDescent="0.3">
      <c r="B51" s="83" t="s">
        <v>127</v>
      </c>
      <c r="C51" s="84">
        <v>0</v>
      </c>
      <c r="D51" s="84">
        <v>-48</v>
      </c>
      <c r="E51" s="84">
        <v>34</v>
      </c>
      <c r="F51" s="84">
        <v>-3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84">
        <v>-40</v>
      </c>
      <c r="M51" s="84">
        <v>-30</v>
      </c>
      <c r="N51" s="84">
        <v>-30</v>
      </c>
    </row>
    <row r="52" spans="2:14" x14ac:dyDescent="0.3">
      <c r="B52" s="83" t="s">
        <v>128</v>
      </c>
      <c r="C52" s="84">
        <v>0</v>
      </c>
      <c r="D52" s="84">
        <v>0</v>
      </c>
      <c r="E52" s="84">
        <v>0</v>
      </c>
      <c r="F52" s="84">
        <v>2</v>
      </c>
      <c r="G52" s="84">
        <v>0</v>
      </c>
      <c r="H52" s="84">
        <v>0</v>
      </c>
      <c r="I52" s="84">
        <v>0</v>
      </c>
      <c r="J52" s="84">
        <v>0</v>
      </c>
      <c r="K52" s="84">
        <v>0</v>
      </c>
      <c r="L52" s="84">
        <v>0</v>
      </c>
      <c r="M52" s="84">
        <v>0</v>
      </c>
      <c r="N52" s="84">
        <v>0</v>
      </c>
    </row>
    <row r="53" spans="2:14" x14ac:dyDescent="0.3">
      <c r="B53" s="83" t="s">
        <v>129</v>
      </c>
      <c r="C53" s="84">
        <v>141</v>
      </c>
      <c r="D53" s="84">
        <v>234</v>
      </c>
      <c r="E53" s="84">
        <v>153</v>
      </c>
      <c r="F53" s="84">
        <v>210</v>
      </c>
      <c r="G53" s="84">
        <v>293</v>
      </c>
      <c r="H53" s="84">
        <v>144</v>
      </c>
      <c r="I53" s="84">
        <v>255</v>
      </c>
      <c r="J53" s="84">
        <v>227</v>
      </c>
      <c r="K53" s="84">
        <v>249</v>
      </c>
      <c r="L53" s="84">
        <v>-179</v>
      </c>
      <c r="M53" s="84">
        <v>185</v>
      </c>
      <c r="N53" s="84">
        <v>-19</v>
      </c>
    </row>
    <row r="54" spans="2:14" x14ac:dyDescent="0.3">
      <c r="B54" s="98" t="s">
        <v>130</v>
      </c>
      <c r="C54" s="100">
        <v>263</v>
      </c>
      <c r="D54" s="100">
        <v>326</v>
      </c>
      <c r="E54" s="100">
        <v>182</v>
      </c>
      <c r="F54" s="100">
        <v>332</v>
      </c>
      <c r="G54" s="100">
        <v>204</v>
      </c>
      <c r="H54" s="100">
        <v>375</v>
      </c>
      <c r="I54" s="100">
        <v>413</v>
      </c>
      <c r="J54" s="100">
        <v>163</v>
      </c>
      <c r="K54" s="100">
        <v>97</v>
      </c>
      <c r="L54" s="100">
        <v>-172</v>
      </c>
      <c r="M54" s="100">
        <v>-30</v>
      </c>
      <c r="N54" s="100">
        <v>63</v>
      </c>
    </row>
    <row r="55" spans="2:14" x14ac:dyDescent="0.3">
      <c r="B55" s="83" t="s">
        <v>131</v>
      </c>
      <c r="C55" s="84">
        <v>-415</v>
      </c>
      <c r="D55" s="84">
        <v>-486</v>
      </c>
      <c r="E55" s="84">
        <v>-589</v>
      </c>
      <c r="F55" s="84">
        <v>-342</v>
      </c>
      <c r="G55" s="84">
        <v>-503</v>
      </c>
      <c r="H55" s="84">
        <v>-604</v>
      </c>
      <c r="I55" s="84">
        <v>-881</v>
      </c>
      <c r="J55" s="84">
        <v>-673</v>
      </c>
      <c r="K55" s="84">
        <v>-703</v>
      </c>
      <c r="L55" s="84">
        <v>-729</v>
      </c>
      <c r="M55" s="84">
        <v>-841</v>
      </c>
      <c r="N55" s="86">
        <v>-1059</v>
      </c>
    </row>
    <row r="56" spans="2:14" x14ac:dyDescent="0.3">
      <c r="B56" s="98" t="s">
        <v>132</v>
      </c>
      <c r="C56" s="100">
        <v>-941</v>
      </c>
      <c r="D56" s="100">
        <v>-441</v>
      </c>
      <c r="E56" s="100">
        <v>-432</v>
      </c>
      <c r="F56" s="100">
        <v>-70</v>
      </c>
      <c r="G56" s="100">
        <v>-126</v>
      </c>
      <c r="H56" s="100">
        <v>-131</v>
      </c>
      <c r="I56" s="100">
        <v>-52</v>
      </c>
      <c r="J56" s="100">
        <v>83</v>
      </c>
      <c r="K56" s="100">
        <v>-321</v>
      </c>
      <c r="L56" s="99">
        <v>-1920</v>
      </c>
      <c r="M56" s="100">
        <v>-392</v>
      </c>
      <c r="N56" s="100">
        <v>-927</v>
      </c>
    </row>
    <row r="57" spans="2:14" x14ac:dyDescent="0.3">
      <c r="B57" s="83" t="s">
        <v>133</v>
      </c>
      <c r="C57" s="84">
        <v>-977</v>
      </c>
      <c r="D57" s="84">
        <v>-345</v>
      </c>
      <c r="E57" s="84">
        <v>-415</v>
      </c>
      <c r="F57" s="84">
        <v>-151</v>
      </c>
      <c r="G57" s="84">
        <v>-207</v>
      </c>
      <c r="H57" s="84">
        <v>-199</v>
      </c>
      <c r="I57" s="84">
        <v>-166</v>
      </c>
      <c r="J57" s="84">
        <v>-155</v>
      </c>
      <c r="K57" s="84">
        <v>-478</v>
      </c>
      <c r="L57" s="84">
        <v>-735</v>
      </c>
      <c r="M57" s="84">
        <v>-550</v>
      </c>
      <c r="N57" s="86">
        <v>-1371</v>
      </c>
    </row>
    <row r="58" spans="2:14" x14ac:dyDescent="0.3">
      <c r="B58" s="83" t="s">
        <v>134</v>
      </c>
      <c r="C58" s="84">
        <v>2</v>
      </c>
      <c r="D58" s="84">
        <v>17</v>
      </c>
      <c r="E58" s="84">
        <v>10</v>
      </c>
      <c r="F58" s="84">
        <v>1</v>
      </c>
      <c r="G58" s="84">
        <v>94</v>
      </c>
      <c r="H58" s="84">
        <v>3</v>
      </c>
      <c r="I58" s="84">
        <v>3</v>
      </c>
      <c r="J58" s="84">
        <v>2</v>
      </c>
      <c r="K58" s="84">
        <v>4</v>
      </c>
      <c r="L58" s="84">
        <v>4</v>
      </c>
      <c r="M58" s="84">
        <v>9</v>
      </c>
      <c r="N58" s="84">
        <v>7</v>
      </c>
    </row>
    <row r="59" spans="2:14" x14ac:dyDescent="0.3">
      <c r="B59" s="83" t="s">
        <v>135</v>
      </c>
      <c r="C59" s="84">
        <v>0</v>
      </c>
      <c r="D59" s="84">
        <v>-145</v>
      </c>
      <c r="E59" s="84">
        <v>-80</v>
      </c>
      <c r="F59" s="84">
        <v>-37</v>
      </c>
      <c r="G59" s="84">
        <v>-153</v>
      </c>
      <c r="H59" s="84">
        <v>-112</v>
      </c>
      <c r="I59" s="84">
        <v>-160</v>
      </c>
      <c r="J59" s="84">
        <v>-16</v>
      </c>
      <c r="K59" s="84">
        <v>0</v>
      </c>
      <c r="L59" s="84">
        <v>0</v>
      </c>
      <c r="M59" s="84">
        <v>0</v>
      </c>
      <c r="N59" s="84">
        <v>0</v>
      </c>
    </row>
    <row r="60" spans="2:14" x14ac:dyDescent="0.3">
      <c r="B60" s="83" t="s">
        <v>136</v>
      </c>
      <c r="C60" s="84">
        <v>0</v>
      </c>
      <c r="D60" s="84">
        <v>0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25</v>
      </c>
      <c r="N60" s="84">
        <v>312</v>
      </c>
    </row>
    <row r="61" spans="2:14" x14ac:dyDescent="0.3">
      <c r="B61" s="83" t="s">
        <v>137</v>
      </c>
      <c r="C61" s="84">
        <v>21</v>
      </c>
      <c r="D61" s="84">
        <v>69</v>
      </c>
      <c r="E61" s="84">
        <v>66</v>
      </c>
      <c r="F61" s="84">
        <v>99</v>
      </c>
      <c r="G61" s="84">
        <v>126</v>
      </c>
      <c r="H61" s="84">
        <v>154</v>
      </c>
      <c r="I61" s="84">
        <v>237</v>
      </c>
      <c r="J61" s="84">
        <v>238</v>
      </c>
      <c r="K61" s="84">
        <v>148</v>
      </c>
      <c r="L61" s="84">
        <v>125</v>
      </c>
      <c r="M61" s="84">
        <v>103</v>
      </c>
      <c r="N61" s="84">
        <v>0</v>
      </c>
    </row>
    <row r="62" spans="2:14" x14ac:dyDescent="0.3">
      <c r="B62" s="83" t="s">
        <v>138</v>
      </c>
      <c r="C62" s="84">
        <v>10</v>
      </c>
      <c r="D62" s="84">
        <v>11</v>
      </c>
      <c r="E62" s="84">
        <v>10</v>
      </c>
      <c r="F62" s="84">
        <v>12</v>
      </c>
      <c r="G62" s="84">
        <v>13</v>
      </c>
      <c r="H62" s="84">
        <v>16</v>
      </c>
      <c r="I62" s="84">
        <v>19</v>
      </c>
      <c r="J62" s="84">
        <v>13</v>
      </c>
      <c r="K62" s="84">
        <v>2</v>
      </c>
      <c r="L62" s="84">
        <v>0</v>
      </c>
      <c r="M62" s="84">
        <v>0</v>
      </c>
      <c r="N62" s="84">
        <v>0</v>
      </c>
    </row>
    <row r="63" spans="2:14" x14ac:dyDescent="0.3">
      <c r="B63" s="83" t="s">
        <v>139</v>
      </c>
      <c r="C63" s="84">
        <v>3</v>
      </c>
      <c r="D63" s="84">
        <v>-47</v>
      </c>
      <c r="E63" s="84">
        <v>-23</v>
      </c>
      <c r="F63" s="84">
        <v>6</v>
      </c>
      <c r="G63" s="84">
        <v>1</v>
      </c>
      <c r="H63" s="84">
        <v>7</v>
      </c>
      <c r="I63" s="84">
        <v>15</v>
      </c>
      <c r="J63" s="84">
        <v>0</v>
      </c>
      <c r="K63" s="84">
        <v>3</v>
      </c>
      <c r="L63" s="86">
        <v>-1314</v>
      </c>
      <c r="M63" s="84">
        <v>20</v>
      </c>
      <c r="N63" s="84">
        <v>126</v>
      </c>
    </row>
    <row r="64" spans="2:14" x14ac:dyDescent="0.3">
      <c r="B64" s="98" t="s">
        <v>140</v>
      </c>
      <c r="C64" s="100">
        <v>-513</v>
      </c>
      <c r="D64" s="100">
        <v>-580</v>
      </c>
      <c r="E64" s="99">
        <v>-1635</v>
      </c>
      <c r="F64" s="100">
        <v>-498</v>
      </c>
      <c r="G64" s="100">
        <v>-666</v>
      </c>
      <c r="H64" s="100">
        <v>-997</v>
      </c>
      <c r="I64" s="99">
        <v>-1317</v>
      </c>
      <c r="J64" s="99">
        <v>-3602</v>
      </c>
      <c r="K64" s="99">
        <v>-1956</v>
      </c>
      <c r="L64" s="99">
        <v>-2020</v>
      </c>
      <c r="M64" s="99">
        <v>-2123</v>
      </c>
      <c r="N64" s="99">
        <v>-2436</v>
      </c>
    </row>
    <row r="65" spans="2:14" x14ac:dyDescent="0.3">
      <c r="B65" s="83" t="s">
        <v>141</v>
      </c>
      <c r="C65" s="84">
        <v>34</v>
      </c>
      <c r="D65" s="84">
        <v>0</v>
      </c>
      <c r="E65" s="84">
        <v>4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84">
        <v>24</v>
      </c>
      <c r="M65" s="84">
        <v>0</v>
      </c>
      <c r="N65" s="84">
        <v>0</v>
      </c>
    </row>
    <row r="66" spans="2:14" x14ac:dyDescent="0.3">
      <c r="B66" s="83" t="s">
        <v>142</v>
      </c>
      <c r="C66" s="84">
        <v>0</v>
      </c>
      <c r="D66" s="84">
        <v>0</v>
      </c>
      <c r="E66" s="84">
        <v>0</v>
      </c>
      <c r="F66" s="84">
        <v>-3</v>
      </c>
      <c r="G66" s="84">
        <v>0</v>
      </c>
      <c r="H66" s="84">
        <v>0</v>
      </c>
      <c r="I66" s="84">
        <v>0</v>
      </c>
      <c r="J66" s="84">
        <v>0</v>
      </c>
      <c r="K66" s="84">
        <v>0</v>
      </c>
      <c r="L66" s="84">
        <v>-24</v>
      </c>
      <c r="M66" s="84">
        <v>0</v>
      </c>
      <c r="N66" s="84">
        <v>0</v>
      </c>
    </row>
    <row r="67" spans="2:14" x14ac:dyDescent="0.3">
      <c r="B67" s="83" t="s">
        <v>143</v>
      </c>
      <c r="C67" s="84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N67" s="84">
        <v>0</v>
      </c>
    </row>
    <row r="68" spans="2:14" x14ac:dyDescent="0.3">
      <c r="B68" s="83" t="s">
        <v>144</v>
      </c>
      <c r="C68" s="84">
        <v>-30</v>
      </c>
      <c r="D68" s="84">
        <v>-36</v>
      </c>
      <c r="E68" s="84">
        <v>-15</v>
      </c>
      <c r="F68" s="84">
        <v>-3</v>
      </c>
      <c r="G68" s="84">
        <v>-4</v>
      </c>
      <c r="H68" s="84">
        <v>-1</v>
      </c>
      <c r="I68" s="84">
        <v>-4</v>
      </c>
      <c r="J68" s="84">
        <v>-63</v>
      </c>
      <c r="K68" s="84">
        <v>-69</v>
      </c>
      <c r="L68" s="84">
        <v>-9</v>
      </c>
      <c r="M68" s="84">
        <v>-18</v>
      </c>
      <c r="N68" s="84">
        <v>-20</v>
      </c>
    </row>
    <row r="69" spans="2:14" x14ac:dyDescent="0.3">
      <c r="B69" s="83" t="s">
        <v>145</v>
      </c>
      <c r="C69" s="84">
        <v>-467</v>
      </c>
      <c r="D69" s="84">
        <v>-468</v>
      </c>
      <c r="E69" s="84">
        <v>-607</v>
      </c>
      <c r="F69" s="84">
        <v>-410</v>
      </c>
      <c r="G69" s="84">
        <v>-564</v>
      </c>
      <c r="H69" s="84">
        <v>-829</v>
      </c>
      <c r="I69" s="86">
        <v>-1090</v>
      </c>
      <c r="J69" s="86">
        <v>-2950</v>
      </c>
      <c r="K69" s="86">
        <v>-1890</v>
      </c>
      <c r="L69" s="86">
        <v>-1928</v>
      </c>
      <c r="M69" s="86">
        <v>-2025</v>
      </c>
      <c r="N69" s="86">
        <v>-2333</v>
      </c>
    </row>
    <row r="70" spans="2:14" x14ac:dyDescent="0.3">
      <c r="B70" s="83" t="s">
        <v>146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-79</v>
      </c>
      <c r="M70" s="84">
        <v>-73</v>
      </c>
      <c r="N70" s="84">
        <v>-166</v>
      </c>
    </row>
    <row r="71" spans="2:14" x14ac:dyDescent="0.3">
      <c r="B71" s="83" t="s">
        <v>147</v>
      </c>
      <c r="C71" s="84">
        <v>-51</v>
      </c>
      <c r="D71" s="84">
        <v>-76</v>
      </c>
      <c r="E71" s="86">
        <v>-1017</v>
      </c>
      <c r="F71" s="84">
        <v>-82</v>
      </c>
      <c r="G71" s="84">
        <v>-98</v>
      </c>
      <c r="H71" s="84">
        <v>-167</v>
      </c>
      <c r="I71" s="84">
        <v>-224</v>
      </c>
      <c r="J71" s="84">
        <v>-588</v>
      </c>
      <c r="K71" s="84">
        <v>3</v>
      </c>
      <c r="L71" s="84">
        <v>-3</v>
      </c>
      <c r="M71" s="84">
        <v>-7</v>
      </c>
      <c r="N71" s="84">
        <v>83</v>
      </c>
    </row>
    <row r="72" spans="2:14" x14ac:dyDescent="0.3">
      <c r="B72" s="98" t="s">
        <v>52</v>
      </c>
      <c r="C72" s="100">
        <v>239</v>
      </c>
      <c r="D72" s="100">
        <v>775</v>
      </c>
      <c r="E72" s="100">
        <v>-423</v>
      </c>
      <c r="F72" s="100">
        <v>529</v>
      </c>
      <c r="G72" s="100">
        <v>674</v>
      </c>
      <c r="H72" s="100">
        <v>691</v>
      </c>
      <c r="I72" s="100">
        <v>683</v>
      </c>
      <c r="J72" s="99">
        <v>-1223</v>
      </c>
      <c r="K72" s="100">
        <v>177</v>
      </c>
      <c r="L72" s="99">
        <v>-1704</v>
      </c>
      <c r="M72" s="100">
        <v>223</v>
      </c>
      <c r="N72" s="100">
        <v>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B414-43EE-4FFE-B14C-A002C9EDC0A7}">
  <sheetPr>
    <tabColor rgb="FFC00000"/>
  </sheetPr>
  <dimension ref="A1:L93"/>
  <sheetViews>
    <sheetView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76" sqref="B76"/>
    </sheetView>
  </sheetViews>
  <sheetFormatPr defaultColWidth="10.44140625" defaultRowHeight="13.2" x14ac:dyDescent="0.25"/>
  <cols>
    <col min="1" max="1" width="26.77734375" style="2" bestFit="1" customWidth="1"/>
    <col min="2" max="11" width="11.44140625" style="2" bestFit="1" customWidth="1"/>
    <col min="12" max="16384" width="10.44140625" style="2"/>
  </cols>
  <sheetData>
    <row r="1" spans="1:11" s="1" customFormat="1" x14ac:dyDescent="0.25">
      <c r="A1" s="1" t="s">
        <v>0</v>
      </c>
      <c r="B1" s="1" t="s">
        <v>1</v>
      </c>
      <c r="E1" s="103" t="str">
        <f>IF(B2&lt;&gt;B3, "A NEW VERSION OF THE WORKSHEET IS AVAILABLE", "")</f>
        <v/>
      </c>
      <c r="F1" s="103"/>
      <c r="G1" s="103"/>
      <c r="H1" s="103"/>
      <c r="I1" s="103"/>
      <c r="J1" s="103"/>
      <c r="K1" s="103"/>
    </row>
    <row r="2" spans="1:11" x14ac:dyDescent="0.25">
      <c r="A2" s="1" t="s">
        <v>2</v>
      </c>
      <c r="B2" s="2">
        <v>2.1</v>
      </c>
      <c r="E2" s="104" t="s">
        <v>3</v>
      </c>
      <c r="F2" s="104"/>
      <c r="G2" s="104"/>
      <c r="H2" s="104"/>
      <c r="I2" s="104"/>
      <c r="J2" s="104"/>
      <c r="K2" s="104"/>
    </row>
    <row r="3" spans="1:11" x14ac:dyDescent="0.25">
      <c r="A3" s="1" t="s">
        <v>4</v>
      </c>
      <c r="B3" s="2">
        <v>2.1</v>
      </c>
    </row>
    <row r="4" spans="1:11" x14ac:dyDescent="0.25">
      <c r="A4" s="1"/>
    </row>
    <row r="5" spans="1:11" x14ac:dyDescent="0.25">
      <c r="A5" s="1" t="s">
        <v>5</v>
      </c>
    </row>
    <row r="6" spans="1:11" x14ac:dyDescent="0.25">
      <c r="A6" s="2" t="s">
        <v>6</v>
      </c>
      <c r="B6" s="2">
        <f>IF(B9&gt;0, B9/B8, 0)</f>
        <v>96.415701719312281</v>
      </c>
    </row>
    <row r="7" spans="1:11" x14ac:dyDescent="0.25">
      <c r="A7" s="2" t="s">
        <v>7</v>
      </c>
      <c r="B7" s="3">
        <v>1</v>
      </c>
    </row>
    <row r="8" spans="1:11" x14ac:dyDescent="0.25">
      <c r="A8" s="2" t="s">
        <v>8</v>
      </c>
      <c r="B8" s="3">
        <v>2501</v>
      </c>
    </row>
    <row r="9" spans="1:11" x14ac:dyDescent="0.25">
      <c r="A9" s="2" t="s">
        <v>9</v>
      </c>
      <c r="B9" s="3">
        <v>241135.67</v>
      </c>
    </row>
    <row r="15" spans="1:11" x14ac:dyDescent="0.25">
      <c r="A15" s="1" t="s">
        <v>10</v>
      </c>
      <c r="B15" s="2">
        <f>B26+B34</f>
        <v>2463.66</v>
      </c>
      <c r="K15" s="2">
        <f>K17-K18-K20-K21-K22-K23-K19</f>
        <v>8764.39</v>
      </c>
    </row>
    <row r="16" spans="1:11" s="6" customFormat="1" x14ac:dyDescent="0.25">
      <c r="A16" s="4" t="s">
        <v>11</v>
      </c>
      <c r="B16" s="5">
        <v>42004</v>
      </c>
      <c r="C16" s="5">
        <v>42369</v>
      </c>
      <c r="D16" s="5">
        <v>42735</v>
      </c>
      <c r="E16" s="5">
        <v>43100</v>
      </c>
      <c r="F16" s="5">
        <v>43465</v>
      </c>
      <c r="G16" s="5">
        <v>43830</v>
      </c>
      <c r="H16" s="5">
        <v>44196</v>
      </c>
      <c r="I16" s="5">
        <v>44561</v>
      </c>
      <c r="J16" s="5">
        <v>44926</v>
      </c>
      <c r="K16" s="5">
        <v>45291</v>
      </c>
    </row>
    <row r="17" spans="1:11" x14ac:dyDescent="0.25">
      <c r="A17" s="2" t="s">
        <v>12</v>
      </c>
      <c r="B17" s="3">
        <v>9854.84</v>
      </c>
      <c r="C17" s="3">
        <v>8175.31</v>
      </c>
      <c r="D17" s="3">
        <v>9141.34</v>
      </c>
      <c r="E17" s="3">
        <v>10009.6</v>
      </c>
      <c r="F17" s="3">
        <v>11292.27</v>
      </c>
      <c r="G17" s="3">
        <v>12368.9</v>
      </c>
      <c r="H17" s="3">
        <v>13350.03</v>
      </c>
      <c r="I17" s="3">
        <v>14740.59</v>
      </c>
      <c r="J17" s="3">
        <v>16896.96</v>
      </c>
      <c r="K17" s="3">
        <v>19126.3</v>
      </c>
    </row>
    <row r="18" spans="1:11" ht="14.4" x14ac:dyDescent="0.3">
      <c r="A18" s="2" t="s">
        <v>13</v>
      </c>
      <c r="B18" s="7">
        <v>3833.24</v>
      </c>
      <c r="C18" s="7">
        <v>2908.6</v>
      </c>
      <c r="D18" s="7">
        <v>3227.26</v>
      </c>
      <c r="E18" s="7">
        <v>3696.99</v>
      </c>
      <c r="F18" s="7">
        <v>3829.22</v>
      </c>
      <c r="G18" s="7">
        <v>4520.91</v>
      </c>
      <c r="H18" s="7">
        <v>4901.74</v>
      </c>
      <c r="I18" s="7">
        <v>5301.26</v>
      </c>
      <c r="J18" s="7">
        <v>6660.42</v>
      </c>
      <c r="K18" s="7">
        <v>8472.7199999999993</v>
      </c>
    </row>
    <row r="19" spans="1:11" ht="14.4" x14ac:dyDescent="0.3">
      <c r="A19" s="2" t="s">
        <v>14</v>
      </c>
      <c r="B19" s="7">
        <v>67.430000000000007</v>
      </c>
      <c r="C19" s="7">
        <v>-11.97</v>
      </c>
      <c r="D19" s="7">
        <v>7.66</v>
      </c>
      <c r="E19" s="7">
        <v>79.56</v>
      </c>
      <c r="F19" s="7">
        <v>6.01</v>
      </c>
      <c r="G19" s="7">
        <v>144.19</v>
      </c>
      <c r="H19" s="7">
        <v>69.33</v>
      </c>
      <c r="I19" s="7">
        <v>67.59</v>
      </c>
      <c r="J19" s="7">
        <v>250.27</v>
      </c>
      <c r="K19" s="7">
        <v>40.01</v>
      </c>
    </row>
    <row r="20" spans="1:11" x14ac:dyDescent="0.25">
      <c r="A20" s="2" t="s">
        <v>15</v>
      </c>
      <c r="B20" s="3">
        <v>384.33</v>
      </c>
      <c r="C20" s="3">
        <v>221.99</v>
      </c>
      <c r="D20" s="3">
        <v>232.79</v>
      </c>
      <c r="E20" s="3">
        <v>288.44</v>
      </c>
      <c r="F20" s="3">
        <v>344.18</v>
      </c>
      <c r="G20" s="3">
        <v>340.53</v>
      </c>
      <c r="H20" s="3">
        <v>313.68</v>
      </c>
      <c r="I20" s="3">
        <v>408.06</v>
      </c>
      <c r="J20" s="3">
        <v>572.61</v>
      </c>
      <c r="K20" s="3"/>
    </row>
    <row r="21" spans="1:11" x14ac:dyDescent="0.25">
      <c r="A21" s="2" t="s">
        <v>16</v>
      </c>
      <c r="B21" s="3">
        <v>955.26</v>
      </c>
      <c r="C21" s="3">
        <v>718.95</v>
      </c>
      <c r="D21" s="3">
        <v>850.85</v>
      </c>
      <c r="E21" s="3">
        <v>897.84</v>
      </c>
      <c r="F21" s="3">
        <v>949.86</v>
      </c>
      <c r="G21" s="3">
        <v>1028.55</v>
      </c>
      <c r="H21" s="3">
        <v>1040.3599999999999</v>
      </c>
      <c r="I21" s="3">
        <v>1349.48</v>
      </c>
      <c r="J21" s="3">
        <v>1603.48</v>
      </c>
      <c r="K21" s="3"/>
    </row>
    <row r="22" spans="1:11" x14ac:dyDescent="0.25">
      <c r="A22" s="2" t="s">
        <v>17</v>
      </c>
      <c r="B22" s="3">
        <v>837.05</v>
      </c>
      <c r="C22" s="3">
        <v>912.75</v>
      </c>
      <c r="D22" s="3">
        <v>901.57</v>
      </c>
      <c r="E22" s="3">
        <v>1017.45</v>
      </c>
      <c r="F22" s="3">
        <v>1124.1500000000001</v>
      </c>
      <c r="G22" s="3">
        <v>1258.17</v>
      </c>
      <c r="H22" s="3">
        <v>1500.95</v>
      </c>
      <c r="I22" s="3">
        <v>1529.94</v>
      </c>
      <c r="J22" s="3">
        <v>1635.46</v>
      </c>
      <c r="K22" s="3">
        <v>1849.18</v>
      </c>
    </row>
    <row r="23" spans="1:11" x14ac:dyDescent="0.25">
      <c r="A23" s="2" t="s">
        <v>18</v>
      </c>
      <c r="B23" s="3">
        <v>1680.48</v>
      </c>
      <c r="C23" s="3">
        <v>1615.41</v>
      </c>
      <c r="D23" s="3">
        <v>1751.78</v>
      </c>
      <c r="E23" s="3">
        <v>1823.98</v>
      </c>
      <c r="F23" s="3">
        <v>2145.8200000000002</v>
      </c>
      <c r="G23" s="3">
        <v>2226.13</v>
      </c>
      <c r="H23" s="3">
        <v>2246.9</v>
      </c>
      <c r="I23" s="3">
        <v>2902.12</v>
      </c>
      <c r="J23" s="3">
        <v>3192.15</v>
      </c>
      <c r="K23" s="3"/>
    </row>
    <row r="24" spans="1:11" x14ac:dyDescent="0.25">
      <c r="A24" s="2" t="s">
        <v>19</v>
      </c>
      <c r="B24" s="3">
        <v>192.66</v>
      </c>
      <c r="C24" s="3">
        <v>230.71</v>
      </c>
      <c r="D24" s="3">
        <v>334.91</v>
      </c>
      <c r="E24" s="3">
        <v>267.93</v>
      </c>
      <c r="F24" s="3">
        <v>287.39999999999998</v>
      </c>
      <c r="G24" s="3">
        <v>212.92</v>
      </c>
      <c r="H24" s="3">
        <v>214.23</v>
      </c>
      <c r="I24" s="3">
        <v>-245.08</v>
      </c>
      <c r="J24" s="3">
        <v>-223.18</v>
      </c>
      <c r="K24" s="3">
        <v>4373.42</v>
      </c>
    </row>
    <row r="25" spans="1:11" x14ac:dyDescent="0.25">
      <c r="A25" s="2" t="s">
        <v>20</v>
      </c>
      <c r="B25" s="3">
        <v>86.87</v>
      </c>
      <c r="C25" s="3">
        <v>-390.75</v>
      </c>
      <c r="D25" s="3">
        <v>140.12</v>
      </c>
      <c r="E25" s="3">
        <v>176.92</v>
      </c>
      <c r="F25" s="3">
        <v>258.92</v>
      </c>
      <c r="G25" s="3">
        <v>246.88</v>
      </c>
      <c r="H25" s="3">
        <v>145.85</v>
      </c>
      <c r="I25" s="3">
        <v>-112.38</v>
      </c>
      <c r="J25" s="3">
        <v>107.26</v>
      </c>
      <c r="K25" s="3">
        <v>115.5</v>
      </c>
    </row>
    <row r="26" spans="1:11" x14ac:dyDescent="0.25">
      <c r="A26" s="2" t="s">
        <v>21</v>
      </c>
      <c r="B26" s="3">
        <v>337.54</v>
      </c>
      <c r="C26" s="3">
        <v>347.26</v>
      </c>
      <c r="D26" s="3">
        <v>353.67</v>
      </c>
      <c r="E26" s="3">
        <v>342.25</v>
      </c>
      <c r="F26" s="3">
        <v>335.67</v>
      </c>
      <c r="G26" s="3">
        <v>370.15</v>
      </c>
      <c r="H26" s="3">
        <v>370.38</v>
      </c>
      <c r="I26" s="3">
        <v>391.02</v>
      </c>
      <c r="J26" s="3">
        <v>403.01</v>
      </c>
      <c r="K26" s="3">
        <v>428.91</v>
      </c>
    </row>
    <row r="27" spans="1:11" ht="14.4" x14ac:dyDescent="0.3">
      <c r="A27" s="2" t="s">
        <v>22</v>
      </c>
      <c r="B27" s="3">
        <v>14.23</v>
      </c>
      <c r="C27" s="3">
        <v>3.29</v>
      </c>
      <c r="D27" s="3">
        <v>90.91</v>
      </c>
      <c r="E27" s="3">
        <v>91.9</v>
      </c>
      <c r="F27" s="3">
        <v>111.95</v>
      </c>
      <c r="G27" s="3">
        <v>129.12</v>
      </c>
      <c r="H27" s="3">
        <v>164.18</v>
      </c>
      <c r="I27" s="3">
        <v>201.68</v>
      </c>
      <c r="J27" s="7">
        <v>154.57</v>
      </c>
      <c r="K27" s="7">
        <v>119.29</v>
      </c>
    </row>
    <row r="28" spans="1:11" x14ac:dyDescent="0.25">
      <c r="A28" s="2" t="s">
        <v>23</v>
      </c>
      <c r="B28" s="3">
        <v>1774.35</v>
      </c>
      <c r="C28" s="3">
        <v>813.63</v>
      </c>
      <c r="D28" s="3">
        <v>1545.38</v>
      </c>
      <c r="E28" s="3">
        <v>1839.3</v>
      </c>
      <c r="F28" s="3">
        <v>2428.9499999999998</v>
      </c>
      <c r="G28" s="3">
        <v>2673.49</v>
      </c>
      <c r="H28" s="3">
        <v>2812.79</v>
      </c>
      <c r="I28" s="3">
        <v>2857.32</v>
      </c>
      <c r="J28" s="3">
        <v>3255.97</v>
      </c>
      <c r="K28" s="3">
        <v>4038.29</v>
      </c>
    </row>
    <row r="29" spans="1:11" x14ac:dyDescent="0.25">
      <c r="A29" s="2" t="s">
        <v>24</v>
      </c>
      <c r="B29" s="3">
        <v>589.66</v>
      </c>
      <c r="C29" s="3">
        <v>250.36</v>
      </c>
      <c r="D29" s="3">
        <v>544.02</v>
      </c>
      <c r="E29" s="3">
        <v>614.11</v>
      </c>
      <c r="F29" s="3">
        <v>822.02</v>
      </c>
      <c r="G29" s="3">
        <v>705.05</v>
      </c>
      <c r="H29" s="3">
        <v>730.36</v>
      </c>
      <c r="I29" s="3">
        <v>738.91</v>
      </c>
      <c r="J29" s="3">
        <v>865.45</v>
      </c>
      <c r="K29" s="3">
        <v>1039.6199999999999</v>
      </c>
    </row>
    <row r="30" spans="1:11" x14ac:dyDescent="0.25">
      <c r="A30" s="2" t="s">
        <v>25</v>
      </c>
      <c r="B30" s="3">
        <v>1184.69</v>
      </c>
      <c r="C30" s="3">
        <v>563.27</v>
      </c>
      <c r="D30" s="3">
        <v>1001.36</v>
      </c>
      <c r="E30" s="3">
        <v>1225.19</v>
      </c>
      <c r="F30" s="3">
        <v>1606.93</v>
      </c>
      <c r="G30" s="3">
        <v>1968.44</v>
      </c>
      <c r="H30" s="3">
        <v>2082.4299999999998</v>
      </c>
      <c r="I30" s="3">
        <v>2118.41</v>
      </c>
      <c r="J30" s="3">
        <v>2390.52</v>
      </c>
      <c r="K30" s="3">
        <v>2998.67</v>
      </c>
    </row>
    <row r="31" spans="1:11" x14ac:dyDescent="0.25">
      <c r="A31" s="2" t="s">
        <v>26</v>
      </c>
      <c r="B31" s="3">
        <v>607.45000000000005</v>
      </c>
      <c r="C31" s="3">
        <v>467.64</v>
      </c>
      <c r="D31" s="3">
        <v>607.45000000000005</v>
      </c>
      <c r="E31" s="3">
        <v>829.21</v>
      </c>
      <c r="F31" s="3">
        <v>1108.83</v>
      </c>
      <c r="G31" s="3">
        <v>3297.56</v>
      </c>
      <c r="H31" s="3">
        <v>1928.4</v>
      </c>
      <c r="I31" s="3">
        <v>1928.4</v>
      </c>
      <c r="J31" s="3">
        <v>2121.2399999999998</v>
      </c>
      <c r="K31" s="3">
        <v>1677.71</v>
      </c>
    </row>
    <row r="32" spans="1:11" x14ac:dyDescent="0.25">
      <c r="A32" s="2" t="s">
        <v>27</v>
      </c>
      <c r="B32" s="8">
        <f>B29/B28</f>
        <v>0.33232451320201761</v>
      </c>
      <c r="C32" s="8">
        <f t="shared" ref="C32:K32" si="0">C29/C28</f>
        <v>0.30770743458328725</v>
      </c>
      <c r="D32" s="8">
        <f t="shared" si="0"/>
        <v>0.35202992144326956</v>
      </c>
      <c r="E32" s="8">
        <f t="shared" si="0"/>
        <v>0.33388245528190075</v>
      </c>
      <c r="F32" s="8">
        <f t="shared" si="0"/>
        <v>0.33842606887749854</v>
      </c>
      <c r="G32" s="8">
        <f t="shared" si="0"/>
        <v>0.26371895911336868</v>
      </c>
      <c r="H32" s="8">
        <f t="shared" si="0"/>
        <v>0.2596567820562502</v>
      </c>
      <c r="I32" s="8">
        <f t="shared" si="0"/>
        <v>0.25860246664706787</v>
      </c>
      <c r="J32" s="8">
        <f t="shared" si="0"/>
        <v>0.26580404610607594</v>
      </c>
      <c r="K32" s="8">
        <f t="shared" si="0"/>
        <v>0.25744064938377381</v>
      </c>
    </row>
    <row r="34" spans="1:11" x14ac:dyDescent="0.25">
      <c r="A34" s="2" t="s">
        <v>28</v>
      </c>
      <c r="B34" s="2">
        <f>+B30+B29+B27+B26</f>
        <v>2126.12</v>
      </c>
      <c r="C34" s="2">
        <f t="shared" ref="C34:K34" si="1">+C30+C29+C27+C26</f>
        <v>1164.1799999999998</v>
      </c>
      <c r="D34" s="2">
        <f t="shared" si="1"/>
        <v>1989.9600000000003</v>
      </c>
      <c r="E34" s="2">
        <f t="shared" si="1"/>
        <v>2273.4500000000003</v>
      </c>
      <c r="F34" s="2">
        <f t="shared" si="1"/>
        <v>2876.5699999999997</v>
      </c>
      <c r="G34" s="2">
        <f t="shared" si="1"/>
        <v>3172.7599999999998</v>
      </c>
      <c r="H34" s="2">
        <f t="shared" si="1"/>
        <v>3347.35</v>
      </c>
      <c r="I34" s="2">
        <f t="shared" si="1"/>
        <v>3450.0199999999995</v>
      </c>
      <c r="J34" s="2">
        <f t="shared" si="1"/>
        <v>3813.55</v>
      </c>
      <c r="K34" s="2">
        <f t="shared" si="1"/>
        <v>4586.49</v>
      </c>
    </row>
    <row r="40" spans="1:11" x14ac:dyDescent="0.25">
      <c r="A40" s="1" t="s">
        <v>29</v>
      </c>
    </row>
    <row r="41" spans="1:11" s="6" customFormat="1" x14ac:dyDescent="0.25">
      <c r="A41" s="4" t="s">
        <v>11</v>
      </c>
      <c r="B41" s="5">
        <v>44469</v>
      </c>
      <c r="C41" s="5">
        <v>44561</v>
      </c>
      <c r="D41" s="5">
        <v>44651</v>
      </c>
      <c r="E41" s="5">
        <v>44742</v>
      </c>
      <c r="F41" s="5">
        <v>44834</v>
      </c>
      <c r="G41" s="5">
        <v>44926</v>
      </c>
      <c r="H41" s="5">
        <v>45016</v>
      </c>
      <c r="I41" s="5">
        <v>45107</v>
      </c>
      <c r="J41" s="5">
        <v>45199</v>
      </c>
      <c r="K41" s="5">
        <v>45291</v>
      </c>
    </row>
    <row r="42" spans="1:11" x14ac:dyDescent="0.25">
      <c r="A42" s="2" t="s">
        <v>12</v>
      </c>
      <c r="B42" s="3">
        <v>3882.57</v>
      </c>
      <c r="C42" s="3">
        <v>3747.98</v>
      </c>
      <c r="D42" s="3">
        <v>3992.64</v>
      </c>
      <c r="E42" s="3">
        <v>4045.69</v>
      </c>
      <c r="F42" s="3">
        <v>4601.84</v>
      </c>
      <c r="G42" s="3">
        <v>4256.79</v>
      </c>
      <c r="H42" s="3">
        <v>4830.53</v>
      </c>
      <c r="I42" s="3">
        <v>4658.53</v>
      </c>
      <c r="J42" s="3">
        <v>5036.82</v>
      </c>
      <c r="K42" s="3">
        <v>4600.42</v>
      </c>
    </row>
    <row r="43" spans="1:11" x14ac:dyDescent="0.25">
      <c r="A43" s="2" t="s">
        <v>30</v>
      </c>
      <c r="B43" s="3">
        <v>2934.58</v>
      </c>
      <c r="C43" s="3">
        <v>2889.29</v>
      </c>
      <c r="D43" s="3">
        <v>3071.69</v>
      </c>
      <c r="E43" s="3">
        <v>3231.16</v>
      </c>
      <c r="F43" s="3">
        <v>3597.76</v>
      </c>
      <c r="G43" s="3">
        <v>3283.78</v>
      </c>
      <c r="H43" s="3">
        <v>3735.05</v>
      </c>
      <c r="I43" s="3">
        <v>3603.01</v>
      </c>
      <c r="J43" s="3">
        <v>3811.95</v>
      </c>
      <c r="K43" s="3">
        <v>3505.3</v>
      </c>
    </row>
    <row r="44" spans="1:11" x14ac:dyDescent="0.25">
      <c r="A44" s="2" t="s">
        <v>20</v>
      </c>
      <c r="B44" s="3">
        <v>33.659999999999997</v>
      </c>
      <c r="C44" s="3">
        <v>-209.14</v>
      </c>
      <c r="D44" s="3">
        <v>21.44</v>
      </c>
      <c r="E44" s="3">
        <v>19.37</v>
      </c>
      <c r="F44" s="3">
        <v>30.64</v>
      </c>
      <c r="G44" s="3">
        <v>29.55</v>
      </c>
      <c r="H44" s="3">
        <v>33.69</v>
      </c>
      <c r="I44" s="3">
        <v>23.95</v>
      </c>
      <c r="J44" s="3">
        <v>139.69</v>
      </c>
      <c r="K44" s="3">
        <v>-77</v>
      </c>
    </row>
    <row r="45" spans="1:11" x14ac:dyDescent="0.25">
      <c r="A45" s="2" t="s">
        <v>21</v>
      </c>
      <c r="B45" s="3">
        <v>95.53</v>
      </c>
      <c r="C45" s="3">
        <v>105.96</v>
      </c>
      <c r="D45" s="3">
        <v>104.51</v>
      </c>
      <c r="E45" s="3">
        <v>101.68</v>
      </c>
      <c r="F45" s="3">
        <v>98.17</v>
      </c>
      <c r="G45" s="3">
        <v>98.66</v>
      </c>
      <c r="H45" s="3">
        <v>101.7</v>
      </c>
      <c r="I45" s="3">
        <v>107.36</v>
      </c>
      <c r="J45" s="3">
        <v>111.16</v>
      </c>
      <c r="K45" s="3">
        <v>108.69</v>
      </c>
    </row>
    <row r="46" spans="1:11" ht="14.4" x14ac:dyDescent="0.3">
      <c r="A46" s="2" t="s">
        <v>22</v>
      </c>
      <c r="B46" s="7">
        <v>51.88</v>
      </c>
      <c r="C46" s="7">
        <v>43.59</v>
      </c>
      <c r="D46" s="7">
        <v>35.58</v>
      </c>
      <c r="E46" s="7">
        <v>36.97</v>
      </c>
      <c r="F46" s="7">
        <v>37.19</v>
      </c>
      <c r="G46" s="7">
        <v>44.83</v>
      </c>
      <c r="H46" s="7">
        <v>37.01</v>
      </c>
      <c r="I46" s="7">
        <v>32.78</v>
      </c>
      <c r="J46" s="7">
        <v>31.38</v>
      </c>
      <c r="K46" s="7">
        <v>22.95</v>
      </c>
    </row>
    <row r="47" spans="1:11" x14ac:dyDescent="0.25">
      <c r="A47" s="2" t="s">
        <v>23</v>
      </c>
      <c r="B47" s="3">
        <v>834.24</v>
      </c>
      <c r="C47" s="3">
        <v>500</v>
      </c>
      <c r="D47" s="3">
        <v>802.3</v>
      </c>
      <c r="E47" s="3">
        <v>695.25</v>
      </c>
      <c r="F47" s="3">
        <v>899.36</v>
      </c>
      <c r="G47" s="3">
        <v>859.07</v>
      </c>
      <c r="H47" s="3">
        <v>990.46</v>
      </c>
      <c r="I47" s="3">
        <v>939.33</v>
      </c>
      <c r="J47" s="3">
        <v>1222.02</v>
      </c>
      <c r="K47" s="3">
        <v>886.48</v>
      </c>
    </row>
    <row r="48" spans="1:11" x14ac:dyDescent="0.25">
      <c r="A48" s="2" t="s">
        <v>24</v>
      </c>
      <c r="B48" s="3">
        <v>216.87</v>
      </c>
      <c r="C48" s="3">
        <v>120.52</v>
      </c>
      <c r="D48" s="3">
        <v>211.53</v>
      </c>
      <c r="E48" s="3">
        <v>185.01</v>
      </c>
      <c r="F48" s="3">
        <v>237.9</v>
      </c>
      <c r="G48" s="3">
        <v>231.01</v>
      </c>
      <c r="H48" s="3">
        <v>253.82</v>
      </c>
      <c r="I48" s="3">
        <v>240.99</v>
      </c>
      <c r="J48" s="3">
        <v>313.94</v>
      </c>
      <c r="K48" s="3">
        <v>230.87</v>
      </c>
    </row>
    <row r="49" spans="1:11" x14ac:dyDescent="0.25">
      <c r="A49" s="2" t="s">
        <v>25</v>
      </c>
      <c r="B49" s="3">
        <v>617.37</v>
      </c>
      <c r="C49" s="3">
        <v>379.48</v>
      </c>
      <c r="D49" s="3">
        <v>590.77</v>
      </c>
      <c r="E49" s="3">
        <v>510.24</v>
      </c>
      <c r="F49" s="3">
        <v>661.46</v>
      </c>
      <c r="G49" s="3">
        <v>628.05999999999995</v>
      </c>
      <c r="H49" s="3">
        <v>736.64</v>
      </c>
      <c r="I49" s="3">
        <v>698.34</v>
      </c>
      <c r="J49" s="3">
        <v>908.08</v>
      </c>
      <c r="K49" s="3">
        <v>655.61</v>
      </c>
    </row>
    <row r="50" spans="1:11" x14ac:dyDescent="0.25">
      <c r="A50" s="2" t="s">
        <v>31</v>
      </c>
      <c r="B50" s="3">
        <v>947.99</v>
      </c>
      <c r="C50" s="3">
        <v>858.69</v>
      </c>
      <c r="D50" s="3">
        <v>920.95</v>
      </c>
      <c r="E50" s="3">
        <v>814.53</v>
      </c>
      <c r="F50" s="3">
        <v>1004.08</v>
      </c>
      <c r="G50" s="3">
        <v>973.01</v>
      </c>
      <c r="H50" s="3">
        <v>1095.48</v>
      </c>
      <c r="I50" s="3">
        <v>1055.52</v>
      </c>
      <c r="J50" s="3">
        <v>1224.8699999999999</v>
      </c>
      <c r="K50" s="3">
        <v>1095.1199999999999</v>
      </c>
    </row>
    <row r="51" spans="1:11" x14ac:dyDescent="0.25">
      <c r="A51" s="2" t="s">
        <v>28</v>
      </c>
      <c r="B51" s="2">
        <f>B49+B48+B46+B45</f>
        <v>981.65</v>
      </c>
      <c r="C51" s="2">
        <f t="shared" ref="C51:K51" si="2">C49+C48+C46+C45</f>
        <v>649.55000000000007</v>
      </c>
      <c r="D51" s="2">
        <f t="shared" si="2"/>
        <v>942.39</v>
      </c>
      <c r="E51" s="2">
        <f t="shared" si="2"/>
        <v>833.90000000000009</v>
      </c>
      <c r="F51" s="2">
        <f t="shared" si="2"/>
        <v>1034.72</v>
      </c>
      <c r="G51" s="2">
        <f t="shared" si="2"/>
        <v>1002.56</v>
      </c>
      <c r="H51" s="2">
        <f t="shared" si="2"/>
        <v>1129.17</v>
      </c>
      <c r="I51" s="2">
        <f t="shared" si="2"/>
        <v>1079.47</v>
      </c>
      <c r="J51" s="2">
        <f t="shared" si="2"/>
        <v>1364.5600000000002</v>
      </c>
      <c r="K51" s="2">
        <f t="shared" si="2"/>
        <v>1018.1200000000001</v>
      </c>
    </row>
    <row r="55" spans="1:11" x14ac:dyDescent="0.25">
      <c r="A55" s="1" t="s">
        <v>32</v>
      </c>
    </row>
    <row r="56" spans="1:11" s="6" customFormat="1" x14ac:dyDescent="0.25">
      <c r="A56" s="4" t="s">
        <v>11</v>
      </c>
      <c r="B56" s="5">
        <v>42004</v>
      </c>
      <c r="C56" s="5">
        <v>42369</v>
      </c>
      <c r="D56" s="5">
        <v>42735</v>
      </c>
      <c r="E56" s="5">
        <v>43100</v>
      </c>
      <c r="F56" s="5">
        <v>43465</v>
      </c>
      <c r="G56" s="5">
        <v>43830</v>
      </c>
      <c r="H56" s="5">
        <v>44196</v>
      </c>
      <c r="I56" s="5">
        <v>44561</v>
      </c>
      <c r="J56" s="5">
        <v>44926</v>
      </c>
      <c r="K56" s="5">
        <v>45291</v>
      </c>
    </row>
    <row r="57" spans="1:11" x14ac:dyDescent="0.25">
      <c r="A57" s="2" t="s">
        <v>33</v>
      </c>
      <c r="B57" s="3">
        <v>96.42</v>
      </c>
      <c r="C57" s="3">
        <v>96.42</v>
      </c>
      <c r="D57" s="3">
        <v>96.42</v>
      </c>
      <c r="E57" s="3">
        <v>96.42</v>
      </c>
      <c r="F57" s="3">
        <v>96.42</v>
      </c>
      <c r="G57" s="3">
        <v>96.42</v>
      </c>
      <c r="H57" s="3">
        <v>96.42</v>
      </c>
      <c r="I57" s="3">
        <v>96.42</v>
      </c>
      <c r="J57" s="3">
        <v>96.42</v>
      </c>
      <c r="K57" s="3">
        <v>96.42</v>
      </c>
    </row>
    <row r="58" spans="1:11" x14ac:dyDescent="0.25">
      <c r="A58" s="2" t="s">
        <v>34</v>
      </c>
      <c r="B58" s="3">
        <v>2740.79</v>
      </c>
      <c r="C58" s="3">
        <v>2721.42</v>
      </c>
      <c r="D58" s="3">
        <v>3185.91</v>
      </c>
      <c r="E58" s="3">
        <v>3324.17</v>
      </c>
      <c r="F58" s="3">
        <v>3577.32</v>
      </c>
      <c r="G58" s="3">
        <v>1822.45</v>
      </c>
      <c r="H58" s="3">
        <v>1922.92</v>
      </c>
      <c r="I58" s="3">
        <v>1849.96</v>
      </c>
      <c r="J58" s="3">
        <v>2362.75</v>
      </c>
      <c r="K58" s="3">
        <v>2996.33</v>
      </c>
    </row>
    <row r="59" spans="1:11" ht="14.4" x14ac:dyDescent="0.3">
      <c r="A59" s="2" t="s">
        <v>35</v>
      </c>
      <c r="B59" s="7">
        <v>19.57</v>
      </c>
      <c r="C59" s="7">
        <v>17.73</v>
      </c>
      <c r="D59" s="7">
        <v>33.15</v>
      </c>
      <c r="E59" s="7">
        <v>35.14</v>
      </c>
      <c r="F59" s="7">
        <v>35.14</v>
      </c>
      <c r="G59" s="7">
        <v>188.94</v>
      </c>
      <c r="H59" s="7">
        <v>147.49</v>
      </c>
      <c r="I59" s="7">
        <v>266.45999999999998</v>
      </c>
      <c r="J59" s="7">
        <v>270.52</v>
      </c>
      <c r="K59" s="7">
        <v>341.5</v>
      </c>
    </row>
    <row r="60" spans="1:11" x14ac:dyDescent="0.25">
      <c r="A60" s="2" t="s">
        <v>36</v>
      </c>
      <c r="B60" s="3">
        <v>2962.72</v>
      </c>
      <c r="C60" s="3">
        <v>3250.76</v>
      </c>
      <c r="D60" s="3">
        <v>3494.98</v>
      </c>
      <c r="E60" s="3">
        <v>3906.86</v>
      </c>
      <c r="F60" s="3">
        <v>4379.2</v>
      </c>
      <c r="G60" s="3">
        <v>5065.13</v>
      </c>
      <c r="H60" s="3">
        <v>5732.9</v>
      </c>
      <c r="I60" s="3">
        <v>6021.29</v>
      </c>
      <c r="J60" s="3">
        <v>6249.05</v>
      </c>
      <c r="K60" s="3">
        <v>6659.94</v>
      </c>
    </row>
    <row r="61" spans="1:11" s="1" customFormat="1" x14ac:dyDescent="0.25">
      <c r="A61" s="1" t="s">
        <v>37</v>
      </c>
      <c r="B61" s="3">
        <v>5819.5</v>
      </c>
      <c r="C61" s="3">
        <v>6086.33</v>
      </c>
      <c r="D61" s="3">
        <v>6810.46</v>
      </c>
      <c r="E61" s="3">
        <v>7362.59</v>
      </c>
      <c r="F61" s="3">
        <v>8088.08</v>
      </c>
      <c r="G61" s="3">
        <v>7172.94</v>
      </c>
      <c r="H61" s="3">
        <v>7899.73</v>
      </c>
      <c r="I61" s="3">
        <v>8234.1299999999992</v>
      </c>
      <c r="J61" s="3">
        <v>8978.74</v>
      </c>
      <c r="K61" s="3">
        <v>10094.19</v>
      </c>
    </row>
    <row r="62" spans="1:11" x14ac:dyDescent="0.25">
      <c r="A62" s="2" t="s">
        <v>38</v>
      </c>
      <c r="B62" s="3">
        <v>3176.64</v>
      </c>
      <c r="C62" s="3">
        <v>2897.85</v>
      </c>
      <c r="D62" s="3">
        <v>2730.14</v>
      </c>
      <c r="E62" s="3">
        <v>2616.1799999999998</v>
      </c>
      <c r="F62" s="3">
        <v>2400.62</v>
      </c>
      <c r="G62" s="3">
        <v>2341.4499999999998</v>
      </c>
      <c r="H62" s="3">
        <v>2179.41</v>
      </c>
      <c r="I62" s="3">
        <v>2994.67</v>
      </c>
      <c r="J62" s="3">
        <v>3043.7</v>
      </c>
      <c r="K62" s="3">
        <v>3322.76</v>
      </c>
    </row>
    <row r="63" spans="1:11" x14ac:dyDescent="0.25">
      <c r="A63" s="2" t="s">
        <v>39</v>
      </c>
      <c r="B63" s="3">
        <v>244.78</v>
      </c>
      <c r="C63" s="3">
        <v>230.79</v>
      </c>
      <c r="D63" s="3">
        <v>188.17</v>
      </c>
      <c r="E63" s="3">
        <v>94.16</v>
      </c>
      <c r="F63" s="3">
        <v>105.2</v>
      </c>
      <c r="G63" s="3">
        <v>143.30000000000001</v>
      </c>
      <c r="H63" s="3">
        <v>638.58000000000004</v>
      </c>
      <c r="I63" s="3">
        <v>246.23</v>
      </c>
      <c r="J63" s="3">
        <v>358.36</v>
      </c>
      <c r="K63" s="3">
        <v>1223.1400000000001</v>
      </c>
    </row>
    <row r="64" spans="1:11" ht="14.4" x14ac:dyDescent="0.3">
      <c r="A64" s="2" t="s">
        <v>40</v>
      </c>
      <c r="B64" s="3">
        <v>811.82</v>
      </c>
      <c r="C64" s="7">
        <v>1324.92</v>
      </c>
      <c r="D64" s="3">
        <v>1755.66</v>
      </c>
      <c r="E64" s="3">
        <v>1978.87</v>
      </c>
      <c r="F64" s="3">
        <v>2658.49</v>
      </c>
      <c r="G64" s="3">
        <v>1751.05</v>
      </c>
      <c r="H64" s="3">
        <v>1463.77</v>
      </c>
      <c r="I64" s="3">
        <v>773.98</v>
      </c>
      <c r="J64" s="3">
        <v>777.54</v>
      </c>
      <c r="K64" s="3">
        <v>726.42</v>
      </c>
    </row>
    <row r="65" spans="1:11" x14ac:dyDescent="0.25">
      <c r="A65" s="2" t="s">
        <v>41</v>
      </c>
      <c r="B65" s="3">
        <v>1586.26</v>
      </c>
      <c r="C65" s="3">
        <v>1632.77</v>
      </c>
      <c r="D65" s="3">
        <v>2136.4899999999998</v>
      </c>
      <c r="E65" s="3">
        <v>2673.38</v>
      </c>
      <c r="F65" s="3">
        <v>2923.77</v>
      </c>
      <c r="G65" s="3">
        <v>2937.14</v>
      </c>
      <c r="H65" s="3">
        <v>3617.97</v>
      </c>
      <c r="I65" s="3">
        <v>4219.25</v>
      </c>
      <c r="J65" s="3">
        <v>4799.1400000000003</v>
      </c>
      <c r="K65" s="3">
        <v>4821.87</v>
      </c>
    </row>
    <row r="66" spans="1:11" s="1" customFormat="1" x14ac:dyDescent="0.25">
      <c r="A66" s="1" t="s">
        <v>37</v>
      </c>
      <c r="B66" s="3">
        <v>5819.5</v>
      </c>
      <c r="C66" s="3">
        <v>6086.33</v>
      </c>
      <c r="D66" s="3">
        <v>6810.46</v>
      </c>
      <c r="E66" s="3">
        <v>7362.59</v>
      </c>
      <c r="F66" s="3">
        <v>8088.08</v>
      </c>
      <c r="G66" s="3">
        <v>7172.94</v>
      </c>
      <c r="H66" s="3">
        <v>7899.73</v>
      </c>
      <c r="I66" s="3">
        <v>8234.1299999999992</v>
      </c>
      <c r="J66" s="3">
        <v>8978.74</v>
      </c>
      <c r="K66" s="3">
        <v>10094.19</v>
      </c>
    </row>
    <row r="67" spans="1:11" x14ac:dyDescent="0.25">
      <c r="A67" s="2" t="s">
        <v>42</v>
      </c>
      <c r="B67" s="3">
        <v>99.1</v>
      </c>
      <c r="C67" s="3">
        <v>78.42</v>
      </c>
      <c r="D67" s="3">
        <v>97.93</v>
      </c>
      <c r="E67" s="3">
        <v>88.97</v>
      </c>
      <c r="F67" s="3">
        <v>124.59</v>
      </c>
      <c r="G67" s="3">
        <v>124.33</v>
      </c>
      <c r="H67" s="3">
        <v>164.93</v>
      </c>
      <c r="I67" s="3">
        <v>165.97</v>
      </c>
      <c r="J67" s="3">
        <v>191.89</v>
      </c>
      <c r="K67" s="3">
        <v>202.57</v>
      </c>
    </row>
    <row r="68" spans="1:11" ht="14.4" x14ac:dyDescent="0.3">
      <c r="A68" s="2" t="s">
        <v>43</v>
      </c>
      <c r="B68" s="7">
        <v>844.1</v>
      </c>
      <c r="C68" s="7">
        <v>820.81</v>
      </c>
      <c r="D68" s="7">
        <v>940.06</v>
      </c>
      <c r="E68" s="7">
        <v>902.47</v>
      </c>
      <c r="F68" s="7">
        <v>965.55</v>
      </c>
      <c r="G68" s="7">
        <v>1283.07</v>
      </c>
      <c r="H68" s="7">
        <v>1416.48</v>
      </c>
      <c r="I68" s="7">
        <v>1592.65</v>
      </c>
      <c r="J68" s="7">
        <v>1928.77</v>
      </c>
      <c r="K68" s="7">
        <v>1873.26</v>
      </c>
    </row>
    <row r="69" spans="1:11" x14ac:dyDescent="0.25">
      <c r="A69" s="2" t="s">
        <v>44</v>
      </c>
      <c r="B69" s="3">
        <v>445.82</v>
      </c>
      <c r="C69" s="3">
        <v>499.55</v>
      </c>
      <c r="D69" s="3">
        <v>880</v>
      </c>
      <c r="E69" s="3">
        <v>1457.42</v>
      </c>
      <c r="F69" s="3">
        <v>1610.06</v>
      </c>
      <c r="G69" s="3">
        <v>1308.05</v>
      </c>
      <c r="H69" s="3">
        <v>1769.87</v>
      </c>
      <c r="I69" s="3">
        <v>735.41</v>
      </c>
      <c r="J69" s="3">
        <v>945.55</v>
      </c>
      <c r="K69" s="3">
        <v>874.82</v>
      </c>
    </row>
    <row r="70" spans="1:11" x14ac:dyDescent="0.25">
      <c r="A70" s="2" t="s">
        <v>45</v>
      </c>
      <c r="B70" s="3">
        <v>96415716</v>
      </c>
      <c r="C70" s="3">
        <v>96415716</v>
      </c>
      <c r="D70" s="3">
        <v>96415716</v>
      </c>
      <c r="E70" s="3">
        <v>96415716</v>
      </c>
      <c r="F70" s="3">
        <v>96415716</v>
      </c>
      <c r="G70" s="3">
        <v>96415716</v>
      </c>
      <c r="H70" s="3">
        <v>96415716</v>
      </c>
      <c r="I70" s="3">
        <v>96415716</v>
      </c>
      <c r="J70" s="3">
        <v>96415716</v>
      </c>
      <c r="K70" s="3"/>
    </row>
    <row r="71" spans="1:11" ht="13.8" x14ac:dyDescent="0.25">
      <c r="A71" s="2" t="s">
        <v>46</v>
      </c>
      <c r="B71" s="9"/>
      <c r="C71" s="9"/>
      <c r="G71" s="9"/>
      <c r="H71" s="9"/>
    </row>
    <row r="72" spans="1:11" x14ac:dyDescent="0.25">
      <c r="A72" s="2" t="s">
        <v>47</v>
      </c>
      <c r="B72" s="3">
        <v>10</v>
      </c>
      <c r="C72" s="3">
        <v>10</v>
      </c>
      <c r="D72" s="3">
        <v>10</v>
      </c>
      <c r="E72" s="3">
        <v>10</v>
      </c>
      <c r="F72" s="3">
        <v>10</v>
      </c>
      <c r="G72" s="3">
        <v>10</v>
      </c>
      <c r="H72" s="3">
        <v>10</v>
      </c>
      <c r="I72" s="3">
        <v>10</v>
      </c>
      <c r="J72" s="3">
        <v>10</v>
      </c>
      <c r="K72" s="3">
        <v>10</v>
      </c>
    </row>
    <row r="73" spans="1:11" x14ac:dyDescent="0.25">
      <c r="H73" s="2">
        <f>H62-G62+H45</f>
        <v>-60.339999999999961</v>
      </c>
      <c r="I73" s="2">
        <f t="shared" ref="I73:K73" si="3">I62-H62+I45</f>
        <v>922.62000000000023</v>
      </c>
      <c r="J73" s="2">
        <f t="shared" si="3"/>
        <v>160.18999999999974</v>
      </c>
      <c r="K73" s="2">
        <f t="shared" si="3"/>
        <v>387.7500000000004</v>
      </c>
    </row>
    <row r="75" spans="1:11" x14ac:dyDescent="0.25">
      <c r="A75" s="2" t="s">
        <v>41</v>
      </c>
      <c r="B75" s="2">
        <f>B65-SUM(B67:B69)</f>
        <v>197.24</v>
      </c>
      <c r="C75" s="2">
        <f t="shared" ref="C75:K75" si="4">C65-SUM(C67:C69)</f>
        <v>233.99</v>
      </c>
      <c r="D75" s="2">
        <f t="shared" si="4"/>
        <v>218.49999999999977</v>
      </c>
      <c r="E75" s="2">
        <f t="shared" si="4"/>
        <v>224.51999999999998</v>
      </c>
      <c r="F75" s="2">
        <f t="shared" si="4"/>
        <v>223.57000000000016</v>
      </c>
      <c r="G75" s="2">
        <f t="shared" si="4"/>
        <v>221.69000000000005</v>
      </c>
      <c r="H75" s="2">
        <f t="shared" si="4"/>
        <v>266.69000000000005</v>
      </c>
      <c r="I75" s="2">
        <f t="shared" si="4"/>
        <v>1725.2199999999998</v>
      </c>
      <c r="J75" s="2">
        <f t="shared" si="4"/>
        <v>1732.9300000000003</v>
      </c>
      <c r="K75" s="2">
        <f t="shared" si="4"/>
        <v>1871.2199999999998</v>
      </c>
    </row>
    <row r="80" spans="1:11" x14ac:dyDescent="0.25">
      <c r="A80" s="1" t="s">
        <v>48</v>
      </c>
    </row>
    <row r="81" spans="1:12" s="6" customFormat="1" x14ac:dyDescent="0.25">
      <c r="A81" s="4" t="s">
        <v>11</v>
      </c>
      <c r="B81" s="5">
        <v>42004</v>
      </c>
      <c r="C81" s="5">
        <v>42369</v>
      </c>
      <c r="D81" s="5">
        <v>42735</v>
      </c>
      <c r="E81" s="5">
        <v>43100</v>
      </c>
      <c r="F81" s="5">
        <v>43465</v>
      </c>
      <c r="G81" s="5">
        <v>43830</v>
      </c>
      <c r="H81" s="5">
        <v>44196</v>
      </c>
      <c r="I81" s="5">
        <v>44561</v>
      </c>
      <c r="J81" s="5">
        <v>44926</v>
      </c>
      <c r="K81" s="5">
        <v>45291</v>
      </c>
      <c r="L81" s="5"/>
    </row>
    <row r="82" spans="1:12" s="1" customFormat="1" x14ac:dyDescent="0.25">
      <c r="A82" s="2" t="s">
        <v>49</v>
      </c>
      <c r="B82" s="3">
        <v>1644.02</v>
      </c>
      <c r="C82" s="3">
        <v>1098.0999999999999</v>
      </c>
      <c r="D82" s="3">
        <v>1465.91</v>
      </c>
      <c r="E82" s="3">
        <v>1817.79</v>
      </c>
      <c r="F82" s="3">
        <v>2052.4499999999998</v>
      </c>
      <c r="G82" s="3">
        <v>2295.25</v>
      </c>
      <c r="H82" s="3">
        <v>2454.48</v>
      </c>
      <c r="I82" s="3">
        <v>2236</v>
      </c>
      <c r="J82" s="3">
        <v>2737.43</v>
      </c>
      <c r="K82" s="3">
        <v>3392.19</v>
      </c>
    </row>
    <row r="83" spans="1:12" x14ac:dyDescent="0.25">
      <c r="A83" s="2" t="s">
        <v>50</v>
      </c>
      <c r="B83" s="3">
        <v>-431.7</v>
      </c>
      <c r="C83" s="3">
        <v>-70.48</v>
      </c>
      <c r="D83" s="3">
        <v>-125.9</v>
      </c>
      <c r="E83" s="3">
        <v>-130.56</v>
      </c>
      <c r="F83" s="3">
        <v>-52.41</v>
      </c>
      <c r="G83" s="3">
        <v>82.99</v>
      </c>
      <c r="H83" s="3">
        <v>-321.45999999999998</v>
      </c>
      <c r="I83" s="3">
        <v>-1920.33</v>
      </c>
      <c r="J83" s="3">
        <v>-391.73</v>
      </c>
      <c r="K83" s="3">
        <v>-926.99</v>
      </c>
    </row>
    <row r="84" spans="1:12" x14ac:dyDescent="0.25">
      <c r="A84" s="2" t="s">
        <v>51</v>
      </c>
      <c r="B84" s="3">
        <v>-1635.28</v>
      </c>
      <c r="C84" s="3">
        <v>-498.32</v>
      </c>
      <c r="D84" s="3">
        <v>-665.61</v>
      </c>
      <c r="E84" s="3">
        <v>-996.62</v>
      </c>
      <c r="F84" s="3">
        <v>-1317.42</v>
      </c>
      <c r="G84" s="3">
        <v>-3601.53</v>
      </c>
      <c r="H84" s="3">
        <v>-1955.89</v>
      </c>
      <c r="I84" s="3">
        <v>-2019.97</v>
      </c>
      <c r="J84" s="3">
        <v>-2122.7399999999998</v>
      </c>
      <c r="K84" s="3">
        <v>-2436.4699999999998</v>
      </c>
    </row>
    <row r="85" spans="1:12" s="1" customFormat="1" x14ac:dyDescent="0.25">
      <c r="A85" s="2" t="s">
        <v>52</v>
      </c>
      <c r="B85" s="3">
        <v>-422.96</v>
      </c>
      <c r="C85" s="3">
        <v>529.29999999999995</v>
      </c>
      <c r="D85" s="3">
        <v>674.4</v>
      </c>
      <c r="E85" s="3">
        <v>690.61</v>
      </c>
      <c r="F85" s="3">
        <v>682.62</v>
      </c>
      <c r="G85" s="3">
        <v>-1223.29</v>
      </c>
      <c r="H85" s="3">
        <v>177.13</v>
      </c>
      <c r="I85" s="3">
        <v>-1704.3</v>
      </c>
      <c r="J85" s="3">
        <v>222.96</v>
      </c>
      <c r="K85" s="3">
        <v>28.73</v>
      </c>
    </row>
    <row r="90" spans="1:12" s="1" customFormat="1" x14ac:dyDescent="0.25">
      <c r="A90" s="1" t="s">
        <v>53</v>
      </c>
      <c r="B90" s="3">
        <v>638.49</v>
      </c>
      <c r="C90" s="3">
        <v>582.79999999999995</v>
      </c>
      <c r="D90" s="3">
        <v>602.84</v>
      </c>
      <c r="E90" s="3">
        <v>787.09</v>
      </c>
      <c r="F90" s="3">
        <v>1108.49</v>
      </c>
      <c r="G90" s="3">
        <v>1478.54</v>
      </c>
      <c r="H90" s="3">
        <v>1839.03</v>
      </c>
      <c r="I90" s="3">
        <v>1970.57</v>
      </c>
      <c r="J90" s="3">
        <v>1960.6</v>
      </c>
      <c r="K90" s="3">
        <v>2658.03</v>
      </c>
    </row>
    <row r="92" spans="1:12" s="1" customFormat="1" x14ac:dyDescent="0.25">
      <c r="A92" s="1" t="s">
        <v>54</v>
      </c>
    </row>
    <row r="93" spans="1:12" x14ac:dyDescent="0.25">
      <c r="A93" s="2" t="s">
        <v>55</v>
      </c>
      <c r="B93" s="10">
        <v>96.42</v>
      </c>
      <c r="C93" s="10">
        <v>96.42</v>
      </c>
      <c r="D93" s="10">
        <v>96.42</v>
      </c>
      <c r="E93" s="10">
        <v>96.42</v>
      </c>
      <c r="F93" s="10">
        <v>96.42</v>
      </c>
      <c r="G93" s="10">
        <v>96.42</v>
      </c>
      <c r="H93" s="10">
        <v>96.42</v>
      </c>
      <c r="I93" s="10">
        <v>96.42</v>
      </c>
      <c r="J93" s="10">
        <v>96.42</v>
      </c>
      <c r="K93" s="10">
        <v>96.42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3704CA6-975E-49B1-B117-50092339EC0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Financials&gt;</vt:lpstr>
      <vt:lpstr>HistoricalFS</vt:lpstr>
      <vt:lpstr>Ratio Analysis</vt:lpstr>
      <vt:lpstr>Forecast Direct method</vt:lpstr>
      <vt:lpstr>Forcast Regression method</vt:lpstr>
      <vt:lpstr>ForecastingDirect</vt:lpstr>
      <vt:lpstr>Data&gt;</vt:lpstr>
      <vt:lpstr>Raw FS</vt:lpstr>
      <vt:lpstr>Data Sheet</vt:lpstr>
      <vt:lpstr>Cash Flow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MOHIT LEKHWANI</cp:lastModifiedBy>
  <dcterms:created xsi:type="dcterms:W3CDTF">2023-01-14T08:22:33Z</dcterms:created>
  <dcterms:modified xsi:type="dcterms:W3CDTF">2024-05-17T10:28:23Z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