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mohjaiswal/Desktop/Arthya/"/>
    </mc:Choice>
  </mc:AlternateContent>
  <xr:revisionPtr revIDLastSave="0" documentId="13_ncr:1_{D9DCC00D-EF67-8243-AEAD-40CBDFCF62AA}" xr6:coauthVersionLast="47" xr6:coauthVersionMax="47" xr10:uidLastSave="{00000000-0000-0000-0000-000000000000}"/>
  <bookViews>
    <workbookView xWindow="0" yWindow="500" windowWidth="23020" windowHeight="17280" xr2:uid="{00000000-000D-0000-FFFF-FFFF00000000}"/>
  </bookViews>
  <sheets>
    <sheet name="Business segment" sheetId="1" r:id="rId1"/>
    <sheet name="Financials" sheetId="2" r:id="rId2"/>
    <sheet name="Market sizes" sheetId="3" r:id="rId3"/>
    <sheet name="Financials detail" sheetId="5" r:id="rId4"/>
    <sheet name="Industry" sheetId="4" r:id="rId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2" l="1"/>
  <c r="H68" i="5"/>
  <c r="I52" i="5"/>
  <c r="J52" i="5"/>
  <c r="I68" i="5"/>
  <c r="J68" i="5"/>
  <c r="J67" i="5"/>
  <c r="I67" i="5"/>
  <c r="H67" i="5"/>
  <c r="H61" i="5"/>
  <c r="J61" i="5"/>
  <c r="I61" i="5"/>
  <c r="J60" i="5"/>
  <c r="I60" i="5"/>
  <c r="H60" i="5"/>
  <c r="H58" i="5"/>
  <c r="I58" i="5"/>
  <c r="J58" i="5"/>
  <c r="J63" i="5" s="1"/>
  <c r="I49" i="5"/>
  <c r="H50" i="5"/>
  <c r="I50" i="5"/>
  <c r="J50" i="5"/>
  <c r="J49" i="5"/>
  <c r="J86" i="5" s="1"/>
  <c r="J20" i="5"/>
  <c r="J21" i="5" s="1"/>
  <c r="J27" i="5"/>
  <c r="J90" i="5"/>
  <c r="I90" i="5"/>
  <c r="H90" i="5"/>
  <c r="G90" i="5"/>
  <c r="F90" i="5"/>
  <c r="E90" i="5"/>
  <c r="H86" i="5"/>
  <c r="G86" i="5"/>
  <c r="F86" i="5"/>
  <c r="E86" i="5"/>
  <c r="D86" i="5"/>
  <c r="C86" i="5"/>
  <c r="B86" i="5"/>
  <c r="N85" i="5"/>
  <c r="J85" i="5"/>
  <c r="I85" i="5"/>
  <c r="H85" i="5"/>
  <c r="G85" i="5"/>
  <c r="F85" i="5"/>
  <c r="E85" i="5"/>
  <c r="D85" i="5"/>
  <c r="C85" i="5"/>
  <c r="B85" i="5"/>
  <c r="M84" i="5"/>
  <c r="N84" i="5" s="1"/>
  <c r="J84" i="5"/>
  <c r="I84" i="5"/>
  <c r="H84" i="5"/>
  <c r="G84" i="5"/>
  <c r="F84" i="5"/>
  <c r="E84" i="5"/>
  <c r="D84" i="5"/>
  <c r="C84" i="5"/>
  <c r="B84" i="5"/>
  <c r="N73" i="5"/>
  <c r="M73" i="5"/>
  <c r="L73" i="5"/>
  <c r="K73" i="5"/>
  <c r="J73" i="5"/>
  <c r="J91" i="5" s="1"/>
  <c r="I73" i="5"/>
  <c r="I91" i="5" s="1"/>
  <c r="H73" i="5"/>
  <c r="H91" i="5" s="1"/>
  <c r="G73" i="5"/>
  <c r="G91" i="5" s="1"/>
  <c r="F73" i="5"/>
  <c r="F91" i="5" s="1"/>
  <c r="E73" i="5"/>
  <c r="E91" i="5" s="1"/>
  <c r="D73" i="5"/>
  <c r="D91" i="5" s="1"/>
  <c r="C73" i="5"/>
  <c r="C91" i="5" s="1"/>
  <c r="B73" i="5"/>
  <c r="B91" i="5" s="1"/>
  <c r="N69" i="5"/>
  <c r="M69" i="5"/>
  <c r="L69" i="5"/>
  <c r="L72" i="5" s="1"/>
  <c r="K69" i="5"/>
  <c r="G69" i="5"/>
  <c r="G88" i="5" s="1"/>
  <c r="F69" i="5"/>
  <c r="F88" i="5" s="1"/>
  <c r="E69" i="5"/>
  <c r="E88" i="5" s="1"/>
  <c r="D69" i="5"/>
  <c r="D88" i="5" s="1"/>
  <c r="C69" i="5"/>
  <c r="B69" i="5"/>
  <c r="B88" i="5" s="1"/>
  <c r="N63" i="5"/>
  <c r="N74" i="5" s="1"/>
  <c r="M63" i="5"/>
  <c r="M74" i="5" s="1"/>
  <c r="L63" i="5"/>
  <c r="K63" i="5"/>
  <c r="F63" i="5"/>
  <c r="E63" i="5"/>
  <c r="E74" i="5" s="1"/>
  <c r="G63" i="5"/>
  <c r="D90" i="5"/>
  <c r="C63" i="5"/>
  <c r="B90" i="5"/>
  <c r="N53" i="5"/>
  <c r="M53" i="5"/>
  <c r="L53" i="5"/>
  <c r="K53" i="5"/>
  <c r="G53" i="5"/>
  <c r="F53" i="5"/>
  <c r="E53" i="5"/>
  <c r="D53" i="5"/>
  <c r="C53" i="5"/>
  <c r="B53" i="5"/>
  <c r="T31" i="5"/>
  <c r="S31" i="5"/>
  <c r="R31" i="5"/>
  <c r="Q31" i="5"/>
  <c r="J23" i="5"/>
  <c r="I23" i="5"/>
  <c r="H23" i="5"/>
  <c r="G23" i="5"/>
  <c r="F23" i="5"/>
  <c r="E23" i="5"/>
  <c r="B23" i="5"/>
  <c r="D23" i="5"/>
  <c r="C23" i="5"/>
  <c r="N21" i="5"/>
  <c r="M21" i="5"/>
  <c r="L21" i="5"/>
  <c r="K21" i="5"/>
  <c r="I21" i="5"/>
  <c r="H21" i="5"/>
  <c r="G21" i="5"/>
  <c r="F21" i="5"/>
  <c r="E21" i="5"/>
  <c r="D21" i="5"/>
  <c r="C21" i="5"/>
  <c r="B21" i="5"/>
  <c r="N19" i="5"/>
  <c r="M19" i="5"/>
  <c r="L19" i="5"/>
  <c r="K19" i="5"/>
  <c r="J19" i="5"/>
  <c r="I19" i="5"/>
  <c r="H19" i="5"/>
  <c r="G19" i="5"/>
  <c r="F19" i="5"/>
  <c r="E19" i="5"/>
  <c r="D19" i="5"/>
  <c r="C19" i="5"/>
  <c r="B19" i="5"/>
  <c r="N8" i="5"/>
  <c r="N14" i="5" s="1"/>
  <c r="M8" i="5"/>
  <c r="M14" i="5" s="1"/>
  <c r="L8" i="5"/>
  <c r="L14" i="5" s="1"/>
  <c r="K8" i="5"/>
  <c r="K14" i="5" s="1"/>
  <c r="J8" i="5"/>
  <c r="J14" i="5" s="1"/>
  <c r="I8" i="5"/>
  <c r="I14" i="5" s="1"/>
  <c r="H8" i="5"/>
  <c r="H14" i="5" s="1"/>
  <c r="G8" i="5"/>
  <c r="G14" i="5" s="1"/>
  <c r="F8" i="5"/>
  <c r="F14" i="5" s="1"/>
  <c r="E8" i="5"/>
  <c r="E14" i="5" s="1"/>
  <c r="D8" i="5"/>
  <c r="D14" i="5" s="1"/>
  <c r="C8" i="5"/>
  <c r="C14" i="5" s="1"/>
  <c r="B8" i="5"/>
  <c r="B14" i="5" s="1"/>
  <c r="N3" i="5"/>
  <c r="M3" i="5"/>
  <c r="L3" i="5"/>
  <c r="K3" i="5"/>
  <c r="J3" i="5"/>
  <c r="I3" i="5"/>
  <c r="H3" i="5"/>
  <c r="G3" i="5"/>
  <c r="F3" i="5"/>
  <c r="E3" i="5"/>
  <c r="D3" i="5"/>
  <c r="C3" i="5"/>
  <c r="T2" i="5"/>
  <c r="S2" i="5"/>
  <c r="R2" i="5"/>
  <c r="Q2" i="5"/>
  <c r="H53" i="5" l="1"/>
  <c r="H69" i="5"/>
  <c r="H88" i="5" s="1"/>
  <c r="I69" i="5"/>
  <c r="J69" i="5"/>
  <c r="G74" i="5"/>
  <c r="I63" i="5"/>
  <c r="I74" i="5" s="1"/>
  <c r="H63" i="5"/>
  <c r="C74" i="5"/>
  <c r="B87" i="5"/>
  <c r="F87" i="5"/>
  <c r="J88" i="5"/>
  <c r="F74" i="5"/>
  <c r="I53" i="5"/>
  <c r="I86" i="5"/>
  <c r="I87" i="5" s="1"/>
  <c r="J74" i="5"/>
  <c r="J53" i="5"/>
  <c r="J87" i="5"/>
  <c r="D87" i="5"/>
  <c r="H87" i="5"/>
  <c r="M70" i="5"/>
  <c r="M71" i="5" s="1"/>
  <c r="C90" i="5"/>
  <c r="L74" i="5"/>
  <c r="D63" i="5"/>
  <c r="D74" i="5" s="1"/>
  <c r="C70" i="5"/>
  <c r="C71" i="5" s="1"/>
  <c r="K74" i="5"/>
  <c r="E87" i="5"/>
  <c r="D24" i="5"/>
  <c r="D15" i="5"/>
  <c r="D16" i="5" s="1"/>
  <c r="H24" i="5"/>
  <c r="H15" i="5"/>
  <c r="H16" i="5" s="1"/>
  <c r="L24" i="5"/>
  <c r="L15" i="5"/>
  <c r="L16" i="5" s="1"/>
  <c r="E24" i="5"/>
  <c r="E15" i="5"/>
  <c r="E16" i="5" s="1"/>
  <c r="I24" i="5"/>
  <c r="T14" i="5"/>
  <c r="I15" i="5"/>
  <c r="I16" i="5" s="1"/>
  <c r="R14" i="5"/>
  <c r="M24" i="5"/>
  <c r="M15" i="5"/>
  <c r="M16" i="5" s="1"/>
  <c r="B24" i="5"/>
  <c r="B15" i="5"/>
  <c r="B16" i="5" s="1"/>
  <c r="F24" i="5"/>
  <c r="F15" i="5"/>
  <c r="F16" i="5" s="1"/>
  <c r="J24" i="5"/>
  <c r="Q14" i="5"/>
  <c r="J15" i="5"/>
  <c r="J16" i="5" s="1"/>
  <c r="S14" i="5"/>
  <c r="N24" i="5"/>
  <c r="N15" i="5"/>
  <c r="N16" i="5" s="1"/>
  <c r="C24" i="5"/>
  <c r="C15" i="5"/>
  <c r="C16" i="5" s="1"/>
  <c r="G24" i="5"/>
  <c r="G15" i="5"/>
  <c r="G16" i="5" s="1"/>
  <c r="K24" i="5"/>
  <c r="K15" i="5"/>
  <c r="K16" i="5" s="1"/>
  <c r="T8" i="5"/>
  <c r="G9" i="5"/>
  <c r="G10" i="5" s="1"/>
  <c r="R8" i="5"/>
  <c r="D9" i="5"/>
  <c r="D10" i="5" s="1"/>
  <c r="H9" i="5"/>
  <c r="H10" i="5" s="1"/>
  <c r="L9" i="5"/>
  <c r="L10" i="5" s="1"/>
  <c r="Q8" i="5"/>
  <c r="C9" i="5"/>
  <c r="C10" i="5" s="1"/>
  <c r="K9" i="5"/>
  <c r="K10" i="5" s="1"/>
  <c r="S8" i="5"/>
  <c r="E9" i="5"/>
  <c r="E10" i="5" s="1"/>
  <c r="I9" i="5"/>
  <c r="I10" i="5" s="1"/>
  <c r="M9" i="5"/>
  <c r="M10" i="5" s="1"/>
  <c r="B9" i="5"/>
  <c r="B10" i="5" s="1"/>
  <c r="F9" i="5"/>
  <c r="F10" i="5" s="1"/>
  <c r="J9" i="5"/>
  <c r="J10" i="5" s="1"/>
  <c r="N9" i="5"/>
  <c r="N10" i="5" s="1"/>
  <c r="B63" i="5"/>
  <c r="B74" i="5" s="1"/>
  <c r="E70" i="5"/>
  <c r="E71" i="5" s="1"/>
  <c r="K70" i="5"/>
  <c r="K71" i="5" s="1"/>
  <c r="K72" i="5"/>
  <c r="G70" i="5"/>
  <c r="G71" i="5" s="1"/>
  <c r="L70" i="5"/>
  <c r="L71" i="5" s="1"/>
  <c r="C88" i="5"/>
  <c r="I88" i="5"/>
  <c r="F70" i="5"/>
  <c r="F71" i="5" s="1"/>
  <c r="J70" i="5"/>
  <c r="N70" i="5"/>
  <c r="N71" i="5" s="1"/>
  <c r="C87" i="5"/>
  <c r="G87" i="5"/>
  <c r="H74" i="5" l="1"/>
  <c r="H70" i="5"/>
  <c r="H71" i="5" s="1"/>
  <c r="I70" i="5"/>
  <c r="I71" i="5" s="1"/>
  <c r="D70" i="5"/>
  <c r="D71" i="5" s="1"/>
  <c r="B70" i="5"/>
  <c r="B71" i="5" s="1"/>
  <c r="J71" i="5"/>
  <c r="G76" i="5"/>
  <c r="G25" i="5"/>
  <c r="G28" i="5"/>
  <c r="F76" i="5"/>
  <c r="F28" i="5"/>
  <c r="F25" i="5"/>
  <c r="E28" i="5"/>
  <c r="E25" i="5"/>
  <c r="E76" i="5"/>
  <c r="H76" i="5"/>
  <c r="H28" i="5"/>
  <c r="H25" i="5"/>
  <c r="K76" i="5"/>
  <c r="K28" i="5"/>
  <c r="K25" i="5"/>
  <c r="C76" i="5"/>
  <c r="C28" i="5"/>
  <c r="C25" i="5"/>
  <c r="N76" i="5"/>
  <c r="N77" i="5" s="1"/>
  <c r="N28" i="5"/>
  <c r="N25" i="5"/>
  <c r="J76" i="5"/>
  <c r="S24" i="5"/>
  <c r="J28" i="5"/>
  <c r="J25" i="5"/>
  <c r="Q24" i="5"/>
  <c r="B28" i="5"/>
  <c r="B25" i="5"/>
  <c r="M28" i="5"/>
  <c r="M25" i="5"/>
  <c r="M76" i="5"/>
  <c r="M77" i="5" s="1"/>
  <c r="I76" i="5"/>
  <c r="I28" i="5"/>
  <c r="I25" i="5"/>
  <c r="T24" i="5"/>
  <c r="R24" i="5"/>
  <c r="L28" i="5"/>
  <c r="L25" i="5"/>
  <c r="L76" i="5"/>
  <c r="L77" i="5" s="1"/>
  <c r="D76" i="5"/>
  <c r="D28" i="5"/>
  <c r="D25" i="5"/>
  <c r="C77" i="5" l="1"/>
  <c r="D80" i="5"/>
  <c r="D81" i="5"/>
  <c r="D33" i="5"/>
  <c r="D29" i="5"/>
  <c r="L80" i="5"/>
  <c r="L33" i="5"/>
  <c r="L36" i="5" s="1"/>
  <c r="L82" i="5" s="1"/>
  <c r="L29" i="5"/>
  <c r="L81" i="5"/>
  <c r="I77" i="5"/>
  <c r="C80" i="5"/>
  <c r="C81" i="5"/>
  <c r="C33" i="5"/>
  <c r="C29" i="5"/>
  <c r="K77" i="5"/>
  <c r="E81" i="5"/>
  <c r="E33" i="5"/>
  <c r="E29" i="5"/>
  <c r="E80" i="5"/>
  <c r="H80" i="5"/>
  <c r="H33" i="5"/>
  <c r="H29" i="5"/>
  <c r="H81" i="5"/>
  <c r="F81" i="5"/>
  <c r="F80" i="5"/>
  <c r="F33" i="5"/>
  <c r="F29" i="5"/>
  <c r="G80" i="5"/>
  <c r="G33" i="5"/>
  <c r="G81" i="5"/>
  <c r="G29" i="5"/>
  <c r="B33" i="5"/>
  <c r="B29" i="5"/>
  <c r="J81" i="5"/>
  <c r="J80" i="5"/>
  <c r="J33" i="5"/>
  <c r="J29" i="5"/>
  <c r="N80" i="5"/>
  <c r="N81" i="5"/>
  <c r="N33" i="5"/>
  <c r="N36" i="5" s="1"/>
  <c r="N82" i="5" s="1"/>
  <c r="N29" i="5"/>
  <c r="H77" i="5"/>
  <c r="E77" i="5"/>
  <c r="F77" i="5"/>
  <c r="D77" i="5"/>
  <c r="I81" i="5"/>
  <c r="I80" i="5"/>
  <c r="I33" i="5"/>
  <c r="I29" i="5"/>
  <c r="M81" i="5"/>
  <c r="M33" i="5"/>
  <c r="M36" i="5" s="1"/>
  <c r="M82" i="5" s="1"/>
  <c r="M29" i="5"/>
  <c r="M80" i="5"/>
  <c r="J77" i="5"/>
  <c r="K81" i="5"/>
  <c r="K80" i="5"/>
  <c r="K33" i="5"/>
  <c r="K36" i="5" s="1"/>
  <c r="K93" i="5" s="1"/>
  <c r="K29" i="5"/>
  <c r="G77" i="5"/>
  <c r="I40" i="5" l="1"/>
  <c r="I36" i="5"/>
  <c r="I94" i="5" s="1"/>
  <c r="F40" i="5"/>
  <c r="F36" i="5"/>
  <c r="F94" i="5" s="1"/>
  <c r="K94" i="5"/>
  <c r="G40" i="5"/>
  <c r="G36" i="5"/>
  <c r="G94" i="5" s="1"/>
  <c r="H36" i="5"/>
  <c r="H40" i="5"/>
  <c r="D36" i="5"/>
  <c r="D94" i="5" s="1"/>
  <c r="D40" i="5"/>
  <c r="K40" i="5"/>
  <c r="K82" i="5"/>
  <c r="J40" i="5"/>
  <c r="J36" i="5"/>
  <c r="J94" i="5" s="1"/>
  <c r="B40" i="5"/>
  <c r="B36" i="5"/>
  <c r="E40" i="5"/>
  <c r="E36" i="5"/>
  <c r="E94" i="5" s="1"/>
  <c r="C36" i="5"/>
  <c r="C40" i="5"/>
  <c r="C82" i="5" l="1"/>
  <c r="C38" i="5"/>
  <c r="C93" i="5"/>
  <c r="J82" i="5"/>
  <c r="S36" i="5"/>
  <c r="J38" i="5"/>
  <c r="Q36" i="5"/>
  <c r="J93" i="5"/>
  <c r="D38" i="5"/>
  <c r="D82" i="5"/>
  <c r="D93" i="5"/>
  <c r="F82" i="5"/>
  <c r="F38" i="5"/>
  <c r="F93" i="5"/>
  <c r="I38" i="5"/>
  <c r="T36" i="5"/>
  <c r="R36" i="5"/>
  <c r="I82" i="5"/>
  <c r="I93" i="5"/>
  <c r="G82" i="5"/>
  <c r="G38" i="5"/>
  <c r="G93" i="5"/>
  <c r="C94" i="5"/>
  <c r="B38" i="5"/>
  <c r="B93" i="5"/>
  <c r="H82" i="5"/>
  <c r="H38" i="5"/>
  <c r="H93" i="5"/>
  <c r="E38" i="5"/>
  <c r="E82" i="5"/>
  <c r="E93" i="5"/>
  <c r="B94" i="5"/>
  <c r="H94" i="5"/>
  <c r="E43" i="5" l="1"/>
  <c r="G43" i="5"/>
  <c r="I43" i="5"/>
  <c r="T38" i="5"/>
  <c r="R38" i="5"/>
  <c r="B43" i="5"/>
  <c r="S38" i="5"/>
  <c r="Q38" i="5"/>
  <c r="J43" i="5"/>
  <c r="C43" i="5"/>
  <c r="H43" i="5"/>
  <c r="F43" i="5"/>
  <c r="D43" i="5"/>
  <c r="I34" i="3" l="1"/>
  <c r="J34" i="3"/>
  <c r="J33" i="3"/>
  <c r="I33" i="3"/>
  <c r="C22" i="3"/>
  <c r="C21" i="3"/>
  <c r="C20" i="3"/>
  <c r="C19" i="3"/>
  <c r="C18" i="3"/>
  <c r="C17" i="3"/>
  <c r="H15" i="3"/>
  <c r="H61" i="4"/>
  <c r="D61" i="4"/>
  <c r="H60" i="4"/>
  <c r="H59" i="4"/>
  <c r="AA50" i="4"/>
  <c r="Z50" i="4"/>
  <c r="Y50" i="4"/>
  <c r="X50" i="4"/>
  <c r="W50" i="4"/>
  <c r="V50" i="4"/>
  <c r="U50" i="4"/>
  <c r="T50" i="4"/>
  <c r="R50" i="4"/>
  <c r="Q50" i="4"/>
  <c r="P50" i="4"/>
  <c r="O50" i="4"/>
  <c r="N50" i="4"/>
  <c r="M50" i="4"/>
  <c r="L50" i="4"/>
  <c r="K50" i="4"/>
  <c r="O8" i="1" l="1"/>
  <c r="N8" i="1"/>
  <c r="M8" i="1"/>
  <c r="O7" i="1"/>
  <c r="O6" i="1"/>
  <c r="N7" i="1"/>
  <c r="N6" i="1"/>
  <c r="M7" i="1"/>
  <c r="M6" i="1"/>
  <c r="O5" i="1"/>
  <c r="N5" i="1"/>
  <c r="M5" i="1"/>
  <c r="O3" i="1"/>
  <c r="N3" i="1"/>
  <c r="M3" i="1"/>
  <c r="L8" i="1"/>
  <c r="L7" i="1"/>
  <c r="L6" i="1"/>
  <c r="L5" i="1"/>
  <c r="L3" i="1"/>
  <c r="K7" i="1"/>
  <c r="K6" i="1"/>
  <c r="K5" i="1"/>
  <c r="K3" i="1"/>
  <c r="O2" i="1"/>
  <c r="N2" i="1"/>
  <c r="M2" i="1"/>
  <c r="L2" i="1"/>
  <c r="K2" i="1"/>
  <c r="C103" i="2"/>
  <c r="B103" i="2"/>
  <c r="C102" i="2"/>
  <c r="B102" i="2"/>
  <c r="C101" i="2"/>
  <c r="B101" i="2"/>
  <c r="C100" i="2"/>
  <c r="B100" i="2"/>
  <c r="C99" i="2"/>
  <c r="B99" i="2"/>
  <c r="C98" i="2"/>
  <c r="B98" i="2"/>
  <c r="C97" i="2"/>
  <c r="B97" i="2"/>
  <c r="C93" i="2"/>
  <c r="C92" i="2"/>
  <c r="C91" i="2"/>
  <c r="C90" i="2"/>
  <c r="C89" i="2"/>
  <c r="C88" i="2"/>
  <c r="B93" i="2"/>
  <c r="B92" i="2"/>
  <c r="B91" i="2"/>
  <c r="B90" i="2"/>
  <c r="B89" i="2"/>
  <c r="B88" i="2"/>
  <c r="C85" i="2"/>
  <c r="B85" i="2"/>
  <c r="C68" i="2"/>
  <c r="C76" i="2" s="1"/>
  <c r="B68" i="2"/>
  <c r="B74" i="2" s="1"/>
  <c r="K8" i="1" l="1"/>
  <c r="B72" i="2"/>
  <c r="B75" i="2"/>
  <c r="C71" i="2"/>
  <c r="B71" i="2"/>
  <c r="C73" i="2"/>
  <c r="B76" i="2"/>
  <c r="C74" i="2"/>
  <c r="C75" i="2"/>
  <c r="B73" i="2"/>
  <c r="C72" i="2"/>
  <c r="F11" i="3"/>
  <c r="F10" i="3"/>
  <c r="E11" i="3"/>
  <c r="E10" i="3"/>
  <c r="F9" i="3"/>
  <c r="E9" i="3"/>
  <c r="E48" i="2"/>
  <c r="D47" i="2"/>
  <c r="C47" i="2"/>
  <c r="B47" i="2"/>
  <c r="E47" i="2"/>
  <c r="E40" i="2"/>
  <c r="D40" i="2"/>
  <c r="B33" i="2"/>
  <c r="C33" i="2"/>
  <c r="B24" i="2"/>
  <c r="C24" i="2"/>
  <c r="B6" i="2"/>
  <c r="C8" i="2"/>
  <c r="C7" i="2"/>
  <c r="C6" i="2"/>
  <c r="E34" i="2"/>
  <c r="D34" i="2"/>
  <c r="E33" i="2"/>
  <c r="D33" i="2"/>
  <c r="E24" i="2"/>
  <c r="D24" i="2"/>
  <c r="F4" i="3"/>
  <c r="E4" i="3"/>
  <c r="F3" i="3"/>
  <c r="E3" i="3"/>
  <c r="B13" i="2"/>
  <c r="B16" i="2" s="1"/>
  <c r="E8" i="2"/>
  <c r="D8" i="2"/>
  <c r="E7" i="2"/>
  <c r="D7" i="2"/>
  <c r="E6"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Sayan Dassharma</author>
  </authors>
  <commentList>
    <comment ref="K35" authorId="0" shapeId="0" xr:uid="{92ED0050-6961-4496-A4DA-835E94DB8F94}">
      <text>
        <r>
          <rPr>
            <b/>
            <sz val="9"/>
            <color indexed="81"/>
            <rFont val="Tahoma"/>
            <family val="2"/>
          </rPr>
          <t>Sayan Dassharma:</t>
        </r>
        <r>
          <rPr>
            <sz val="9"/>
            <color indexed="81"/>
            <rFont val="Tahoma"/>
            <family val="2"/>
          </rPr>
          <t xml:space="preserve">
Tax credit sufficient for not paying taxes till 45 crores of profit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5" authorId="0" shapeId="0" xr:uid="{74956532-AA0B-4FD7-BC58-6A0131F171A0}">
      <text>
        <r>
          <rPr>
            <b/>
            <sz val="10"/>
            <color rgb="FF000000"/>
            <rFont val="Tahoma"/>
            <family val="2"/>
          </rPr>
          <t>Microsoft Office User:</t>
        </r>
        <r>
          <rPr>
            <sz val="10"/>
            <color rgb="FF000000"/>
            <rFont val="Tahoma"/>
            <family val="2"/>
          </rPr>
          <t xml:space="preserve">
</t>
        </r>
        <r>
          <rPr>
            <sz val="10"/>
            <color rgb="FF000000"/>
            <rFont val="Tahoma"/>
            <family val="2"/>
          </rPr>
          <t xml:space="preserve">Fen Z is most important generation with access to high-end gaming tech,  with the highest individual segment numbers as compared to gen X Or millenial generation. 
</t>
        </r>
        <r>
          <rPr>
            <sz val="10"/>
            <color rgb="FF000000"/>
            <rFont val="Tahoma"/>
            <family val="2"/>
          </rPr>
          <t xml:space="preserve">
</t>
        </r>
        <r>
          <rPr>
            <sz val="10"/>
            <color rgb="FF000000"/>
            <rFont val="Tahoma"/>
            <family val="2"/>
          </rPr>
          <t>Growth of Gen Z pop. ibetween 2015-2020 correlates with  growth of gaming industry.</t>
        </r>
      </text>
    </comment>
    <comment ref="A29" authorId="0" shapeId="0" xr:uid="{E69582A5-6B93-4143-BB7F-D138711E218A}">
      <text>
        <r>
          <rPr>
            <b/>
            <sz val="10"/>
            <color rgb="FF000000"/>
            <rFont val="Tahoma"/>
            <family val="2"/>
          </rPr>
          <t>Microsoft Office User:</t>
        </r>
        <r>
          <rPr>
            <sz val="10"/>
            <color rgb="FF000000"/>
            <rFont val="Tahoma"/>
            <family val="2"/>
          </rPr>
          <t xml:space="preserve">
</t>
        </r>
        <r>
          <rPr>
            <sz val="10"/>
            <color rgb="FF000000"/>
            <rFont val="Tahoma"/>
            <family val="2"/>
          </rPr>
          <t xml:space="preserve">Fen Z is most important generation with access to high-end gaming tech,  with the highest individual segment numbers as compared to gen X Or millenial generation. 
</t>
        </r>
        <r>
          <rPr>
            <sz val="10"/>
            <color rgb="FF000000"/>
            <rFont val="Tahoma"/>
            <family val="2"/>
          </rPr>
          <t xml:space="preserve">
</t>
        </r>
        <r>
          <rPr>
            <sz val="10"/>
            <color rgb="FF000000"/>
            <rFont val="Tahoma"/>
            <family val="2"/>
          </rPr>
          <t>Growth of Gen Z pop. ibetween 2015-2020 correlates with  growth of gaming industry.</t>
        </r>
      </text>
    </comment>
    <comment ref="A66" authorId="0" shapeId="0" xr:uid="{BDA0CCBC-40BF-44E9-BF67-74350B6A049A}">
      <text>
        <r>
          <rPr>
            <b/>
            <sz val="10"/>
            <color rgb="FF000000"/>
            <rFont val="Tahoma"/>
            <family val="2"/>
          </rPr>
          <t>Microsoft Office User:</t>
        </r>
        <r>
          <rPr>
            <sz val="10"/>
            <color rgb="FF000000"/>
            <rFont val="Tahoma"/>
            <family val="2"/>
          </rPr>
          <t xml:space="preserve">
</t>
        </r>
        <r>
          <rPr>
            <sz val="10"/>
            <color rgb="FF000000"/>
            <rFont val="Tahoma"/>
            <family val="2"/>
          </rPr>
          <t xml:space="preserve">The Indian internet users in 2016 stood at 0.4 billion and this segment is expected to reach 1.1 billion users by 2023, growing at a CAGR of 16.34%.
</t>
        </r>
        <r>
          <rPr>
            <sz val="10"/>
            <color rgb="FF000000"/>
            <rFont val="Tahoma"/>
            <family val="2"/>
          </rPr>
          <t xml:space="preserve">
</t>
        </r>
        <r>
          <rPr>
            <sz val="10"/>
            <color rgb="FF000000"/>
            <rFont val="Tahoma"/>
            <family val="2"/>
          </rPr>
          <t>Comparing the internet penetration growth with the growth in the number of gamers, it is evidenced that for every 10% increase in the internet penetration, the number of gamers increases by 30% , thereby demonstrating a strong correlation between internet penetration and the growth of the gaming sector. The internet penetration in India for 2016 stood at 28% and this segment is expected to reach 70% by 2023.</t>
        </r>
      </text>
    </comment>
    <comment ref="A73" authorId="0" shapeId="0" xr:uid="{11F79B33-0EF8-4688-9016-A8DFA6E94905}">
      <text>
        <r>
          <rPr>
            <b/>
            <sz val="10"/>
            <color rgb="FF000000"/>
            <rFont val="Tahoma"/>
            <family val="2"/>
          </rPr>
          <t>Microsoft Office User:</t>
        </r>
        <r>
          <rPr>
            <sz val="10"/>
            <color rgb="FF000000"/>
            <rFont val="Tahoma"/>
            <family val="2"/>
          </rPr>
          <t xml:space="preserve">
</t>
        </r>
        <r>
          <rPr>
            <sz val="10"/>
            <color rgb="FF000000"/>
            <rFont val="Tahoma"/>
            <family val="2"/>
          </rPr>
          <t xml:space="preserve">Increase in smart phone penetration = increase in  no. of mobile gamers
</t>
        </r>
      </text>
    </comment>
  </commentList>
</comments>
</file>

<file path=xl/sharedStrings.xml><?xml version="1.0" encoding="utf-8"?>
<sst xmlns="http://schemas.openxmlformats.org/spreadsheetml/2006/main" count="490" uniqueCount="316">
  <si>
    <t>Business segment</t>
  </si>
  <si>
    <t>Details of business</t>
  </si>
  <si>
    <t>EBITDA margin</t>
  </si>
  <si>
    <t xml:space="preserve"> Revenue</t>
  </si>
  <si>
    <t>Revenue share</t>
  </si>
  <si>
    <t>EBITDA</t>
  </si>
  <si>
    <t>EBITDA share</t>
  </si>
  <si>
    <t>Apps/games</t>
  </si>
  <si>
    <t>Gamified early learning</t>
  </si>
  <si>
    <t>Revenue model</t>
  </si>
  <si>
    <t>App developer</t>
  </si>
  <si>
    <t>Content design &amp; development</t>
  </si>
  <si>
    <t>Kiddopia</t>
  </si>
  <si>
    <t>Geographic presence</t>
  </si>
  <si>
    <t>Target demographics</t>
  </si>
  <si>
    <t>Children aged 2-7 years</t>
  </si>
  <si>
    <t>Subscription based ($6.99/month, $59.99/year</t>
  </si>
  <si>
    <t>Nazara in-house</t>
  </si>
  <si>
    <t>Google, Facebook, app stores</t>
  </si>
  <si>
    <t>Distribution channels</t>
  </si>
  <si>
    <t>Self-directed learning experience through gamification. Four genre - maths, languages, GK, social and creativity. Based on US KG curriculum</t>
  </si>
  <si>
    <t>4 geographies, North America accounting for ~90%</t>
  </si>
  <si>
    <t>Paper Boats India, subsidiary of Nazara acquired in 2019</t>
  </si>
  <si>
    <t>Kiddopia - key metrics</t>
  </si>
  <si>
    <t>FY19</t>
  </si>
  <si>
    <t>FY20</t>
  </si>
  <si>
    <t>FY21</t>
  </si>
  <si>
    <t>Paid subscriber base</t>
  </si>
  <si>
    <t>Revenue</t>
  </si>
  <si>
    <t>Revenue (Rs cr)</t>
  </si>
  <si>
    <t>EBITDA (Rs cr)</t>
  </si>
  <si>
    <t>Revenue per user (Rs)</t>
  </si>
  <si>
    <t>EBITDA per user (Rs)</t>
  </si>
  <si>
    <t>Kiddopia unit dynamics</t>
  </si>
  <si>
    <t>Lifetime value (24 months)</t>
  </si>
  <si>
    <t>App store commission</t>
  </si>
  <si>
    <t>Net LTV</t>
  </si>
  <si>
    <t>Cost of subscription</t>
  </si>
  <si>
    <t>Gross profit</t>
  </si>
  <si>
    <t>Gross margin</t>
  </si>
  <si>
    <t>Content cost</t>
  </si>
  <si>
    <t>8-10%</t>
  </si>
  <si>
    <t>22-24%</t>
  </si>
  <si>
    <t>2023E</t>
  </si>
  <si>
    <t>16-20 CAGR</t>
  </si>
  <si>
    <t>20-23 CAGR</t>
  </si>
  <si>
    <t>Gamified early learning market</t>
  </si>
  <si>
    <t>Global market size</t>
  </si>
  <si>
    <t>US market</t>
  </si>
  <si>
    <t>Esports</t>
  </si>
  <si>
    <t>Nodwin Gaming</t>
  </si>
  <si>
    <t>Hardcore gamers, enthusiasts, 15-35 year olds.</t>
  </si>
  <si>
    <t>Media rights licensing (55% in FY21), sponsorships, white label, data services &amp; ad networks</t>
  </si>
  <si>
    <t>Nazara, or the original content owner for licensed contract</t>
  </si>
  <si>
    <t>TV, OTT channels, social media, influencer marketing, event marketing</t>
  </si>
  <si>
    <t>NA</t>
  </si>
  <si>
    <t>India</t>
  </si>
  <si>
    <t>Sportskeeda</t>
  </si>
  <si>
    <t>A leading sport and eSports news destination website with content across WWE, eSports, cricket, soccer
and basketball. Second largest sports website in India.</t>
  </si>
  <si>
    <t>eSports fans &amp; sports spectators</t>
  </si>
  <si>
    <t>Ad inventory monetisation, Partnership with game publishers &amp; brands offering audience engagement consultancy and high quality sports content plus reach on the platform</t>
  </si>
  <si>
    <t>Sourced from freelance sports journalists</t>
  </si>
  <si>
    <t>Monthly average users (mn)</t>
  </si>
  <si>
    <t>Visits/month (Rs cr)</t>
  </si>
  <si>
    <t>Revenue per visitor</t>
  </si>
  <si>
    <t>Avg. duration/visit (mn)</t>
  </si>
  <si>
    <t>Content IP ownership</t>
  </si>
  <si>
    <t>Yes</t>
  </si>
  <si>
    <t>FY18</t>
  </si>
  <si>
    <t>Telco subscription</t>
  </si>
  <si>
    <t>Nazara Content Management Platform</t>
  </si>
  <si>
    <t>Late adopters of internet and first time gamers</t>
  </si>
  <si>
    <t>Gaming content aggregation platform. Catalogue of Android and HTML5 games offered as value-add services to telco subscribers. Recently acquired rights non-exclusive global distribution rights for games developed by Disney. Currently has a catalogue of 1,000+ games.</t>
  </si>
  <si>
    <t>Subscription based (daily Rs 5, weekly Rs 35, monthly Rs 99)</t>
  </si>
  <si>
    <t>Content producers</t>
  </si>
  <si>
    <t>No</t>
  </si>
  <si>
    <t>Differnet content publishers</t>
  </si>
  <si>
    <t>Strategic partnerships with 52 telecom operators
Acquisition also driven through global &amp; local ad networks</t>
  </si>
  <si>
    <t>58 countries. Main revenue generated from Middle East, Africa, S-East Asia</t>
  </si>
  <si>
    <t>Telco Subscription</t>
  </si>
  <si>
    <t>Freemium</t>
  </si>
  <si>
    <t>WCC, Beach Cricket, Bat Attack, Real Carrom</t>
  </si>
  <si>
    <t>Players aged 15-35 years and Children</t>
  </si>
  <si>
    <t>Advertisement (91% of FY20 revenue) and in-App purchase (9%)</t>
  </si>
  <si>
    <t>Next Wave Multimedia (Subsidiary)</t>
  </si>
  <si>
    <t>Google App store, Apple store</t>
  </si>
  <si>
    <t>MAU (mn)</t>
  </si>
  <si>
    <t>Skill-based, fantasy and trivia real money games</t>
  </si>
  <si>
    <t>IAP market size</t>
  </si>
  <si>
    <t>2025E</t>
  </si>
  <si>
    <t>Casual gamers</t>
  </si>
  <si>
    <t>Mid core gamers</t>
  </si>
  <si>
    <t>Hard core gamers</t>
  </si>
  <si>
    <t>18-20 CAGR</t>
  </si>
  <si>
    <t>20-25 CAGR</t>
  </si>
  <si>
    <t>Skill-based, fantasy and Trivia Real Money gaming</t>
  </si>
  <si>
    <t>Halaplay, Qunami, Carrom Clash</t>
  </si>
  <si>
    <t>Entered skill-based gaming in India and have strategically created presence in the real money gaming segment. With the acquisition of Halaplay Technologies, and investments in Sports Unity, the Company is participating in sports fantasy gaming and trivia games.</t>
  </si>
  <si>
    <t>Youngsters and Sports Fans</t>
  </si>
  <si>
    <t>Platform Fee (Specified percentage of total gaming transaction)</t>
  </si>
  <si>
    <t>Agreements with technology and marketing service providers to manage large user traffic</t>
  </si>
  <si>
    <t>Halaplay (subsidiary)</t>
  </si>
  <si>
    <t>Consolidated segment-wise</t>
  </si>
  <si>
    <t>Real money gaming</t>
  </si>
  <si>
    <t>(Rs crore)</t>
  </si>
  <si>
    <t>Total</t>
  </si>
  <si>
    <t>Revenue share %</t>
  </si>
  <si>
    <t>Unallocated</t>
  </si>
  <si>
    <t>EBITDA share %</t>
  </si>
  <si>
    <t>US$</t>
  </si>
  <si>
    <t>Global Gaming Industry Compared with Movies and Music (2017-2020)</t>
  </si>
  <si>
    <t>Column1</t>
  </si>
  <si>
    <t>Year</t>
  </si>
  <si>
    <t>Gaming</t>
  </si>
  <si>
    <t>Movies</t>
  </si>
  <si>
    <t>Music</t>
  </si>
  <si>
    <t>Indian Gaming Industry Compared with Bollywood (2016-2023)</t>
  </si>
  <si>
    <t>Bollywood</t>
  </si>
  <si>
    <t>2021E</t>
  </si>
  <si>
    <t>2022E</t>
  </si>
  <si>
    <t>Global (in USD) Vs. Indian (In thousands of rupees) Per Capita Growth</t>
  </si>
  <si>
    <t>Global</t>
  </si>
  <si>
    <t>AGR%</t>
  </si>
  <si>
    <t>Gen Z and Millennial Population - 2015 (As on August 2020)</t>
  </si>
  <si>
    <t>Indian</t>
  </si>
  <si>
    <t>USA</t>
  </si>
  <si>
    <t>China</t>
  </si>
  <si>
    <t>Millenials</t>
  </si>
  <si>
    <t xml:space="preserve"> Gen Z</t>
  </si>
  <si>
    <t>Others</t>
  </si>
  <si>
    <t>Gen Z and Millennial Population - 2020 (As on August 2020)</t>
  </si>
  <si>
    <t>Global GDP Growth (2015-2021E)</t>
  </si>
  <si>
    <t>Emerging markets and Developing Economies GDP Growth</t>
  </si>
  <si>
    <t>Advanced Economies GDP Growth</t>
  </si>
  <si>
    <t>World Economy GDP Growth</t>
  </si>
  <si>
    <t>Note:</t>
  </si>
  <si>
    <t>Advanced economies include regions such as USA, Germany, France, Italy, Spain, Japan, and United Kingdom</t>
  </si>
  <si>
    <t>Emerging economies include regions such as China, India, ASEAN-5, Russia, Brazil, Mexico, Saudi Arabia, Nigeria, South 4frica, and other low-income developing countries</t>
  </si>
  <si>
    <t>Cuntry wide comparison 2020</t>
  </si>
  <si>
    <t>Revenue (in USD Billions)</t>
  </si>
  <si>
    <t xml:space="preserve"> CAGR%</t>
  </si>
  <si>
    <t>Online gamers (Millions)</t>
  </si>
  <si>
    <t>CAGR%</t>
  </si>
  <si>
    <t>Avg Rev. Per Gamer (USD)</t>
  </si>
  <si>
    <t>Gaming Penetration %</t>
  </si>
  <si>
    <t xml:space="preserve">China </t>
  </si>
  <si>
    <t xml:space="preserve">USA </t>
  </si>
  <si>
    <t>Indian Gaming Market: Split By PC, Console &amp; Mobile, 2016-2023 (in USD  Million)</t>
  </si>
  <si>
    <t>Chinese Gaming Market: Split By PC, Console &amp; Mobile, 2016-2023 (in USD Billion)</t>
  </si>
  <si>
    <t>USA Gaming Market: Split By PC, Console &amp; Mobile, 2016-2023 (in USD Billion)</t>
  </si>
  <si>
    <t>Segment</t>
  </si>
  <si>
    <t>Mobile</t>
  </si>
  <si>
    <t>Console</t>
  </si>
  <si>
    <t>PC</t>
  </si>
  <si>
    <t xml:space="preserve">Percentage of Majority </t>
  </si>
  <si>
    <t>Mobile (49.5%)</t>
  </si>
  <si>
    <t>Mobile (56.55%)</t>
  </si>
  <si>
    <t>Mobile (64.63%)</t>
  </si>
  <si>
    <t>Mobile (71.51%)</t>
  </si>
  <si>
    <t>Mobile (77.09%)</t>
  </si>
  <si>
    <t>Mobile (81.58%)</t>
  </si>
  <si>
    <t>Mobile (85.19%)</t>
  </si>
  <si>
    <t>Mobile (87.91%)</t>
  </si>
  <si>
    <t>PC (52.22%)</t>
  </si>
  <si>
    <t>PC (53.8%)</t>
  </si>
  <si>
    <t>PC (55.99%)</t>
  </si>
  <si>
    <t>PC (57.18%)</t>
  </si>
  <si>
    <t>PC (59.01%)</t>
  </si>
  <si>
    <t>PC (60.48%)</t>
  </si>
  <si>
    <t>PC (61.37%)</t>
  </si>
  <si>
    <t>PC (61.96%)</t>
  </si>
  <si>
    <t>Console (50%)</t>
  </si>
  <si>
    <t>Console (51%)</t>
  </si>
  <si>
    <t>Console (%52)</t>
  </si>
  <si>
    <t>Console (53%)</t>
  </si>
  <si>
    <t>Console (54%)</t>
  </si>
  <si>
    <t>Console (55%)</t>
  </si>
  <si>
    <t>Console (56%)</t>
  </si>
  <si>
    <t>Console (58%)</t>
  </si>
  <si>
    <t>Global Mobile Gaming Market</t>
  </si>
  <si>
    <t>CAGR 2020-2023 = 14.9%</t>
  </si>
  <si>
    <t>Mobile Gaming: India vs. China (USD)</t>
  </si>
  <si>
    <t>No. of Mobile Gamers (Millions)</t>
  </si>
  <si>
    <t>Mobile Gaming Revenue (Billions)</t>
  </si>
  <si>
    <t>Revenue Per user</t>
  </si>
  <si>
    <t>Year2</t>
  </si>
  <si>
    <t>No. of Mobile Gamers (Millions)2</t>
  </si>
  <si>
    <t>Mobile Gaming Revenue (Billions)2</t>
  </si>
  <si>
    <t>Revenue Per User2</t>
  </si>
  <si>
    <t>Internet and Smartphone</t>
  </si>
  <si>
    <t xml:space="preserve">Internet Users —2016-2023, (in Billions) </t>
  </si>
  <si>
    <t>Global CAGR 7.34%</t>
  </si>
  <si>
    <t xml:space="preserve">No. of users </t>
  </si>
  <si>
    <t>India CAGR 16.34%</t>
  </si>
  <si>
    <t xml:space="preserve">No. of Internet users </t>
  </si>
  <si>
    <t xml:space="preserve">Internet Penetration </t>
  </si>
  <si>
    <t>Data Consumption</t>
  </si>
  <si>
    <t>Broadband Speed Avg</t>
  </si>
  <si>
    <t>Mobile Speed Avg</t>
  </si>
  <si>
    <t xml:space="preserve">No. of Mobile Internet Users </t>
  </si>
  <si>
    <t>Smartphone User Penetration &amp; Mobile Gamer Growth (2016-2023)</t>
  </si>
  <si>
    <t>Global2</t>
  </si>
  <si>
    <t>USA2</t>
  </si>
  <si>
    <t>China2</t>
  </si>
  <si>
    <t>India2</t>
  </si>
  <si>
    <t>Smartphone User Penetration (%)</t>
  </si>
  <si>
    <t>Mobile Gamers (Billions)</t>
  </si>
  <si>
    <t>2015</t>
  </si>
  <si>
    <t>2016</t>
  </si>
  <si>
    <t>2017</t>
  </si>
  <si>
    <t>2018</t>
  </si>
  <si>
    <t>2019</t>
  </si>
  <si>
    <t>2020</t>
  </si>
  <si>
    <t xml:space="preserve"> </t>
  </si>
  <si>
    <t>Sponsorship</t>
  </si>
  <si>
    <t>Media rights</t>
  </si>
  <si>
    <t>Publisher fees</t>
  </si>
  <si>
    <t>Merchandise and tickets</t>
  </si>
  <si>
    <t>Digital</t>
  </si>
  <si>
    <t>Streaming</t>
  </si>
  <si>
    <t>Indian mobile gaming split</t>
  </si>
  <si>
    <t>Global eSports market (US$ mn)</t>
  </si>
  <si>
    <t>eSports</t>
  </si>
  <si>
    <t>Casual games</t>
  </si>
  <si>
    <t>Non fantasy real money gaming</t>
  </si>
  <si>
    <t>Online fantasy games</t>
  </si>
  <si>
    <t>India eSports market</t>
  </si>
  <si>
    <t>China eSports market</t>
  </si>
  <si>
    <t>FY18-20</t>
  </si>
  <si>
    <t>FY20-23</t>
  </si>
  <si>
    <t>Revenue - Halaplay</t>
  </si>
  <si>
    <t>FY13</t>
  </si>
  <si>
    <t>FY14</t>
  </si>
  <si>
    <t>FY15</t>
  </si>
  <si>
    <t>FY16</t>
  </si>
  <si>
    <t>FY17</t>
  </si>
  <si>
    <t>FY22E</t>
  </si>
  <si>
    <t>FY23E</t>
  </si>
  <si>
    <t>FY24E</t>
  </si>
  <si>
    <t>FY25E</t>
  </si>
  <si>
    <t>FY14-21</t>
  </si>
  <si>
    <t>FY14-20</t>
  </si>
  <si>
    <t>FY18-21</t>
  </si>
  <si>
    <t>FY17-20</t>
  </si>
  <si>
    <t>Net sales</t>
  </si>
  <si>
    <t>YoY growth</t>
  </si>
  <si>
    <t>Expenses</t>
  </si>
  <si>
    <t>Inventory</t>
  </si>
  <si>
    <t>Contribution</t>
  </si>
  <si>
    <t>Contribution margin</t>
  </si>
  <si>
    <t>RM cost as % of sales</t>
  </si>
  <si>
    <t>Power and fuel</t>
  </si>
  <si>
    <t>Other manufacturing expenses</t>
  </si>
  <si>
    <t>Direct cost as % of sales</t>
  </si>
  <si>
    <t>Employee costs</t>
  </si>
  <si>
    <t>As % of sales</t>
  </si>
  <si>
    <t>Selling and admin expenses</t>
  </si>
  <si>
    <t>Other expenses</t>
  </si>
  <si>
    <t>Depreciation</t>
  </si>
  <si>
    <t>EBIT</t>
  </si>
  <si>
    <t>EBIT margin</t>
  </si>
  <si>
    <t>Interest</t>
  </si>
  <si>
    <t>Other income</t>
  </si>
  <si>
    <t>PBT</t>
  </si>
  <si>
    <t>Tax</t>
  </si>
  <si>
    <t>PAT</t>
  </si>
  <si>
    <t>Adj. net profit</t>
  </si>
  <si>
    <t>EPS</t>
  </si>
  <si>
    <t>Effective tax rate</t>
  </si>
  <si>
    <t>Dividend</t>
  </si>
  <si>
    <t>Dividend payout ratio</t>
  </si>
  <si>
    <t>No. of shares</t>
  </si>
  <si>
    <t>Balance sheet</t>
  </si>
  <si>
    <t>Net worth</t>
  </si>
  <si>
    <t>Total debt</t>
  </si>
  <si>
    <t>Payables</t>
  </si>
  <si>
    <t>Other current liabilities</t>
  </si>
  <si>
    <t>Provisions</t>
  </si>
  <si>
    <t>Other liabilities</t>
  </si>
  <si>
    <t>Total equity and liabilities</t>
  </si>
  <si>
    <t>Gross block</t>
  </si>
  <si>
    <t>Accumulated depreciation</t>
  </si>
  <si>
    <t>Net block</t>
  </si>
  <si>
    <t>CWIP</t>
  </si>
  <si>
    <t>Investments</t>
  </si>
  <si>
    <t>Other long-term assets</t>
  </si>
  <si>
    <t>Net deferred taxes</t>
  </si>
  <si>
    <t>Total non-current assets</t>
  </si>
  <si>
    <t>Receivables</t>
  </si>
  <si>
    <t>Cash and cash equivalent</t>
  </si>
  <si>
    <t>Other current assets</t>
  </si>
  <si>
    <t>Total current assets</t>
  </si>
  <si>
    <t>Total assets</t>
  </si>
  <si>
    <t>Check</t>
  </si>
  <si>
    <t>Capital employed</t>
  </si>
  <si>
    <t>Core capital employed</t>
  </si>
  <si>
    <t>OCF</t>
  </si>
  <si>
    <t>FCF</t>
  </si>
  <si>
    <t>ROIC</t>
  </si>
  <si>
    <t>ROCE</t>
  </si>
  <si>
    <t>ROE</t>
  </si>
  <si>
    <t>Inventory days</t>
  </si>
  <si>
    <t>Debtor days</t>
  </si>
  <si>
    <t>Creditor days</t>
  </si>
  <si>
    <t>Cash conversion</t>
  </si>
  <si>
    <t>WC days</t>
  </si>
  <si>
    <t>Net asset turn</t>
  </si>
  <si>
    <t>Sales/capital employed</t>
  </si>
  <si>
    <t>OCF/PAT</t>
  </si>
  <si>
    <t>FCF/PAT</t>
  </si>
  <si>
    <t>Minority interest</t>
  </si>
  <si>
    <t>Content, event and web server</t>
  </si>
  <si>
    <t>Intangible assets</t>
  </si>
  <si>
    <t>Nodwin Gaming offers premium eSports content (live and on demand) to TV broadcasters and OTT platforms. Nodwin Gaming in partnership with game publishers and brands is engaged in providing e-sports gaming consultancy related to organizing gaming events, sponsorships and related consultancy services. Only company in India with IP rights over professional eSports tournaments.</t>
  </si>
  <si>
    <t>Freemium is Free to download games from Google play and App store. Casual to mid-core, free-to-play sports simulation and children’s games. World Cricket Championship (WCC) is the largest mobile-based cricket simulation game.</t>
  </si>
  <si>
    <t>Profit and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</si>
</sst>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_ * #,##0_ ;_ * \-#,##0_ ;_ * &quot;-&quot;??_ ;_ @_ "/>
    <numFmt numFmtId="166" formatCode="0.0%"/>
    <numFmt numFmtId="167" formatCode="_ * #,##0.0_ ;_ * \-#,##0.0_ ;_ * &quot;-&quot;??_ ;_ @_ "/>
  </numFmts>
  <fonts count="21"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1"/>
      <color theme="1"/>
      <name val="Calibri"/>
      <family val="2"/>
      <scheme val="minor"/>
    </font>
    <font>
      <b/>
      <sz val="10"/>
      <color theme="0"/>
      <name val="Arial"/>
      <family val="2"/>
    </font>
    <font>
      <b/>
      <sz val="10"/>
      <color theme="1"/>
      <name val="Arial"/>
      <family val="2"/>
    </font>
    <font>
      <sz val="10"/>
      <color theme="0"/>
      <name val="Arial"/>
      <family val="2"/>
    </font>
    <font>
      <b/>
      <i/>
      <sz val="10"/>
      <color theme="1"/>
      <name val="Arial"/>
      <family val="2"/>
    </font>
    <font>
      <i/>
      <sz val="10"/>
      <color theme="1"/>
      <name val="Arial"/>
      <family val="2"/>
    </font>
    <font>
      <sz val="12"/>
      <color theme="0"/>
      <name val="Calibri"/>
      <family val="2"/>
      <scheme val="minor"/>
    </font>
    <font>
      <b/>
      <i/>
      <sz val="12"/>
      <color theme="1"/>
      <name val="Calibri"/>
      <family val="2"/>
      <scheme val="minor"/>
    </font>
    <font>
      <b/>
      <sz val="12"/>
      <color theme="1"/>
      <name val="Calibri"/>
      <family val="2"/>
      <scheme val="minor"/>
    </font>
    <font>
      <b/>
      <sz val="12"/>
      <color theme="1"/>
      <name val="Calibri Light"/>
      <family val="2"/>
      <scheme val="major"/>
    </font>
    <font>
      <b/>
      <sz val="12"/>
      <color theme="0"/>
      <name val="Calibri"/>
      <family val="2"/>
      <scheme val="minor"/>
    </font>
    <font>
      <b/>
      <sz val="11"/>
      <color theme="1"/>
      <name val="Calibri"/>
      <family val="2"/>
      <scheme val="minor"/>
    </font>
    <font>
      <b/>
      <sz val="10"/>
      <color rgb="FF000000"/>
      <name val="Tahoma"/>
      <family val="2"/>
    </font>
    <font>
      <sz val="10"/>
      <color rgb="FF000000"/>
      <name val="Tahoma"/>
      <family val="2"/>
    </font>
    <font>
      <sz val="8"/>
      <color theme="1"/>
      <name val="Arial"/>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theme="5"/>
        <bgColor indexed="64"/>
      </patternFill>
    </fill>
    <fill>
      <patternFill patternType="solid">
        <fgColor theme="0" tint="-0.34998626667073579"/>
        <bgColor theme="0" tint="-0.14999847407452621"/>
      </patternFill>
    </fill>
    <fill>
      <patternFill patternType="solid">
        <fgColor theme="0" tint="-0.34998626667073579"/>
        <bgColor indexed="64"/>
      </patternFill>
    </fill>
    <fill>
      <patternFill patternType="solid">
        <fgColor theme="5"/>
        <bgColor theme="5"/>
      </patternFill>
    </fill>
    <fill>
      <patternFill patternType="solid">
        <fgColor theme="8"/>
        <bgColor indexed="6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top style="medium">
        <color theme="1"/>
      </top>
      <bottom style="medium">
        <color theme="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4" fillId="0" borderId="0" applyFont="0" applyFill="0" applyBorder="0" applyAlignment="0" applyProtection="0"/>
    <xf numFmtId="9" fontId="4" fillId="0" borderId="0" applyFont="0" applyFill="0" applyBorder="0" applyAlignment="0" applyProtection="0"/>
  </cellStyleXfs>
  <cellXfs count="82">
    <xf numFmtId="0" fontId="0" fillId="0" borderId="0" xfId="0"/>
    <xf numFmtId="0" fontId="3" fillId="0" borderId="0" xfId="0" applyFont="1"/>
    <xf numFmtId="0" fontId="6" fillId="0" borderId="0" xfId="0" applyFont="1"/>
    <xf numFmtId="0" fontId="3" fillId="0" borderId="0" xfId="0" applyFont="1" applyAlignment="1">
      <alignment wrapText="1"/>
    </xf>
    <xf numFmtId="0" fontId="3" fillId="0" borderId="0" xfId="0" applyFont="1" applyAlignment="1">
      <alignment vertical="center" wrapText="1"/>
    </xf>
    <xf numFmtId="0" fontId="6" fillId="0" borderId="0" xfId="0" applyFont="1" applyAlignment="1">
      <alignment horizontal="right"/>
    </xf>
    <xf numFmtId="165" fontId="3" fillId="0" borderId="0" xfId="1" applyNumberFormat="1" applyFont="1"/>
    <xf numFmtId="166" fontId="3" fillId="0" borderId="0" xfId="2" applyNumberFormat="1" applyFont="1"/>
    <xf numFmtId="0" fontId="7" fillId="3" borderId="0" xfId="0" applyFont="1" applyFill="1"/>
    <xf numFmtId="0" fontId="5" fillId="3" borderId="0" xfId="0" applyFont="1" applyFill="1" applyAlignment="1">
      <alignment horizontal="right"/>
    </xf>
    <xf numFmtId="0" fontId="5" fillId="4" borderId="0" xfId="0" applyFont="1" applyFill="1"/>
    <xf numFmtId="0" fontId="7" fillId="4" borderId="0" xfId="0" applyFont="1" applyFill="1"/>
    <xf numFmtId="9" fontId="3" fillId="0" borderId="0" xfId="0" applyNumberFormat="1" applyFont="1"/>
    <xf numFmtId="0" fontId="8" fillId="0" borderId="0" xfId="0" applyFont="1"/>
    <xf numFmtId="9" fontId="8" fillId="0" borderId="0" xfId="2" applyNumberFormat="1" applyFont="1"/>
    <xf numFmtId="9" fontId="3" fillId="0" borderId="0" xfId="0" applyNumberFormat="1" applyFont="1" applyAlignment="1">
      <alignment horizontal="right"/>
    </xf>
    <xf numFmtId="0" fontId="6" fillId="0" borderId="0" xfId="0" applyFont="1" applyAlignment="1">
      <alignment vertical="center" wrapText="1"/>
    </xf>
    <xf numFmtId="0" fontId="9" fillId="0" borderId="0" xfId="0" applyFont="1"/>
    <xf numFmtId="166" fontId="9" fillId="0" borderId="0" xfId="2" applyNumberFormat="1" applyFont="1"/>
    <xf numFmtId="1" fontId="3" fillId="0" borderId="0" xfId="0" applyNumberFormat="1" applyFont="1"/>
    <xf numFmtId="164" fontId="3" fillId="0" borderId="0" xfId="0" applyNumberFormat="1" applyFont="1"/>
    <xf numFmtId="0" fontId="5" fillId="3" borderId="0" xfId="0" applyFont="1" applyFill="1"/>
    <xf numFmtId="165" fontId="6" fillId="0" borderId="0" xfId="0" applyNumberFormat="1" applyFont="1"/>
    <xf numFmtId="166" fontId="6" fillId="0" borderId="0" xfId="2" applyNumberFormat="1" applyFont="1"/>
    <xf numFmtId="165" fontId="6" fillId="0" borderId="0" xfId="1" applyNumberFormat="1" applyFont="1"/>
    <xf numFmtId="166" fontId="3" fillId="0" borderId="0" xfId="0" applyNumberFormat="1" applyFont="1"/>
    <xf numFmtId="0" fontId="0" fillId="0" borderId="0" xfId="0" applyAlignment="1">
      <alignment horizontal="center"/>
    </xf>
    <xf numFmtId="0" fontId="0" fillId="0" borderId="0" xfId="0" applyAlignment="1">
      <alignment horizontal="center" vertical="center"/>
    </xf>
    <xf numFmtId="10" fontId="0" fillId="0" borderId="0" xfId="0" applyNumberFormat="1"/>
    <xf numFmtId="9" fontId="0" fillId="0" borderId="0" xfId="0" applyNumberFormat="1"/>
    <xf numFmtId="0" fontId="0" fillId="0" borderId="0" xfId="0" applyAlignment="1">
      <alignment horizontal="center" wrapText="1"/>
    </xf>
    <xf numFmtId="0" fontId="0" fillId="0" borderId="0" xfId="0" applyAlignment="1">
      <alignment wrapText="1"/>
    </xf>
    <xf numFmtId="9"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vertical="center"/>
    </xf>
    <xf numFmtId="166" fontId="0" fillId="0" borderId="0" xfId="0" applyNumberFormat="1"/>
    <xf numFmtId="0" fontId="10" fillId="5" borderId="0" xfId="0" applyFont="1" applyFill="1" applyAlignment="1">
      <alignment wrapText="1"/>
    </xf>
    <xf numFmtId="0" fontId="10" fillId="5" borderId="0" xfId="0" applyFont="1" applyFill="1"/>
    <xf numFmtId="2" fontId="0" fillId="0" borderId="0" xfId="0" applyNumberFormat="1"/>
    <xf numFmtId="9" fontId="0" fillId="0" borderId="1" xfId="0" applyNumberFormat="1" applyBorder="1" applyAlignment="1">
      <alignment horizontal="center"/>
    </xf>
    <xf numFmtId="0" fontId="11" fillId="0" borderId="0" xfId="0" applyFont="1"/>
    <xf numFmtId="9" fontId="0" fillId="0" borderId="1" xfId="0" applyNumberFormat="1" applyBorder="1" applyAlignment="1">
      <alignment horizontal="center" wrapText="1"/>
    </xf>
    <xf numFmtId="0" fontId="12" fillId="5" borderId="0" xfId="0" applyFont="1" applyFill="1" applyAlignment="1">
      <alignment horizontal="center" wrapText="1"/>
    </xf>
    <xf numFmtId="3" fontId="0" fillId="0" borderId="0" xfId="0" applyNumberFormat="1" applyAlignment="1">
      <alignment horizontal="center" wrapText="1"/>
    </xf>
    <xf numFmtId="0" fontId="13" fillId="0" borderId="0" xfId="0" applyFont="1" applyAlignment="1">
      <alignment horizontal="center" wrapText="1"/>
    </xf>
    <xf numFmtId="0" fontId="13" fillId="0" borderId="0" xfId="0" applyFont="1" applyAlignment="1">
      <alignment horizontal="right" wrapText="1"/>
    </xf>
    <xf numFmtId="0" fontId="12" fillId="6" borderId="0" xfId="0" applyFont="1" applyFill="1" applyAlignment="1">
      <alignment horizontal="center" wrapText="1"/>
    </xf>
    <xf numFmtId="0" fontId="12" fillId="7" borderId="0" xfId="0" applyFont="1" applyFill="1"/>
    <xf numFmtId="0" fontId="12" fillId="0" borderId="0" xfId="0" applyFont="1"/>
    <xf numFmtId="9" fontId="0" fillId="0" borderId="0" xfId="0" applyNumberFormat="1" applyAlignment="1">
      <alignment horizontal="center" wrapText="1"/>
    </xf>
    <xf numFmtId="0" fontId="14" fillId="8" borderId="2" xfId="0" applyFont="1" applyFill="1" applyBorder="1" applyAlignment="1">
      <alignment horizontal="center" wrapText="1"/>
    </xf>
    <xf numFmtId="0" fontId="14" fillId="10" borderId="3" xfId="0" applyFont="1" applyFill="1" applyBorder="1" applyAlignment="1">
      <alignment horizontal="center"/>
    </xf>
    <xf numFmtId="0" fontId="14" fillId="10" borderId="1" xfId="0" applyFont="1" applyFill="1" applyBorder="1"/>
    <xf numFmtId="0" fontId="14" fillId="10" borderId="3" xfId="0" applyFont="1" applyFill="1" applyBorder="1"/>
    <xf numFmtId="0" fontId="0" fillId="11" borderId="3" xfId="0" applyFill="1" applyBorder="1" applyAlignment="1">
      <alignment horizontal="center" wrapText="1"/>
    </xf>
    <xf numFmtId="0" fontId="0" fillId="11" borderId="3" xfId="0" applyFill="1" applyBorder="1" applyAlignment="1">
      <alignment horizontal="center"/>
    </xf>
    <xf numFmtId="0" fontId="0" fillId="0" borderId="3" xfId="0" applyBorder="1" applyAlignment="1">
      <alignment horizontal="center"/>
    </xf>
    <xf numFmtId="0" fontId="2" fillId="0" borderId="0" xfId="0" applyFont="1"/>
    <xf numFmtId="0" fontId="5" fillId="3" borderId="0" xfId="0" applyFont="1" applyFill="1" applyAlignment="1">
      <alignment horizontal="right" vertical="center"/>
    </xf>
    <xf numFmtId="0" fontId="1" fillId="0" borderId="0" xfId="0" applyFont="1"/>
    <xf numFmtId="165" fontId="1" fillId="0" borderId="0" xfId="1" applyNumberFormat="1" applyFont="1"/>
    <xf numFmtId="166" fontId="1" fillId="0" borderId="0" xfId="2" applyNumberFormat="1" applyFont="1"/>
    <xf numFmtId="167" fontId="1" fillId="0" borderId="0" xfId="1" applyNumberFormat="1" applyFont="1"/>
    <xf numFmtId="9" fontId="1" fillId="0" borderId="0" xfId="2" applyFont="1"/>
    <xf numFmtId="164" fontId="1" fillId="0" borderId="0" xfId="0" applyNumberFormat="1" applyFont="1"/>
    <xf numFmtId="165" fontId="1" fillId="0" borderId="0" xfId="0" applyNumberFormat="1" applyFont="1"/>
    <xf numFmtId="0" fontId="18" fillId="0" borderId="0" xfId="0" applyFont="1"/>
    <xf numFmtId="165" fontId="18" fillId="0" borderId="0" xfId="1" applyNumberFormat="1" applyFont="1"/>
    <xf numFmtId="165" fontId="3" fillId="0" borderId="0" xfId="0" applyNumberFormat="1" applyFont="1"/>
    <xf numFmtId="165" fontId="6" fillId="0" borderId="0" xfId="0" applyNumberFormat="1" applyFont="1" applyAlignment="1">
      <alignment vertical="center" wrapText="1"/>
    </xf>
    <xf numFmtId="9" fontId="6" fillId="0" borderId="0" xfId="2" applyFont="1" applyAlignment="1">
      <alignment vertical="center" wrapText="1"/>
    </xf>
    <xf numFmtId="0" fontId="5" fillId="2" borderId="4"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6" fillId="0" borderId="4" xfId="0" applyFont="1" applyBorder="1" applyAlignment="1">
      <alignment vertical="center" wrapText="1"/>
    </xf>
    <xf numFmtId="0" fontId="3" fillId="0" borderId="4" xfId="0" applyFont="1" applyBorder="1" applyAlignment="1">
      <alignment vertical="center" wrapText="1"/>
    </xf>
    <xf numFmtId="0" fontId="3" fillId="0" borderId="4" xfId="0" applyFont="1" applyBorder="1" applyAlignment="1">
      <alignment horizontal="center" vertical="center" wrapText="1"/>
    </xf>
    <xf numFmtId="165" fontId="3" fillId="0" borderId="4" xfId="1" applyNumberFormat="1" applyFont="1" applyBorder="1" applyAlignment="1">
      <alignment vertical="center" wrapText="1"/>
    </xf>
    <xf numFmtId="9" fontId="3" fillId="0" borderId="4" xfId="2" applyFont="1" applyBorder="1" applyAlignment="1">
      <alignment vertical="center" wrapText="1"/>
    </xf>
    <xf numFmtId="0" fontId="1" fillId="0" borderId="4" xfId="0" applyFont="1" applyBorder="1" applyAlignment="1">
      <alignment vertical="center" wrapText="1"/>
    </xf>
    <xf numFmtId="0" fontId="6" fillId="0" borderId="4" xfId="0" applyFont="1" applyBorder="1" applyAlignment="1">
      <alignment horizontal="left" vertical="center" wrapText="1"/>
    </xf>
    <xf numFmtId="0" fontId="15" fillId="0" borderId="0" xfId="0" applyFont="1" applyAlignment="1">
      <alignment horizontal="left"/>
    </xf>
    <xf numFmtId="0" fontId="14" fillId="9" borderId="0" xfId="0" applyFont="1" applyFill="1" applyAlignment="1">
      <alignment horizontal="center" wrapText="1"/>
    </xf>
  </cellXfs>
  <cellStyles count="3">
    <cellStyle name="Comma" xfId="1" builtinId="3"/>
    <cellStyle name="Normal" xfId="0" builtinId="0"/>
    <cellStyle name="Percent" xfId="2" builtinId="5"/>
  </cellStyles>
  <dxfs count="75">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3" formatCode="0%"/>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ill>
        <patternFill patternType="none">
          <fgColor indexed="64"/>
          <bgColor indexed="65"/>
        </patternFill>
      </fill>
    </dxf>
    <dxf>
      <numFmt numFmtId="13" formatCode="0%"/>
      <fill>
        <patternFill patternType="none">
          <fgColor indexed="64"/>
          <bgColor indexed="65"/>
        </patternFill>
      </fill>
    </dxf>
    <dxf>
      <fill>
        <patternFill patternType="none">
          <fgColor indexed="64"/>
          <bgColor indexed="65"/>
        </patternFill>
      </fill>
    </dxf>
    <dxf>
      <numFmt numFmtId="13" formatCode="0%"/>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vertical="bottom" textRotation="0" wrapText="1"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30" formatCode="@"/>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257175</xdr:colOff>
      <xdr:row>27</xdr:row>
      <xdr:rowOff>123825</xdr:rowOff>
    </xdr:from>
    <xdr:to>
      <xdr:col>18</xdr:col>
      <xdr:colOff>76201</xdr:colOff>
      <xdr:row>56</xdr:row>
      <xdr:rowOff>114300</xdr:rowOff>
    </xdr:to>
    <xdr:pic>
      <xdr:nvPicPr>
        <xdr:cNvPr id="2" name="Picture 1">
          <a:extLst>
            <a:ext uri="{FF2B5EF4-FFF2-40B4-BE49-F238E27FC236}">
              <a16:creationId xmlns:a16="http://schemas.microsoft.com/office/drawing/2014/main" id="{F76885F1-0BF5-44EA-8F9E-FB0E85D1D7E0}"/>
            </a:ext>
          </a:extLst>
        </xdr:cNvPr>
        <xdr:cNvPicPr>
          <a:picLocks noChangeAspect="1"/>
        </xdr:cNvPicPr>
      </xdr:nvPicPr>
      <xdr:blipFill rotWithShape="1">
        <a:blip xmlns:r="http://schemas.openxmlformats.org/officeDocument/2006/relationships" r:embed="rId1"/>
        <a:srcRect l="19842" t="21618" r="20634" b="14312"/>
        <a:stretch/>
      </xdr:blipFill>
      <xdr:spPr>
        <a:xfrm>
          <a:off x="4657725" y="4495800"/>
          <a:ext cx="7743826" cy="4686300"/>
        </a:xfrm>
        <a:prstGeom prst="rect">
          <a:avLst/>
        </a:prstGeom>
      </xdr:spPr>
    </xdr:pic>
    <xdr:clientData/>
  </xdr:twoCellAnchor>
  <xdr:twoCellAnchor editAs="oneCell">
    <xdr:from>
      <xdr:col>5</xdr:col>
      <xdr:colOff>309780</xdr:colOff>
      <xdr:row>0</xdr:row>
      <xdr:rowOff>0</xdr:rowOff>
    </xdr:from>
    <xdr:to>
      <xdr:col>16</xdr:col>
      <xdr:colOff>47625</xdr:colOff>
      <xdr:row>14</xdr:row>
      <xdr:rowOff>47625</xdr:rowOff>
    </xdr:to>
    <xdr:pic>
      <xdr:nvPicPr>
        <xdr:cNvPr id="3" name="Picture 2">
          <a:extLst>
            <a:ext uri="{FF2B5EF4-FFF2-40B4-BE49-F238E27FC236}">
              <a16:creationId xmlns:a16="http://schemas.microsoft.com/office/drawing/2014/main" id="{B168B99E-184E-4A5A-8F92-78D1B476C3A1}"/>
            </a:ext>
          </a:extLst>
        </xdr:cNvPr>
        <xdr:cNvPicPr>
          <a:picLocks noChangeAspect="1"/>
        </xdr:cNvPicPr>
      </xdr:nvPicPr>
      <xdr:blipFill rotWithShape="1">
        <a:blip xmlns:r="http://schemas.openxmlformats.org/officeDocument/2006/relationships" r:embed="rId2"/>
        <a:srcRect l="23795" t="23961" r="24295" b="42873"/>
        <a:stretch/>
      </xdr:blipFill>
      <xdr:spPr>
        <a:xfrm>
          <a:off x="4710330" y="0"/>
          <a:ext cx="6443445" cy="2314575"/>
        </a:xfrm>
        <a:prstGeom prst="rect">
          <a:avLst/>
        </a:prstGeom>
      </xdr:spPr>
    </xdr:pic>
    <xdr:clientData/>
  </xdr:twoCellAnchor>
  <xdr:twoCellAnchor editAs="oneCell">
    <xdr:from>
      <xdr:col>7</xdr:col>
      <xdr:colOff>19050</xdr:colOff>
      <xdr:row>57</xdr:row>
      <xdr:rowOff>9525</xdr:rowOff>
    </xdr:from>
    <xdr:to>
      <xdr:col>13</xdr:col>
      <xdr:colOff>314325</xdr:colOff>
      <xdr:row>85</xdr:row>
      <xdr:rowOff>47625</xdr:rowOff>
    </xdr:to>
    <xdr:pic>
      <xdr:nvPicPr>
        <xdr:cNvPr id="4" name="Picture 3">
          <a:extLst>
            <a:ext uri="{FF2B5EF4-FFF2-40B4-BE49-F238E27FC236}">
              <a16:creationId xmlns:a16="http://schemas.microsoft.com/office/drawing/2014/main" id="{79729083-D109-471E-90AE-BA174F7E44CD}"/>
            </a:ext>
          </a:extLst>
        </xdr:cNvPr>
        <xdr:cNvPicPr>
          <a:picLocks noChangeAspect="1"/>
        </xdr:cNvPicPr>
      </xdr:nvPicPr>
      <xdr:blipFill rotWithShape="1">
        <a:blip xmlns:r="http://schemas.openxmlformats.org/officeDocument/2006/relationships" r:embed="rId3"/>
        <a:srcRect l="18158" t="23701" r="51458" b="13791"/>
        <a:stretch/>
      </xdr:blipFill>
      <xdr:spPr>
        <a:xfrm>
          <a:off x="5638800" y="9239250"/>
          <a:ext cx="3952875" cy="4572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899F76-3886-41DF-8E9A-EE44B152AD41}" name="GlobalGamingInd" displayName="GlobalGamingInd" ref="A2:D6" totalsRowShown="0">
  <tableColumns count="4">
    <tableColumn id="1" xr3:uid="{FEF32882-4E67-4D6E-8FD9-B9D04CC19429}" name=" "/>
    <tableColumn id="2" xr3:uid="{A65121E6-FD75-4877-98AB-E67BFD38B441}" name="Gaming"/>
    <tableColumn id="3" xr3:uid="{FB8C36DA-57F0-495C-AC50-2FE80F5EF20D}" name="Movies"/>
    <tableColumn id="4" xr3:uid="{D2C70D6A-D671-4AF7-96CF-E5B623FD1722}" name="Music"/>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218FB7B-5A18-4071-82DA-BEFAC2EE6AD4}" name="Table91112" displayName="Table91112" ref="S46:AA52" totalsRowCount="1" headerRowDxfId="29" dataDxfId="28">
  <autoFilter ref="S46:AA51" xr:uid="{7218FB7B-5A18-4071-82DA-BEFAC2EE6AD4}"/>
  <tableColumns count="9">
    <tableColumn id="1" xr3:uid="{5C7102E3-0A73-45E7-AEC0-9D56414A9116}" name="Segment" dataDxfId="27" totalsRowDxfId="26"/>
    <tableColumn id="2" xr3:uid="{244BABC0-0BC9-4EBF-8A7C-32A5A1CE264A}" name="2016" dataDxfId="25" totalsRowDxfId="24"/>
    <tableColumn id="3" xr3:uid="{58CD3566-DFE2-4C94-8E61-54FF0F4F8AB6}" name="2017" dataDxfId="23" totalsRowDxfId="22"/>
    <tableColumn id="4" xr3:uid="{44D9716C-2902-4F4B-8190-1328F83B8611}" name="2018" dataDxfId="21" totalsRowDxfId="20"/>
    <tableColumn id="5" xr3:uid="{03B9FC15-C02A-4918-A565-726E5F67BB7B}" name="2019" dataDxfId="19" totalsRowDxfId="18"/>
    <tableColumn id="6" xr3:uid="{24243E1B-6A1F-41F0-823F-1F69E52F2426}" name="2020" dataDxfId="17" totalsRowDxfId="16"/>
    <tableColumn id="7" xr3:uid="{8D6CD2F5-021F-40AD-8834-D79CAFBC556F}" name="2021E" dataDxfId="15" totalsRowDxfId="14"/>
    <tableColumn id="8" xr3:uid="{6247EE63-DE09-4196-B6E6-F609D5C339A9}" name="2022E" dataDxfId="13" totalsRowDxfId="12"/>
    <tableColumn id="9" xr3:uid="{89A9FA88-C80A-4602-AE3C-E1AE53B92A48}" name="2023E" dataDxfId="11" totalsRowDxfId="10"/>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8C5661-0AA7-450D-B125-260D52A42404}" name="Table12" displayName="Table12" ref="A58:H62" totalsRowShown="0" headerRowDxfId="9" dataDxfId="8">
  <autoFilter ref="A58:H62" xr:uid="{B58C5661-0AA7-450D-B125-260D52A42404}"/>
  <tableColumns count="8">
    <tableColumn id="1" xr3:uid="{9D2E99CC-6779-43C5-A4D7-EE79FEFBECEC}" name="Year" dataDxfId="7"/>
    <tableColumn id="2" xr3:uid="{A738E414-559E-4ECB-B703-6B3999A7DEF5}" name="No. of Mobile Gamers (Millions)" dataDxfId="6"/>
    <tableColumn id="5" xr3:uid="{F7A51036-FADD-49BF-AD4E-7A8FFB1220AF}" name="Mobile Gaming Revenue (Billions)" dataDxfId="5"/>
    <tableColumn id="6" xr3:uid="{7B1A2DDD-BA52-4344-94BA-5D33DA5AE63F}" name="Revenue Per user" dataDxfId="4">
      <calculatedColumnFormula>1200/326</calculatedColumnFormula>
    </tableColumn>
    <tableColumn id="3" xr3:uid="{959BDB55-952E-4EB7-81F8-02AF8E2764C6}" name="Year2" dataDxfId="3"/>
    <tableColumn id="4" xr3:uid="{3C74E67D-6546-4E12-9688-D51FBCFF6206}" name="No. of Mobile Gamers (Millions)2" dataDxfId="2"/>
    <tableColumn id="7" xr3:uid="{CF2859F8-D84D-4217-BCB0-2DC83844162D}" name="Mobile Gaming Revenue (Billions)2" dataDxfId="1"/>
    <tableColumn id="8" xr3:uid="{2BE21F6D-7FAD-4D9C-B004-EB4CE8C52A06}" name="Revenue Per User2" dataDxfId="0">
      <calculatedColumnFormula>1300/286</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C2314F-28A3-4FBE-9AD3-627CD0E2E424}" name="Table13" displayName="Table13" ref="A64:J71" totalsRowShown="0">
  <autoFilter ref="A64:J71" xr:uid="{D2C2314F-28A3-4FBE-9AD3-627CD0E2E424}"/>
  <tableColumns count="10">
    <tableColumn id="1" xr3:uid="{A306CD41-DF1F-4C44-8562-1B4D2CEA1283}" name="Internet Users —2016-2023, (in Billions) "/>
    <tableColumn id="2" xr3:uid="{0D043758-09D7-493B-9459-057E0CD86470}" name="Column1"/>
    <tableColumn id="3" xr3:uid="{6CE3393C-90DA-4FDB-8DE3-A05C11607858}" name="2016"/>
    <tableColumn id="4" xr3:uid="{D4DEB20E-4FEC-4D87-B5BC-0BD2892E8162}" name="2017"/>
    <tableColumn id="5" xr3:uid="{8BEBA884-C77B-47C2-A2A6-F079569B6AFE}" name="2018"/>
    <tableColumn id="6" xr3:uid="{8F261DF7-79ED-49AD-888D-14ABCA221ABC}" name="2019"/>
    <tableColumn id="7" xr3:uid="{CF752C59-69C2-4250-9AA6-0E17EBC1679B}" name="2020"/>
    <tableColumn id="8" xr3:uid="{0902AE26-17E5-4118-A9FA-A9CA80F64F75}" name="2021E"/>
    <tableColumn id="9" xr3:uid="{7942D197-188E-450F-8DEB-6803AAB556F2}" name="2022E"/>
    <tableColumn id="10" xr3:uid="{3B753EE2-DEEA-44C1-85AA-4C3273BC9D1B}" name="2023E"/>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1CCD63-24B0-4448-8BB7-44F00BDAE67D}" name="IndiaGamingInd" displayName="IndiaGamingInd" ref="A9:C17" totalsRowShown="0" headerRowDxfId="74" dataDxfId="73">
  <tableColumns count="3">
    <tableColumn id="1" xr3:uid="{0F254CA1-F08D-499E-8B7C-1021CF5FD439}" name=" " dataDxfId="72"/>
    <tableColumn id="2" xr3:uid="{AD75C3FE-3D15-498B-9AA8-222A6178ACCA}" name="Gaming" dataDxfId="71"/>
    <tableColumn id="3" xr3:uid="{4A7A23BF-1808-4FA7-80A1-020EDD7075BB}" name="Bollywood" dataDxfId="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B80F6F-B03B-4C19-BE5A-A39BD0311A71}" name="GlobalVsIndia" displayName="GlobalVsIndia" ref="A19:D21" totalsRowShown="0">
  <autoFilter ref="A19:D21" xr:uid="{A0B80F6F-B03B-4C19-BE5A-A39BD0311A71}"/>
  <tableColumns count="4">
    <tableColumn id="1" xr3:uid="{4B7264C0-030A-4BE7-B4EF-2BC97703C097}" name="Global (in USD) Vs. Indian (In thousands of rupees) Per Capita Growth"/>
    <tableColumn id="2" xr3:uid="{EA9AD69E-4E6B-439B-B008-4177A2D31800}" name="Global"/>
    <tableColumn id="3" xr3:uid="{3AF69D59-63B8-4DC8-B695-6420CC065601}" name="India"/>
    <tableColumn id="4" xr3:uid="{E035D8D8-0C1A-4C23-BA7A-2F3CEF766E31}" name="AG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634E92-3B94-425C-8806-6DAEB4BC3691}" name="SmartphonePenetration" displayName="SmartphonePenetration" ref="A73:I82" totalsRowShown="0">
  <autoFilter ref="A73:I82" xr:uid="{4A634E92-3B94-425C-8806-6DAEB4BC3691}"/>
  <tableColumns count="9">
    <tableColumn id="1" xr3:uid="{2961FA5D-3BA4-41EE-974D-A8A457DD4905}" name="Smartphone User Penetration &amp; Mobile Gamer Growth (2016-2023)" dataDxfId="69"/>
    <tableColumn id="2" xr3:uid="{E62E2A43-7751-4E1A-B3F6-C3AAE6DACE20}" name="Global" dataDxfId="68"/>
    <tableColumn id="3" xr3:uid="{4255ABCA-8CDF-4356-8FFB-C7EE532030CB}" name="USA" dataDxfId="67"/>
    <tableColumn id="4" xr3:uid="{73EA90FD-1BA5-4FE5-8E3C-6DFF95F2FABF}" name="China"/>
    <tableColumn id="5" xr3:uid="{DC9B583C-67A8-495E-8505-2B1998C15333}" name="India"/>
    <tableColumn id="6" xr3:uid="{3A642F61-D0CD-4D09-AB2F-347598BB2CF3}" name="Global2"/>
    <tableColumn id="7" xr3:uid="{7BE34432-0BDA-41E3-B745-0956F9B83006}" name="USA2"/>
    <tableColumn id="8" xr3:uid="{CB96500E-9328-4E19-A3B9-00D9191C822C}" name="China2"/>
    <tableColumn id="9" xr3:uid="{3F88D539-BBF5-4530-99EA-88DCAA7CE956}" name="India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7AEF1A-0882-4A68-BB58-1A433B216F7E}" name="Table6" displayName="Table6" ref="A23:E30" totalsRowShown="0">
  <autoFilter ref="A23:E30" xr:uid="{437AEF1A-0882-4A68-BB58-1A433B216F7E}"/>
  <tableColumns count="5">
    <tableColumn id="1" xr3:uid="{2A6437BC-51B4-45F5-8D3C-C58618722F61}" name="Gen Z and Millennial Population - 2015 (As on August 2020)"/>
    <tableColumn id="2" xr3:uid="{E617E4D3-8092-4D8B-986F-296421D6CA33}" name="Global"/>
    <tableColumn id="3" xr3:uid="{3017E248-01F6-4AE7-85D6-097E9763AD12}" name="Indian"/>
    <tableColumn id="4" xr3:uid="{5872FFE8-624A-494A-95C6-2F85EE56887F}" name="USA"/>
    <tableColumn id="5" xr3:uid="{A4E69C72-7695-4C18-A838-444BC99BFF17}" name="China"/>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BBA3B2-F0C0-4A14-86DF-22C68C56BFE8}" name="Table7" displayName="Table7" ref="A32:H35" totalsRowShown="0">
  <autoFilter ref="A32:H35" xr:uid="{35BBA3B2-F0C0-4A14-86DF-22C68C56BFE8}"/>
  <tableColumns count="8">
    <tableColumn id="1" xr3:uid="{B6438C39-325C-4A8D-BC8E-BDF4219A0212}" name="Global GDP Growth (2015-2021E)"/>
    <tableColumn id="2" xr3:uid="{A7B682F9-DD87-4383-8844-3C77EACB6D32}" name="2015"/>
    <tableColumn id="3" xr3:uid="{B62BC269-505B-4B3A-B5CE-87612378807B}" name="2016"/>
    <tableColumn id="4" xr3:uid="{F1B4663B-90DC-4DCD-86D4-7A6585890768}" name="2017"/>
    <tableColumn id="5" xr3:uid="{3FD8110D-8194-417E-901C-BC234B3069BE}" name="2018"/>
    <tableColumn id="6" xr3:uid="{09950C1F-69C5-488C-B6A3-16587AE7C028}" name="2019"/>
    <tableColumn id="7" xr3:uid="{BC412D0D-7DA8-4A0D-A58A-EF9AD4B0B95E}" name="2020"/>
    <tableColumn id="8" xr3:uid="{137ABCB9-FDEF-4C9C-9AE6-A1FB78460959}" name="2021E"/>
  </tableColumns>
  <tableStyleInfo name="TableStyleMedium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A1F019-D0DD-42A0-8E0E-55CA24E06984}" name="Table8" displayName="Table8" ref="A40:G43" totalsRowShown="0" headerRowDxfId="66">
  <autoFilter ref="A40:G43" xr:uid="{B3A1F019-D0DD-42A0-8E0E-55CA24E06984}"/>
  <tableColumns count="7">
    <tableColumn id="1" xr3:uid="{0171A51E-FC3C-4C9B-866E-B231C4BF75B6}" name="Cuntry wide comparison 2020"/>
    <tableColumn id="2" xr3:uid="{1BAFB086-3857-405F-BE41-BD349933813E}" name="Revenue (in USD Billions)" dataDxfId="65"/>
    <tableColumn id="3" xr3:uid="{04CCBF38-A8B3-4A44-9D9C-B12CA2DD9028}" name=" CAGR%" dataDxfId="64"/>
    <tableColumn id="4" xr3:uid="{1E729E52-3E06-4283-BD10-23FF9E18E8AF}" name="Online gamers (Millions)" dataDxfId="63"/>
    <tableColumn id="5" xr3:uid="{C24ACD9D-1127-4A6F-B55B-0507DE18E572}" name="CAGR%" dataDxfId="62"/>
    <tableColumn id="6" xr3:uid="{2A806BAD-29F5-4019-B12B-BD151296EBB1}" name="Avg Rev. Per Gamer (USD)" dataDxfId="61"/>
    <tableColumn id="8" xr3:uid="{D3305566-E697-4DFE-9CDA-EE56D60B39DF}" name="Gaming Penetration %"/>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2A4179-2CCF-4002-A879-8751313E0FEA}" name="Table9" displayName="Table9" ref="A46:I51" totalsRowShown="0" headerRowDxfId="60" dataDxfId="59">
  <autoFilter ref="A46:I51" xr:uid="{882A4179-2CCF-4002-A879-8751313E0FEA}"/>
  <tableColumns count="9">
    <tableColumn id="1" xr3:uid="{20899EDC-AE82-4CEF-B9D2-0AB77B1C8543}" name="Segment" dataDxfId="58"/>
    <tableColumn id="2" xr3:uid="{29C0AB90-E61F-40AD-BB66-E8E8D0233848}" name="2016" dataDxfId="57"/>
    <tableColumn id="3" xr3:uid="{09484102-C2FF-498F-B726-BE6C7B23976D}" name="2017" dataDxfId="56"/>
    <tableColumn id="4" xr3:uid="{2EA6F064-A85F-4AF3-8ADA-A76A89EFE587}" name="2018" dataDxfId="55"/>
    <tableColumn id="5" xr3:uid="{56A77C7D-BAB7-4208-BBD1-86EFE634F9C7}" name="2019" dataDxfId="54"/>
    <tableColumn id="6" xr3:uid="{9E3CEBE1-1FBD-4671-B489-9964C794A45B}" name="2020" dataDxfId="53"/>
    <tableColumn id="7" xr3:uid="{C4BDEF6F-96FF-4891-98A8-4EAA7517D7C1}" name="2021E" dataDxfId="52"/>
    <tableColumn id="8" xr3:uid="{DDB35AC9-166F-4CFC-9508-DD04D318A1ED}" name="2022E" dataDxfId="51"/>
    <tableColumn id="9" xr3:uid="{6CC0179C-5B9C-40F0-99DF-410F4CB39D60}" name="2023E" dataDxfId="5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31E230-B9F9-48FF-87E7-9ABDB3463EF5}" name="Table911" displayName="Table911" ref="J46:R52" totalsRowCount="1" headerRowDxfId="49" dataDxfId="48">
  <autoFilter ref="J46:R51" xr:uid="{1831E230-B9F9-48FF-87E7-9ABDB3463EF5}"/>
  <tableColumns count="9">
    <tableColumn id="1" xr3:uid="{7BD23937-4C49-4DA7-8B4B-605C17BDA6B1}" name="Segment" dataDxfId="47" totalsRowDxfId="46"/>
    <tableColumn id="2" xr3:uid="{C18696D8-EDEA-4C08-A018-57D0F78A24B7}" name="2016" dataDxfId="45" totalsRowDxfId="44"/>
    <tableColumn id="3" xr3:uid="{FB85DE39-C07D-4A1F-8710-AD8488119B27}" name="2017" dataDxfId="43" totalsRowDxfId="42"/>
    <tableColumn id="4" xr3:uid="{24EB2C94-15EC-4D67-BCE7-2464BEFA0030}" name="2018" dataDxfId="41" totalsRowDxfId="40"/>
    <tableColumn id="5" xr3:uid="{148950F2-2D2C-46CF-8647-3193A515D012}" name="2019" dataDxfId="39" totalsRowDxfId="38"/>
    <tableColumn id="6" xr3:uid="{FC4B3480-8625-44D3-B1C2-433EB673DE77}" name="2020" dataDxfId="37" totalsRowDxfId="36"/>
    <tableColumn id="7" xr3:uid="{FF698FC6-BF60-458C-A0AC-C00750513BB3}" name="2021E" dataDxfId="35" totalsRowDxfId="34"/>
    <tableColumn id="8" xr3:uid="{25366907-166D-46E9-8766-BC3A190987F5}" name="2022E" dataDxfId="33" totalsRowDxfId="32"/>
    <tableColumn id="9" xr3:uid="{10FDA24A-3F83-461D-82A4-38771097C96B}" name="2023E" dataDxfId="31" totalsRowDxfId="30"/>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vmlDrawing" Target="../drawings/vmlDrawing2.vm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
  <sheetViews>
    <sheetView showGridLines="0" tabSelected="1" workbookViewId="0">
      <pane xSplit="1" ySplit="1" topLeftCell="B2" activePane="bottomRight" state="frozen"/>
      <selection pane="topRight" activeCell="B1" sqref="B1"/>
      <selection pane="bottomLeft" activeCell="A2" sqref="A2"/>
      <selection pane="bottomRight" activeCell="C30" sqref="C30"/>
    </sheetView>
  </sheetViews>
  <sheetFormatPr baseColWidth="10" defaultColWidth="9.1640625" defaultRowHeight="13" x14ac:dyDescent="0.15"/>
  <cols>
    <col min="1" max="1" width="24.1640625" style="3" customWidth="1"/>
    <col min="2" max="2" width="17.83203125" style="3" customWidth="1"/>
    <col min="3" max="3" width="117.5" style="3" customWidth="1"/>
    <col min="4" max="4" width="28.1640625" style="3" customWidth="1"/>
    <col min="5" max="5" width="53.5" style="3" customWidth="1"/>
    <col min="6" max="6" width="41.5" style="3" customWidth="1"/>
    <col min="7" max="7" width="13.83203125" style="3" customWidth="1"/>
    <col min="8" max="8" width="49.1640625" style="3" customWidth="1"/>
    <col min="9" max="10" width="25.83203125" style="3" customWidth="1"/>
    <col min="11" max="11" width="10.1640625" style="3" customWidth="1"/>
    <col min="12" max="13" width="10.5" style="3" customWidth="1"/>
    <col min="14" max="15" width="11.33203125" style="3" customWidth="1"/>
    <col min="16" max="16384" width="9.1640625" style="3"/>
  </cols>
  <sheetData>
    <row r="1" spans="1:15" ht="27" customHeight="1" x14ac:dyDescent="0.15">
      <c r="A1" s="71" t="s">
        <v>0</v>
      </c>
      <c r="B1" s="72" t="s">
        <v>7</v>
      </c>
      <c r="C1" s="71" t="s">
        <v>1</v>
      </c>
      <c r="D1" s="72" t="s">
        <v>14</v>
      </c>
      <c r="E1" s="72" t="s">
        <v>9</v>
      </c>
      <c r="F1" s="72" t="s">
        <v>11</v>
      </c>
      <c r="G1" s="72" t="s">
        <v>66</v>
      </c>
      <c r="H1" s="72" t="s">
        <v>19</v>
      </c>
      <c r="I1" s="72" t="s">
        <v>10</v>
      </c>
      <c r="J1" s="72" t="s">
        <v>13</v>
      </c>
      <c r="K1" s="72" t="s">
        <v>3</v>
      </c>
      <c r="L1" s="72" t="s">
        <v>4</v>
      </c>
      <c r="M1" s="72" t="s">
        <v>5</v>
      </c>
      <c r="N1" s="72" t="s">
        <v>6</v>
      </c>
      <c r="O1" s="72" t="s">
        <v>2</v>
      </c>
    </row>
    <row r="2" spans="1:15" s="4" customFormat="1" ht="31.5" customHeight="1" x14ac:dyDescent="0.2">
      <c r="A2" s="73" t="s">
        <v>8</v>
      </c>
      <c r="B2" s="73" t="s">
        <v>12</v>
      </c>
      <c r="C2" s="74" t="s">
        <v>20</v>
      </c>
      <c r="D2" s="74" t="s">
        <v>15</v>
      </c>
      <c r="E2" s="74" t="s">
        <v>16</v>
      </c>
      <c r="F2" s="74" t="s">
        <v>17</v>
      </c>
      <c r="G2" s="75" t="s">
        <v>67</v>
      </c>
      <c r="H2" s="74" t="s">
        <v>18</v>
      </c>
      <c r="I2" s="74" t="s">
        <v>22</v>
      </c>
      <c r="J2" s="74" t="s">
        <v>21</v>
      </c>
      <c r="K2" s="76">
        <f>Financials!C63</f>
        <v>175.84</v>
      </c>
      <c r="L2" s="77">
        <f>Financials!C71</f>
        <v>0.38713370467404945</v>
      </c>
      <c r="M2" s="76">
        <f>Financials!C79</f>
        <v>12.57</v>
      </c>
      <c r="N2" s="77">
        <f>Financials!C97</f>
        <v>0.21104768300873072</v>
      </c>
      <c r="O2" s="77">
        <f>Financials!C88</f>
        <v>7.1485441310282075E-2</v>
      </c>
    </row>
    <row r="3" spans="1:15" s="4" customFormat="1" ht="47.25" customHeight="1" x14ac:dyDescent="0.2">
      <c r="A3" s="79" t="s">
        <v>49</v>
      </c>
      <c r="B3" s="73" t="s">
        <v>50</v>
      </c>
      <c r="C3" s="78" t="s">
        <v>313</v>
      </c>
      <c r="D3" s="74" t="s">
        <v>51</v>
      </c>
      <c r="E3" s="74" t="s">
        <v>52</v>
      </c>
      <c r="F3" s="74" t="s">
        <v>53</v>
      </c>
      <c r="G3" s="75" t="s">
        <v>67</v>
      </c>
      <c r="H3" s="74" t="s">
        <v>54</v>
      </c>
      <c r="I3" s="74" t="s">
        <v>55</v>
      </c>
      <c r="J3" s="74" t="s">
        <v>56</v>
      </c>
      <c r="K3" s="76">
        <f>Financials!C64</f>
        <v>170.06</v>
      </c>
      <c r="L3" s="77">
        <f>Financials!C72</f>
        <v>0.37440831333524144</v>
      </c>
      <c r="M3" s="76">
        <f>Financials!C80</f>
        <v>30.48</v>
      </c>
      <c r="N3" s="77">
        <f>Financials!C98</f>
        <v>0.51175285426460715</v>
      </c>
      <c r="O3" s="77">
        <f>Financials!C89</f>
        <v>0.17923085969657768</v>
      </c>
    </row>
    <row r="4" spans="1:15" s="4" customFormat="1" ht="36" customHeight="1" x14ac:dyDescent="0.2">
      <c r="A4" s="79"/>
      <c r="B4" s="73" t="s">
        <v>57</v>
      </c>
      <c r="C4" s="74" t="s">
        <v>58</v>
      </c>
      <c r="D4" s="74" t="s">
        <v>59</v>
      </c>
      <c r="E4" s="74" t="s">
        <v>60</v>
      </c>
      <c r="F4" s="74" t="s">
        <v>61</v>
      </c>
      <c r="G4" s="75" t="s">
        <v>67</v>
      </c>
      <c r="H4" s="74" t="s">
        <v>55</v>
      </c>
      <c r="I4" s="74" t="s">
        <v>55</v>
      </c>
      <c r="J4" s="74" t="s">
        <v>55</v>
      </c>
      <c r="K4" s="74"/>
      <c r="L4" s="74"/>
      <c r="M4" s="74"/>
      <c r="N4" s="74"/>
      <c r="O4" s="74"/>
    </row>
    <row r="5" spans="1:15" s="4" customFormat="1" ht="48" customHeight="1" x14ac:dyDescent="0.2">
      <c r="A5" s="73" t="s">
        <v>80</v>
      </c>
      <c r="B5" s="73" t="s">
        <v>81</v>
      </c>
      <c r="C5" s="78" t="s">
        <v>314</v>
      </c>
      <c r="D5" s="74" t="s">
        <v>82</v>
      </c>
      <c r="E5" s="74" t="s">
        <v>83</v>
      </c>
      <c r="F5" s="74" t="s">
        <v>17</v>
      </c>
      <c r="G5" s="75" t="s">
        <v>67</v>
      </c>
      <c r="H5" s="74" t="s">
        <v>85</v>
      </c>
      <c r="I5" s="74" t="s">
        <v>84</v>
      </c>
      <c r="J5" s="74"/>
      <c r="K5" s="76">
        <f>Financials!C65</f>
        <v>19.52</v>
      </c>
      <c r="L5" s="77">
        <f>Financials!C73</f>
        <v>4.2975716078465911E-2</v>
      </c>
      <c r="M5" s="76">
        <f>Financials!C81</f>
        <v>4.13</v>
      </c>
      <c r="N5" s="77">
        <f>Financials!C99</f>
        <v>6.9341840161182E-2</v>
      </c>
      <c r="O5" s="77">
        <f>Financials!C90</f>
        <v>0.21157786885245902</v>
      </c>
    </row>
    <row r="6" spans="1:15" s="4" customFormat="1" ht="44.25" customHeight="1" x14ac:dyDescent="0.2">
      <c r="A6" s="73" t="s">
        <v>95</v>
      </c>
      <c r="B6" s="73" t="s">
        <v>96</v>
      </c>
      <c r="C6" s="78" t="s">
        <v>97</v>
      </c>
      <c r="D6" s="74" t="s">
        <v>98</v>
      </c>
      <c r="E6" s="74" t="s">
        <v>99</v>
      </c>
      <c r="F6" s="74" t="s">
        <v>17</v>
      </c>
      <c r="G6" s="75" t="s">
        <v>67</v>
      </c>
      <c r="H6" s="74" t="s">
        <v>100</v>
      </c>
      <c r="I6" s="74" t="s">
        <v>101</v>
      </c>
      <c r="J6" s="74" t="s">
        <v>56</v>
      </c>
      <c r="K6" s="76">
        <f>Financials!C66</f>
        <v>13.85</v>
      </c>
      <c r="L6" s="77">
        <f>Financials!C74</f>
        <v>3.0492503467559058E-2</v>
      </c>
      <c r="M6" s="76">
        <f>Financials!C82</f>
        <v>-5.75</v>
      </c>
      <c r="N6" s="77">
        <f>Financials!C100</f>
        <v>-9.6541302887844196E-2</v>
      </c>
      <c r="O6" s="77">
        <f>Financials!C91</f>
        <v>-0.41516245487364623</v>
      </c>
    </row>
    <row r="7" spans="1:15" s="4" customFormat="1" ht="45" customHeight="1" x14ac:dyDescent="0.2">
      <c r="A7" s="73" t="s">
        <v>69</v>
      </c>
      <c r="B7" s="73" t="s">
        <v>70</v>
      </c>
      <c r="C7" s="74" t="s">
        <v>72</v>
      </c>
      <c r="D7" s="74" t="s">
        <v>71</v>
      </c>
      <c r="E7" s="74" t="s">
        <v>73</v>
      </c>
      <c r="F7" s="74" t="s">
        <v>74</v>
      </c>
      <c r="G7" s="75" t="s">
        <v>75</v>
      </c>
      <c r="H7" s="74" t="s">
        <v>77</v>
      </c>
      <c r="I7" s="74" t="s">
        <v>76</v>
      </c>
      <c r="J7" s="74" t="s">
        <v>78</v>
      </c>
      <c r="K7" s="76">
        <f>Financials!C67</f>
        <v>74.94</v>
      </c>
      <c r="L7" s="77">
        <f>Financials!C75</f>
        <v>0.16498976244468419</v>
      </c>
      <c r="M7" s="76">
        <f>Financials!C83</f>
        <v>13.73</v>
      </c>
      <c r="N7" s="77">
        <f>Financials!C101</f>
        <v>0.23052384150436536</v>
      </c>
      <c r="O7" s="77">
        <f>Financials!C92</f>
        <v>0.18321323725647184</v>
      </c>
    </row>
    <row r="8" spans="1:15" s="4" customFormat="1" ht="18" customHeight="1" x14ac:dyDescent="0.2">
      <c r="A8" s="16"/>
      <c r="B8" s="16"/>
      <c r="K8" s="69">
        <f>SUM(K2:K7)</f>
        <v>454.21</v>
      </c>
      <c r="L8" s="70">
        <f>SUM(L2:L7)</f>
        <v>1</v>
      </c>
      <c r="M8" s="69">
        <f>SUM(M2:M7)</f>
        <v>55.16</v>
      </c>
      <c r="N8" s="70">
        <f>SUM(N2:N7)</f>
        <v>0.92612491605104108</v>
      </c>
      <c r="O8" s="70">
        <f>SUM(O2:O7)</f>
        <v>0.23034495224214444</v>
      </c>
    </row>
  </sheetData>
  <mergeCells count="1">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E2D91-1B0E-492E-8621-342143361720}">
  <dimension ref="A1:I103"/>
  <sheetViews>
    <sheetView showGridLines="0" topLeftCell="A13" workbookViewId="0">
      <selection activeCell="B38" sqref="B38"/>
    </sheetView>
  </sheetViews>
  <sheetFormatPr baseColWidth="10" defaultColWidth="9.1640625" defaultRowHeight="13" x14ac:dyDescent="0.15"/>
  <cols>
    <col min="1" max="1" width="22.5" style="1" customWidth="1"/>
    <col min="2" max="5" width="10.83203125" style="1" customWidth="1"/>
    <col min="6" max="16384" width="9.1640625" style="1"/>
  </cols>
  <sheetData>
    <row r="1" spans="1:5" x14ac:dyDescent="0.15">
      <c r="A1" s="10" t="s">
        <v>23</v>
      </c>
      <c r="B1" s="11"/>
      <c r="C1" s="11"/>
      <c r="D1" s="11"/>
      <c r="E1" s="11"/>
    </row>
    <row r="2" spans="1:5" x14ac:dyDescent="0.15">
      <c r="A2" s="8"/>
      <c r="B2" s="9" t="s">
        <v>68</v>
      </c>
      <c r="C2" s="9" t="s">
        <v>24</v>
      </c>
      <c r="D2" s="9" t="s">
        <v>25</v>
      </c>
      <c r="E2" s="9" t="s">
        <v>26</v>
      </c>
    </row>
    <row r="3" spans="1:5" x14ac:dyDescent="0.15">
      <c r="A3" s="1" t="s">
        <v>27</v>
      </c>
      <c r="B3" s="6"/>
      <c r="C3" s="6">
        <v>52785</v>
      </c>
      <c r="D3" s="6">
        <v>197552</v>
      </c>
      <c r="E3" s="6">
        <v>340282</v>
      </c>
    </row>
    <row r="4" spans="1:5" x14ac:dyDescent="0.15">
      <c r="A4" s="1" t="s">
        <v>29</v>
      </c>
      <c r="B4" s="6">
        <v>3.5529999999999999</v>
      </c>
      <c r="C4" s="6">
        <v>18.25</v>
      </c>
      <c r="D4" s="6">
        <v>58.16</v>
      </c>
      <c r="E4" s="6">
        <v>175.84</v>
      </c>
    </row>
    <row r="5" spans="1:5" x14ac:dyDescent="0.15">
      <c r="A5" s="1" t="s">
        <v>30</v>
      </c>
      <c r="B5" s="6">
        <v>0.41199999999999998</v>
      </c>
      <c r="C5" s="6">
        <v>-1.9850000000000001</v>
      </c>
      <c r="D5" s="6">
        <v>-3.26</v>
      </c>
      <c r="E5" s="6">
        <v>12.57</v>
      </c>
    </row>
    <row r="6" spans="1:5" x14ac:dyDescent="0.15">
      <c r="A6" s="1" t="s">
        <v>2</v>
      </c>
      <c r="B6" s="7">
        <f>B5/B4</f>
        <v>0.11595834506051224</v>
      </c>
      <c r="C6" s="7">
        <f>C5/C4</f>
        <v>-0.10876712328767124</v>
      </c>
      <c r="D6" s="7">
        <f>D5/D4</f>
        <v>-5.6052269601100414E-2</v>
      </c>
      <c r="E6" s="7">
        <f>E5/E4</f>
        <v>7.1485441310282075E-2</v>
      </c>
    </row>
    <row r="7" spans="1:5" x14ac:dyDescent="0.15">
      <c r="A7" s="1" t="s">
        <v>31</v>
      </c>
      <c r="B7" s="6"/>
      <c r="C7" s="6">
        <f>C4/C3*10^7</f>
        <v>3457.4216159893908</v>
      </c>
      <c r="D7" s="6">
        <f>D4/D3*10^7</f>
        <v>2944.0349882562564</v>
      </c>
      <c r="E7" s="6">
        <f>E4/E3*10^7</f>
        <v>5167.4787382230033</v>
      </c>
    </row>
    <row r="8" spans="1:5" x14ac:dyDescent="0.15">
      <c r="A8" s="1" t="s">
        <v>32</v>
      </c>
      <c r="B8" s="6"/>
      <c r="C8" s="6">
        <f>C5/C3*10^7</f>
        <v>-376.05380316377762</v>
      </c>
      <c r="D8" s="6">
        <f>D5/D3*10^7</f>
        <v>-165.01984287681216</v>
      </c>
      <c r="E8" s="6">
        <f>E5/E3*10^7</f>
        <v>369.39949806337097</v>
      </c>
    </row>
    <row r="10" spans="1:5" x14ac:dyDescent="0.15">
      <c r="A10" s="2" t="s">
        <v>33</v>
      </c>
      <c r="B10" s="5" t="s">
        <v>109</v>
      </c>
    </row>
    <row r="11" spans="1:5" x14ac:dyDescent="0.15">
      <c r="A11" s="1" t="s">
        <v>34</v>
      </c>
      <c r="B11" s="6">
        <v>61</v>
      </c>
    </row>
    <row r="12" spans="1:5" x14ac:dyDescent="0.15">
      <c r="A12" s="1" t="s">
        <v>35</v>
      </c>
      <c r="B12" s="12">
        <v>-0.28000000000000003</v>
      </c>
    </row>
    <row r="13" spans="1:5" x14ac:dyDescent="0.15">
      <c r="A13" s="1" t="s">
        <v>36</v>
      </c>
      <c r="B13" s="6">
        <f>B11*(1+B12)</f>
        <v>43.92</v>
      </c>
    </row>
    <row r="14" spans="1:5" x14ac:dyDescent="0.15">
      <c r="A14" s="1" t="s">
        <v>37</v>
      </c>
      <c r="B14" s="6">
        <v>30</v>
      </c>
    </row>
    <row r="15" spans="1:5" x14ac:dyDescent="0.15">
      <c r="A15" s="1" t="s">
        <v>38</v>
      </c>
      <c r="B15" s="6">
        <v>14</v>
      </c>
    </row>
    <row r="16" spans="1:5" x14ac:dyDescent="0.15">
      <c r="A16" s="13" t="s">
        <v>39</v>
      </c>
      <c r="B16" s="14">
        <f>B15/B13</f>
        <v>0.31876138433515483</v>
      </c>
    </row>
    <row r="17" spans="1:6" x14ac:dyDescent="0.15">
      <c r="A17" s="1" t="s">
        <v>40</v>
      </c>
      <c r="B17" s="15" t="s">
        <v>41</v>
      </c>
    </row>
    <row r="18" spans="1:6" x14ac:dyDescent="0.15">
      <c r="A18" s="1" t="s">
        <v>2</v>
      </c>
      <c r="B18" s="15" t="s">
        <v>42</v>
      </c>
    </row>
    <row r="19" spans="1:6" x14ac:dyDescent="0.15">
      <c r="B19" s="6"/>
      <c r="C19" s="6"/>
    </row>
    <row r="20" spans="1:6" x14ac:dyDescent="0.15">
      <c r="A20" s="10" t="s">
        <v>50</v>
      </c>
      <c r="B20" s="11"/>
      <c r="C20" s="11"/>
      <c r="D20" s="11"/>
      <c r="E20" s="11"/>
    </row>
    <row r="21" spans="1:6" x14ac:dyDescent="0.15">
      <c r="A21" s="8"/>
      <c r="B21" s="9" t="s">
        <v>68</v>
      </c>
      <c r="C21" s="9" t="s">
        <v>24</v>
      </c>
      <c r="D21" s="9" t="s">
        <v>25</v>
      </c>
      <c r="E21" s="9" t="s">
        <v>26</v>
      </c>
    </row>
    <row r="22" spans="1:6" x14ac:dyDescent="0.15">
      <c r="A22" s="1" t="s">
        <v>29</v>
      </c>
      <c r="B22" s="6">
        <v>17.042999999999999</v>
      </c>
      <c r="C22" s="6">
        <v>49.517000000000003</v>
      </c>
      <c r="D22" s="6">
        <v>77.5</v>
      </c>
      <c r="E22" s="6">
        <v>135.69999999999999</v>
      </c>
      <c r="F22" s="18">
        <f>(E22/B22)^(1/3)-1</f>
        <v>0.99684613128458777</v>
      </c>
    </row>
    <row r="23" spans="1:6" x14ac:dyDescent="0.15">
      <c r="A23" s="1" t="s">
        <v>30</v>
      </c>
      <c r="B23" s="6">
        <v>1.6379999999999999</v>
      </c>
      <c r="C23" s="6">
        <v>3.6179999999999999</v>
      </c>
      <c r="D23" s="6">
        <v>7.17</v>
      </c>
      <c r="E23" s="6">
        <v>13.73</v>
      </c>
    </row>
    <row r="24" spans="1:6" x14ac:dyDescent="0.15">
      <c r="A24" s="17" t="s">
        <v>2</v>
      </c>
      <c r="B24" s="18">
        <f>B23/B22</f>
        <v>9.6109839816933634E-2</v>
      </c>
      <c r="C24" s="18">
        <f>C23/C22</f>
        <v>7.3065815780439039E-2</v>
      </c>
      <c r="D24" s="18">
        <f>D23/D22</f>
        <v>9.251612903225806E-2</v>
      </c>
      <c r="E24" s="18">
        <f>E23/E22</f>
        <v>0.10117907148120855</v>
      </c>
    </row>
    <row r="26" spans="1:6" x14ac:dyDescent="0.15">
      <c r="A26" s="10" t="s">
        <v>57</v>
      </c>
      <c r="B26" s="11"/>
      <c r="C26" s="11"/>
      <c r="D26" s="11"/>
      <c r="E26" s="11"/>
    </row>
    <row r="27" spans="1:6" x14ac:dyDescent="0.15">
      <c r="A27" s="8"/>
      <c r="B27" s="9" t="s">
        <v>68</v>
      </c>
      <c r="C27" s="9" t="s">
        <v>24</v>
      </c>
      <c r="D27" s="9" t="s">
        <v>25</v>
      </c>
      <c r="E27" s="9" t="s">
        <v>26</v>
      </c>
    </row>
    <row r="28" spans="1:6" x14ac:dyDescent="0.15">
      <c r="A28" s="1" t="s">
        <v>62</v>
      </c>
      <c r="D28" s="6"/>
      <c r="E28" s="6">
        <v>42.36</v>
      </c>
    </row>
    <row r="29" spans="1:6" x14ac:dyDescent="0.15">
      <c r="A29" s="1" t="s">
        <v>63</v>
      </c>
      <c r="C29" s="1">
        <v>34</v>
      </c>
      <c r="D29" s="6">
        <v>47</v>
      </c>
      <c r="E29" s="6">
        <v>59</v>
      </c>
    </row>
    <row r="30" spans="1:6" x14ac:dyDescent="0.15">
      <c r="A30" s="1" t="s">
        <v>65</v>
      </c>
      <c r="C30" s="1">
        <v>143</v>
      </c>
      <c r="D30" s="1">
        <v>228</v>
      </c>
      <c r="E30" s="1">
        <v>199</v>
      </c>
    </row>
    <row r="31" spans="1:6" x14ac:dyDescent="0.15">
      <c r="A31" s="1" t="s">
        <v>29</v>
      </c>
      <c r="B31" s="19">
        <v>13.247999999999999</v>
      </c>
      <c r="C31" s="19">
        <v>15.448</v>
      </c>
      <c r="D31" s="19">
        <v>14.22</v>
      </c>
      <c r="E31" s="19">
        <v>34.32</v>
      </c>
    </row>
    <row r="32" spans="1:6" x14ac:dyDescent="0.15">
      <c r="A32" s="1" t="s">
        <v>5</v>
      </c>
      <c r="B32" s="19">
        <v>1.8440000000000001</v>
      </c>
      <c r="C32" s="19">
        <v>0.83</v>
      </c>
      <c r="D32" s="19">
        <v>1.35</v>
      </c>
      <c r="E32" s="19">
        <v>16.75</v>
      </c>
    </row>
    <row r="33" spans="1:5" x14ac:dyDescent="0.15">
      <c r="A33" s="1" t="s">
        <v>2</v>
      </c>
      <c r="B33" s="7">
        <f>B32/B31</f>
        <v>0.13919082125603865</v>
      </c>
      <c r="C33" s="7">
        <f>C32/C31</f>
        <v>5.3728638011393055E-2</v>
      </c>
      <c r="D33" s="7">
        <f>D32/D31</f>
        <v>9.49367088607595E-2</v>
      </c>
      <c r="E33" s="7">
        <f>E32/E31</f>
        <v>0.48805361305361306</v>
      </c>
    </row>
    <row r="34" spans="1:5" x14ac:dyDescent="0.15">
      <c r="A34" s="1" t="s">
        <v>64</v>
      </c>
      <c r="D34" s="20">
        <f>D31/(D29*12)*10</f>
        <v>0.25212765957446809</v>
      </c>
      <c r="E34" s="20">
        <f>E31/(E29*12)*10</f>
        <v>0.48474576271186443</v>
      </c>
    </row>
    <row r="35" spans="1:5" x14ac:dyDescent="0.15">
      <c r="D35" s="20"/>
      <c r="E35" s="20"/>
    </row>
    <row r="36" spans="1:5" x14ac:dyDescent="0.15">
      <c r="A36" s="10" t="s">
        <v>79</v>
      </c>
      <c r="B36" s="11"/>
      <c r="C36" s="11"/>
      <c r="D36" s="11"/>
      <c r="E36" s="11"/>
    </row>
    <row r="37" spans="1:5" x14ac:dyDescent="0.15">
      <c r="A37" s="8"/>
      <c r="B37" s="9" t="s">
        <v>68</v>
      </c>
      <c r="C37" s="9" t="s">
        <v>24</v>
      </c>
      <c r="D37" s="9" t="s">
        <v>25</v>
      </c>
      <c r="E37" s="9" t="s">
        <v>26</v>
      </c>
    </row>
    <row r="38" spans="1:5" x14ac:dyDescent="0.15">
      <c r="A38" s="1" t="s">
        <v>29</v>
      </c>
      <c r="B38" s="6">
        <v>153.17099999999999</v>
      </c>
      <c r="C38" s="6">
        <v>96.102000000000004</v>
      </c>
      <c r="D38" s="6">
        <v>81.796000000000006</v>
      </c>
      <c r="E38" s="6">
        <v>74.94</v>
      </c>
    </row>
    <row r="39" spans="1:5" x14ac:dyDescent="0.15">
      <c r="A39" s="1" t="s">
        <v>30</v>
      </c>
      <c r="B39" s="6"/>
      <c r="C39" s="6"/>
      <c r="D39" s="6">
        <v>20.58</v>
      </c>
      <c r="E39" s="6">
        <v>13.73</v>
      </c>
    </row>
    <row r="40" spans="1:5" x14ac:dyDescent="0.15">
      <c r="A40" s="1" t="s">
        <v>2</v>
      </c>
      <c r="B40" s="7"/>
      <c r="C40" s="7"/>
      <c r="D40" s="7">
        <f>D39/D38</f>
        <v>0.25160154530783896</v>
      </c>
      <c r="E40" s="7">
        <f>E39/E38</f>
        <v>0.18321323725647184</v>
      </c>
    </row>
    <row r="42" spans="1:5" x14ac:dyDescent="0.15">
      <c r="A42" s="10" t="s">
        <v>80</v>
      </c>
      <c r="B42" s="11"/>
      <c r="C42" s="11"/>
      <c r="D42" s="11"/>
      <c r="E42" s="11"/>
    </row>
    <row r="43" spans="1:5" x14ac:dyDescent="0.15">
      <c r="A43" s="8"/>
      <c r="B43" s="9" t="s">
        <v>68</v>
      </c>
      <c r="C43" s="9" t="s">
        <v>24</v>
      </c>
      <c r="D43" s="9" t="s">
        <v>25</v>
      </c>
      <c r="E43" s="9" t="s">
        <v>26</v>
      </c>
    </row>
    <row r="44" spans="1:5" x14ac:dyDescent="0.15">
      <c r="A44" s="1" t="s">
        <v>86</v>
      </c>
      <c r="B44" s="6"/>
      <c r="C44" s="6"/>
      <c r="D44" s="6"/>
      <c r="E44" s="6">
        <v>12.73</v>
      </c>
    </row>
    <row r="45" spans="1:5" x14ac:dyDescent="0.15">
      <c r="A45" s="1" t="s">
        <v>29</v>
      </c>
      <c r="B45" s="6">
        <v>15.228999999999999</v>
      </c>
      <c r="C45" s="6">
        <v>24.562999999999999</v>
      </c>
      <c r="D45" s="6">
        <v>19.779</v>
      </c>
      <c r="E45" s="6">
        <v>19.52</v>
      </c>
    </row>
    <row r="46" spans="1:5" x14ac:dyDescent="0.15">
      <c r="A46" s="1" t="s">
        <v>30</v>
      </c>
      <c r="B46" s="6">
        <v>5.3710000000000004</v>
      </c>
      <c r="C46" s="6">
        <v>6.1550000000000002</v>
      </c>
      <c r="D46" s="6">
        <v>6.61</v>
      </c>
      <c r="E46" s="6">
        <v>4.13</v>
      </c>
    </row>
    <row r="47" spans="1:5" x14ac:dyDescent="0.15">
      <c r="A47" s="1" t="s">
        <v>2</v>
      </c>
      <c r="B47" s="7">
        <f>B46/B45</f>
        <v>0.35268238229693355</v>
      </c>
      <c r="C47" s="7">
        <f>C46/C45</f>
        <v>0.25058014086227254</v>
      </c>
      <c r="D47" s="7">
        <f>D46/D45</f>
        <v>0.33419283078012035</v>
      </c>
      <c r="E47" s="7">
        <f>E46/E45</f>
        <v>0.21157786885245902</v>
      </c>
    </row>
    <row r="48" spans="1:5" x14ac:dyDescent="0.15">
      <c r="A48" s="1" t="s">
        <v>31</v>
      </c>
      <c r="E48" s="6">
        <f>E45/E44*10</f>
        <v>15.333857030636292</v>
      </c>
    </row>
    <row r="50" spans="1:9" x14ac:dyDescent="0.15">
      <c r="A50" s="10" t="s">
        <v>87</v>
      </c>
      <c r="B50" s="11"/>
      <c r="C50" s="11"/>
      <c r="D50" s="11"/>
      <c r="E50" s="11"/>
    </row>
    <row r="51" spans="1:9" x14ac:dyDescent="0.15">
      <c r="A51" s="8"/>
      <c r="B51" s="9" t="s">
        <v>68</v>
      </c>
      <c r="C51" s="9" t="s">
        <v>24</v>
      </c>
      <c r="D51" s="9" t="s">
        <v>25</v>
      </c>
      <c r="E51" s="9" t="s">
        <v>26</v>
      </c>
    </row>
    <row r="52" spans="1:9" x14ac:dyDescent="0.15">
      <c r="A52" s="57" t="s">
        <v>230</v>
      </c>
      <c r="B52" s="6">
        <v>2.5459999999999998</v>
      </c>
      <c r="C52" s="6">
        <v>22.349</v>
      </c>
      <c r="D52" s="6">
        <v>39.676000000000002</v>
      </c>
      <c r="E52" s="6"/>
    </row>
    <row r="53" spans="1:9" x14ac:dyDescent="0.15">
      <c r="A53" s="57" t="s">
        <v>5</v>
      </c>
      <c r="B53" s="6">
        <v>-30.812000000000001</v>
      </c>
      <c r="C53" s="6">
        <v>-27.640999999999998</v>
      </c>
      <c r="D53" s="6">
        <v>-30.763000000000002</v>
      </c>
      <c r="E53" s="6"/>
    </row>
    <row r="54" spans="1:9" x14ac:dyDescent="0.15">
      <c r="B54" s="6"/>
      <c r="C54" s="6"/>
      <c r="D54" s="6"/>
      <c r="E54" s="6"/>
    </row>
    <row r="59" spans="1:9" x14ac:dyDescent="0.15">
      <c r="G59" s="59"/>
      <c r="I59" s="12"/>
    </row>
    <row r="60" spans="1:9" x14ac:dyDescent="0.15">
      <c r="A60" s="10" t="s">
        <v>102</v>
      </c>
      <c r="B60" s="11"/>
      <c r="C60" s="11"/>
      <c r="G60" s="59"/>
      <c r="I60" s="12"/>
    </row>
    <row r="61" spans="1:9" x14ac:dyDescent="0.15">
      <c r="A61" s="21" t="s">
        <v>104</v>
      </c>
      <c r="B61" s="9" t="s">
        <v>25</v>
      </c>
      <c r="C61" s="9" t="s">
        <v>26</v>
      </c>
      <c r="G61" s="59"/>
    </row>
    <row r="62" spans="1:9" x14ac:dyDescent="0.15">
      <c r="A62" s="2" t="s">
        <v>28</v>
      </c>
    </row>
    <row r="63" spans="1:9" x14ac:dyDescent="0.15">
      <c r="A63" s="1" t="s">
        <v>8</v>
      </c>
      <c r="B63" s="6">
        <v>19.13</v>
      </c>
      <c r="C63" s="6">
        <v>175.84</v>
      </c>
    </row>
    <row r="64" spans="1:9" x14ac:dyDescent="0.15">
      <c r="A64" s="1" t="s">
        <v>49</v>
      </c>
      <c r="B64" s="6">
        <v>84.16</v>
      </c>
      <c r="C64" s="6">
        <v>170.06</v>
      </c>
    </row>
    <row r="65" spans="1:5" x14ac:dyDescent="0.15">
      <c r="A65" s="1" t="s">
        <v>80</v>
      </c>
      <c r="B65" s="6">
        <v>19.78</v>
      </c>
      <c r="C65" s="6">
        <v>19.52</v>
      </c>
    </row>
    <row r="66" spans="1:5" x14ac:dyDescent="0.15">
      <c r="A66" s="1" t="s">
        <v>103</v>
      </c>
      <c r="B66" s="6">
        <v>42.64</v>
      </c>
      <c r="C66" s="6">
        <v>13.85</v>
      </c>
    </row>
    <row r="67" spans="1:5" x14ac:dyDescent="0.15">
      <c r="A67" s="1" t="s">
        <v>69</v>
      </c>
      <c r="B67" s="6">
        <v>81.8</v>
      </c>
      <c r="C67" s="6">
        <v>74.94</v>
      </c>
    </row>
    <row r="68" spans="1:5" x14ac:dyDescent="0.15">
      <c r="A68" s="2" t="s">
        <v>105</v>
      </c>
      <c r="B68" s="22">
        <f>SUM(B63:B67)</f>
        <v>247.51</v>
      </c>
      <c r="C68" s="22">
        <f>SUM(C63:C67)</f>
        <v>454.21</v>
      </c>
    </row>
    <row r="70" spans="1:5" x14ac:dyDescent="0.15">
      <c r="A70" s="2" t="s">
        <v>106</v>
      </c>
    </row>
    <row r="71" spans="1:5" x14ac:dyDescent="0.15">
      <c r="A71" s="1" t="s">
        <v>8</v>
      </c>
      <c r="B71" s="7">
        <f t="shared" ref="B71:B76" si="0">B63/$B$68</f>
        <v>7.7289806472465764E-2</v>
      </c>
      <c r="C71" s="7">
        <f t="shared" ref="C71:C76" si="1">C63/$C$68</f>
        <v>0.38713370467404945</v>
      </c>
    </row>
    <row r="72" spans="1:5" x14ac:dyDescent="0.15">
      <c r="A72" s="1" t="s">
        <v>49</v>
      </c>
      <c r="B72" s="7">
        <f t="shared" si="0"/>
        <v>0.34002666558926914</v>
      </c>
      <c r="C72" s="7">
        <f t="shared" si="1"/>
        <v>0.37440831333524144</v>
      </c>
    </row>
    <row r="73" spans="1:5" x14ac:dyDescent="0.15">
      <c r="A73" s="1" t="s">
        <v>80</v>
      </c>
      <c r="B73" s="7">
        <f t="shared" si="0"/>
        <v>7.9915962991394293E-2</v>
      </c>
      <c r="C73" s="7">
        <f t="shared" si="1"/>
        <v>4.2975716078465911E-2</v>
      </c>
    </row>
    <row r="74" spans="1:5" x14ac:dyDescent="0.15">
      <c r="A74" s="1" t="s">
        <v>103</v>
      </c>
      <c r="B74" s="7">
        <f t="shared" si="0"/>
        <v>0.17227586764171146</v>
      </c>
      <c r="C74" s="7">
        <f t="shared" si="1"/>
        <v>3.0492503467559058E-2</v>
      </c>
    </row>
    <row r="75" spans="1:5" x14ac:dyDescent="0.15">
      <c r="A75" s="1" t="s">
        <v>69</v>
      </c>
      <c r="B75" s="7">
        <f t="shared" si="0"/>
        <v>0.33049169730515937</v>
      </c>
      <c r="C75" s="7">
        <f t="shared" si="1"/>
        <v>0.16498976244468419</v>
      </c>
    </row>
    <row r="76" spans="1:5" x14ac:dyDescent="0.15">
      <c r="A76" s="2" t="s">
        <v>105</v>
      </c>
      <c r="B76" s="23">
        <f t="shared" si="0"/>
        <v>1</v>
      </c>
      <c r="C76" s="23">
        <f t="shared" si="1"/>
        <v>1</v>
      </c>
    </row>
    <row r="78" spans="1:5" x14ac:dyDescent="0.15">
      <c r="A78" s="2" t="s">
        <v>5</v>
      </c>
    </row>
    <row r="79" spans="1:5" x14ac:dyDescent="0.15">
      <c r="A79" s="1" t="s">
        <v>8</v>
      </c>
      <c r="B79" s="6">
        <v>-3.46</v>
      </c>
      <c r="C79" s="6">
        <v>12.57</v>
      </c>
      <c r="D79" s="6"/>
      <c r="E79" s="6"/>
    </row>
    <row r="80" spans="1:5" x14ac:dyDescent="0.15">
      <c r="A80" s="1" t="s">
        <v>49</v>
      </c>
      <c r="B80" s="6">
        <v>7.48</v>
      </c>
      <c r="C80" s="6">
        <v>30.48</v>
      </c>
    </row>
    <row r="81" spans="1:3" x14ac:dyDescent="0.15">
      <c r="A81" s="1" t="s">
        <v>80</v>
      </c>
      <c r="B81" s="6">
        <v>6.61</v>
      </c>
      <c r="C81" s="6">
        <v>4.13</v>
      </c>
    </row>
    <row r="82" spans="1:3" x14ac:dyDescent="0.15">
      <c r="A82" s="1" t="s">
        <v>103</v>
      </c>
      <c r="B82" s="6">
        <v>-34.72</v>
      </c>
      <c r="C82" s="6">
        <v>-5.75</v>
      </c>
    </row>
    <row r="83" spans="1:3" x14ac:dyDescent="0.15">
      <c r="A83" s="1" t="s">
        <v>69</v>
      </c>
      <c r="B83" s="6">
        <v>20.58</v>
      </c>
      <c r="C83" s="6">
        <v>13.73</v>
      </c>
    </row>
    <row r="84" spans="1:3" x14ac:dyDescent="0.15">
      <c r="A84" s="1" t="s">
        <v>107</v>
      </c>
      <c r="B84" s="6">
        <v>13.31</v>
      </c>
      <c r="C84" s="6">
        <v>4.4000000000000004</v>
      </c>
    </row>
    <row r="85" spans="1:3" x14ac:dyDescent="0.15">
      <c r="A85" s="2" t="s">
        <v>105</v>
      </c>
      <c r="B85" s="24">
        <f>SUM(B79:B84)</f>
        <v>9.8000000000000025</v>
      </c>
      <c r="C85" s="24">
        <f>SUM(C79:C84)</f>
        <v>59.559999999999995</v>
      </c>
    </row>
    <row r="87" spans="1:3" x14ac:dyDescent="0.15">
      <c r="A87" s="2" t="s">
        <v>2</v>
      </c>
    </row>
    <row r="88" spans="1:3" x14ac:dyDescent="0.15">
      <c r="A88" s="1" t="s">
        <v>8</v>
      </c>
      <c r="B88" s="7">
        <f t="shared" ref="B88:C93" si="2">B79/B63</f>
        <v>-0.18086774699424987</v>
      </c>
      <c r="C88" s="7">
        <f t="shared" si="2"/>
        <v>7.1485441310282075E-2</v>
      </c>
    </row>
    <row r="89" spans="1:3" x14ac:dyDescent="0.15">
      <c r="A89" s="1" t="s">
        <v>49</v>
      </c>
      <c r="B89" s="7">
        <f t="shared" si="2"/>
        <v>8.8878326996197729E-2</v>
      </c>
      <c r="C89" s="7">
        <f t="shared" si="2"/>
        <v>0.17923085969657768</v>
      </c>
    </row>
    <row r="90" spans="1:3" x14ac:dyDescent="0.15">
      <c r="A90" s="1" t="s">
        <v>80</v>
      </c>
      <c r="B90" s="7">
        <f t="shared" si="2"/>
        <v>0.33417593528816986</v>
      </c>
      <c r="C90" s="7">
        <f t="shared" si="2"/>
        <v>0.21157786885245902</v>
      </c>
    </row>
    <row r="91" spans="1:3" x14ac:dyDescent="0.15">
      <c r="A91" s="1" t="s">
        <v>103</v>
      </c>
      <c r="B91" s="7">
        <f t="shared" si="2"/>
        <v>-0.81425891181988741</v>
      </c>
      <c r="C91" s="7">
        <f t="shared" si="2"/>
        <v>-0.41516245487364623</v>
      </c>
    </row>
    <row r="92" spans="1:3" x14ac:dyDescent="0.15">
      <c r="A92" s="1" t="s">
        <v>69</v>
      </c>
      <c r="B92" s="7">
        <f t="shared" si="2"/>
        <v>0.25158924205378974</v>
      </c>
      <c r="C92" s="7">
        <f t="shared" si="2"/>
        <v>0.18321323725647184</v>
      </c>
    </row>
    <row r="93" spans="1:3" x14ac:dyDescent="0.15">
      <c r="A93" s="1" t="s">
        <v>107</v>
      </c>
      <c r="B93" s="7">
        <f t="shared" si="2"/>
        <v>5.3775605026059554E-2</v>
      </c>
      <c r="C93" s="7">
        <f t="shared" si="2"/>
        <v>9.6871491160476445E-3</v>
      </c>
    </row>
    <row r="94" spans="1:3" x14ac:dyDescent="0.15">
      <c r="A94" s="2" t="s">
        <v>105</v>
      </c>
    </row>
    <row r="96" spans="1:3" x14ac:dyDescent="0.15">
      <c r="A96" s="2" t="s">
        <v>108</v>
      </c>
    </row>
    <row r="97" spans="1:3" x14ac:dyDescent="0.15">
      <c r="A97" s="1" t="s">
        <v>8</v>
      </c>
      <c r="B97" s="7">
        <f>B79/$B$85</f>
        <v>-0.35306122448979582</v>
      </c>
      <c r="C97" s="7">
        <f>C79/$C$85</f>
        <v>0.21104768300873072</v>
      </c>
    </row>
    <row r="98" spans="1:3" x14ac:dyDescent="0.15">
      <c r="A98" s="1" t="s">
        <v>49</v>
      </c>
      <c r="B98" s="7">
        <f t="shared" ref="B98:B102" si="3">B80/$B$85</f>
        <v>0.76326530612244881</v>
      </c>
      <c r="C98" s="7">
        <f t="shared" ref="C98:C102" si="4">C80/$C$85</f>
        <v>0.51175285426460715</v>
      </c>
    </row>
    <row r="99" spans="1:3" x14ac:dyDescent="0.15">
      <c r="A99" s="1" t="s">
        <v>80</v>
      </c>
      <c r="B99" s="7">
        <f t="shared" si="3"/>
        <v>0.67448979591836722</v>
      </c>
      <c r="C99" s="7">
        <f t="shared" si="4"/>
        <v>6.9341840161182E-2</v>
      </c>
    </row>
    <row r="100" spans="1:3" x14ac:dyDescent="0.15">
      <c r="A100" s="1" t="s">
        <v>103</v>
      </c>
      <c r="B100" s="7">
        <f t="shared" si="3"/>
        <v>-3.5428571428571418</v>
      </c>
      <c r="C100" s="7">
        <f t="shared" si="4"/>
        <v>-9.6541302887844196E-2</v>
      </c>
    </row>
    <row r="101" spans="1:3" x14ac:dyDescent="0.15">
      <c r="A101" s="1" t="s">
        <v>69</v>
      </c>
      <c r="B101" s="7">
        <f t="shared" si="3"/>
        <v>2.0999999999999992</v>
      </c>
      <c r="C101" s="7">
        <f t="shared" si="4"/>
        <v>0.23052384150436536</v>
      </c>
    </row>
    <row r="102" spans="1:3" x14ac:dyDescent="0.15">
      <c r="A102" s="1" t="s">
        <v>107</v>
      </c>
      <c r="B102" s="7">
        <f t="shared" si="3"/>
        <v>1.3581632653061222</v>
      </c>
      <c r="C102" s="7">
        <f t="shared" si="4"/>
        <v>7.3875083948959044E-2</v>
      </c>
    </row>
    <row r="103" spans="1:3" x14ac:dyDescent="0.15">
      <c r="A103" s="2" t="s">
        <v>105</v>
      </c>
      <c r="B103" s="25">
        <f>SUM(B97:B102)</f>
        <v>0.99999999999999956</v>
      </c>
      <c r="C103" s="25">
        <f>SUM(C97:C102)</f>
        <v>1.0000000000000002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236C-989B-49C7-AF22-D8AB2EB134FA}">
  <dimension ref="A1:J36"/>
  <sheetViews>
    <sheetView showGridLines="0" topLeftCell="A3" workbookViewId="0">
      <selection activeCell="A17" sqref="A17"/>
    </sheetView>
  </sheetViews>
  <sheetFormatPr baseColWidth="10" defaultColWidth="9.1640625" defaultRowHeight="13" x14ac:dyDescent="0.15"/>
  <cols>
    <col min="1" max="1" width="25.1640625" style="1" customWidth="1"/>
    <col min="2" max="4" width="9.1640625" style="1"/>
    <col min="5" max="5" width="11.83203125" style="1" customWidth="1"/>
    <col min="6" max="6" width="12.5" style="1" customWidth="1"/>
    <col min="7" max="16384" width="9.1640625" style="1"/>
  </cols>
  <sheetData>
    <row r="1" spans="1:9" x14ac:dyDescent="0.15">
      <c r="A1" s="2" t="s">
        <v>46</v>
      </c>
    </row>
    <row r="2" spans="1:9" x14ac:dyDescent="0.15">
      <c r="B2" s="5">
        <v>2016</v>
      </c>
      <c r="C2" s="5">
        <v>2020</v>
      </c>
      <c r="D2" s="5" t="s">
        <v>43</v>
      </c>
      <c r="E2" s="5" t="s">
        <v>44</v>
      </c>
      <c r="F2" s="5" t="s">
        <v>45</v>
      </c>
    </row>
    <row r="3" spans="1:9" x14ac:dyDescent="0.15">
      <c r="A3" s="1" t="s">
        <v>47</v>
      </c>
      <c r="B3" s="6">
        <v>2.4</v>
      </c>
      <c r="C3" s="6">
        <v>9.8000000000000007</v>
      </c>
      <c r="D3" s="6">
        <v>27.8</v>
      </c>
      <c r="E3" s="7">
        <f>(C3/B3)^(1/4)-1</f>
        <v>0.42152240297636201</v>
      </c>
      <c r="F3" s="7">
        <f>(D3/C3)^(1/3)-1</f>
        <v>0.41559680383953879</v>
      </c>
    </row>
    <row r="4" spans="1:9" x14ac:dyDescent="0.15">
      <c r="A4" s="1" t="s">
        <v>48</v>
      </c>
      <c r="B4" s="6">
        <v>1</v>
      </c>
      <c r="C4" s="6">
        <v>4</v>
      </c>
      <c r="D4" s="6">
        <v>12.6</v>
      </c>
      <c r="E4" s="7">
        <f>(C4/B4)^(1/4)-1</f>
        <v>0.41421356237309492</v>
      </c>
      <c r="F4" s="7">
        <f>(D4/C4)^(1/3)-1</f>
        <v>0.4658972088782376</v>
      </c>
    </row>
    <row r="5" spans="1:9" x14ac:dyDescent="0.15">
      <c r="B5" s="6"/>
      <c r="C5" s="6"/>
      <c r="D5" s="6"/>
      <c r="E5" s="7"/>
      <c r="F5" s="7"/>
    </row>
    <row r="6" spans="1:9" x14ac:dyDescent="0.15">
      <c r="B6" s="6"/>
      <c r="C6" s="6"/>
      <c r="D6" s="6"/>
      <c r="E6" s="7"/>
      <c r="F6" s="7"/>
    </row>
    <row r="7" spans="1:9" x14ac:dyDescent="0.15">
      <c r="A7" s="2" t="s">
        <v>88</v>
      </c>
      <c r="B7" s="6"/>
      <c r="C7" s="6"/>
      <c r="D7" s="6"/>
      <c r="E7" s="7"/>
      <c r="F7" s="7"/>
    </row>
    <row r="8" spans="1:9" x14ac:dyDescent="0.15">
      <c r="B8" s="5">
        <v>2018</v>
      </c>
      <c r="C8" s="5">
        <v>2020</v>
      </c>
      <c r="D8" s="5" t="s">
        <v>89</v>
      </c>
      <c r="E8" s="5" t="s">
        <v>93</v>
      </c>
      <c r="F8" s="5" t="s">
        <v>94</v>
      </c>
    </row>
    <row r="9" spans="1:9" x14ac:dyDescent="0.15">
      <c r="A9" s="1" t="s">
        <v>90</v>
      </c>
      <c r="B9" s="6">
        <v>5</v>
      </c>
      <c r="C9" s="6">
        <v>10</v>
      </c>
      <c r="D9" s="6">
        <v>30</v>
      </c>
      <c r="E9" s="7">
        <f>(C9/B9)^(1/4)-1</f>
        <v>0.18920711500272103</v>
      </c>
      <c r="F9" s="7">
        <f>(D9/C9)^(1/3)-1</f>
        <v>0.4422495703074083</v>
      </c>
    </row>
    <row r="10" spans="1:9" x14ac:dyDescent="0.15">
      <c r="A10" s="1" t="s">
        <v>91</v>
      </c>
      <c r="B10" s="6">
        <v>15</v>
      </c>
      <c r="C10" s="6">
        <v>35</v>
      </c>
      <c r="D10" s="6">
        <v>100</v>
      </c>
      <c r="E10" s="7">
        <f>(C10/B10)^(1/4)-1</f>
        <v>0.23593091702244706</v>
      </c>
      <c r="F10" s="7">
        <f>(D10/C10)^(1/3)-1</f>
        <v>0.41898341197038369</v>
      </c>
    </row>
    <row r="11" spans="1:9" x14ac:dyDescent="0.15">
      <c r="A11" s="1" t="s">
        <v>92</v>
      </c>
      <c r="B11" s="6">
        <v>100</v>
      </c>
      <c r="C11" s="6">
        <v>250</v>
      </c>
      <c r="D11" s="6">
        <v>500</v>
      </c>
      <c r="E11" s="7">
        <f>(C11/B11)^(1/4)-1</f>
        <v>0.25743342968293548</v>
      </c>
      <c r="F11" s="7">
        <f>(D11/C11)^(1/3)-1</f>
        <v>0.25992104989487319</v>
      </c>
    </row>
    <row r="12" spans="1:9" x14ac:dyDescent="0.15">
      <c r="B12" s="6"/>
      <c r="C12" s="6"/>
      <c r="D12" s="6"/>
      <c r="E12" s="7"/>
      <c r="F12" s="7"/>
    </row>
    <row r="13" spans="1:9" x14ac:dyDescent="0.15">
      <c r="B13" s="6"/>
      <c r="C13" s="6"/>
      <c r="D13" s="6"/>
      <c r="E13" s="7"/>
      <c r="F13" s="7"/>
    </row>
    <row r="14" spans="1:9" x14ac:dyDescent="0.15">
      <c r="B14" s="5">
        <v>2016</v>
      </c>
      <c r="C14" s="5">
        <v>2017</v>
      </c>
      <c r="D14" s="5">
        <v>2018</v>
      </c>
      <c r="E14" s="5">
        <v>2019</v>
      </c>
      <c r="F14" s="5">
        <v>2020</v>
      </c>
      <c r="I14" s="5"/>
    </row>
    <row r="15" spans="1:9" x14ac:dyDescent="0.15">
      <c r="A15" s="57" t="s">
        <v>221</v>
      </c>
      <c r="B15" s="6">
        <v>521</v>
      </c>
      <c r="C15" s="6">
        <v>656</v>
      </c>
      <c r="D15" s="6">
        <v>780</v>
      </c>
      <c r="E15" s="6">
        <v>962</v>
      </c>
      <c r="F15" s="6">
        <v>1021</v>
      </c>
      <c r="H15" s="7">
        <f>(F15/B15)^(1/5)-1</f>
        <v>0.14403050210603041</v>
      </c>
    </row>
    <row r="16" spans="1:9" x14ac:dyDescent="0.15">
      <c r="B16" s="6"/>
      <c r="C16" s="6"/>
      <c r="D16" s="6"/>
      <c r="E16" s="7"/>
      <c r="F16" s="7"/>
    </row>
    <row r="17" spans="1:10" x14ac:dyDescent="0.15">
      <c r="A17" s="57" t="s">
        <v>214</v>
      </c>
      <c r="B17" s="6">
        <v>623</v>
      </c>
      <c r="C17" s="7">
        <f>B17/$F$15</f>
        <v>0.61018609206660135</v>
      </c>
      <c r="D17" s="6"/>
      <c r="E17" s="7"/>
      <c r="F17" s="7"/>
    </row>
    <row r="18" spans="1:10" x14ac:dyDescent="0.15">
      <c r="A18" s="57" t="s">
        <v>215</v>
      </c>
      <c r="B18" s="6">
        <v>174</v>
      </c>
      <c r="C18" s="7">
        <f t="shared" ref="C18:C22" si="0">B18/$F$15</f>
        <v>0.17042115572967678</v>
      </c>
      <c r="E18" s="7"/>
      <c r="F18" s="7"/>
    </row>
    <row r="19" spans="1:10" x14ac:dyDescent="0.15">
      <c r="A19" s="57" t="s">
        <v>216</v>
      </c>
      <c r="B19" s="6">
        <v>112</v>
      </c>
      <c r="C19" s="7">
        <f t="shared" si="0"/>
        <v>0.10969637610186092</v>
      </c>
    </row>
    <row r="20" spans="1:10" x14ac:dyDescent="0.15">
      <c r="A20" s="57" t="s">
        <v>217</v>
      </c>
      <c r="B20" s="6">
        <v>61</v>
      </c>
      <c r="C20" s="7">
        <f t="shared" si="0"/>
        <v>5.9745347698334964E-2</v>
      </c>
    </row>
    <row r="21" spans="1:10" x14ac:dyDescent="0.15">
      <c r="A21" s="57" t="s">
        <v>218</v>
      </c>
      <c r="B21" s="6">
        <v>31</v>
      </c>
      <c r="C21" s="7">
        <f t="shared" si="0"/>
        <v>3.0362389813907934E-2</v>
      </c>
    </row>
    <row r="22" spans="1:10" x14ac:dyDescent="0.15">
      <c r="A22" s="57" t="s">
        <v>219</v>
      </c>
      <c r="B22" s="6">
        <v>20</v>
      </c>
      <c r="C22" s="7">
        <f t="shared" si="0"/>
        <v>1.9588638589618023E-2</v>
      </c>
    </row>
    <row r="25" spans="1:10" x14ac:dyDescent="0.15">
      <c r="A25" s="2" t="s">
        <v>220</v>
      </c>
    </row>
    <row r="26" spans="1:10" x14ac:dyDescent="0.15">
      <c r="A26" s="57" t="s">
        <v>222</v>
      </c>
      <c r="B26" s="12">
        <v>0.1</v>
      </c>
    </row>
    <row r="27" spans="1:10" x14ac:dyDescent="0.15">
      <c r="A27" s="57" t="s">
        <v>223</v>
      </c>
      <c r="B27" s="12">
        <v>0.32</v>
      </c>
    </row>
    <row r="28" spans="1:10" x14ac:dyDescent="0.15">
      <c r="A28" s="57" t="s">
        <v>224</v>
      </c>
      <c r="B28" s="12">
        <v>0.3</v>
      </c>
    </row>
    <row r="29" spans="1:10" x14ac:dyDescent="0.15">
      <c r="A29" s="57" t="s">
        <v>225</v>
      </c>
      <c r="B29" s="12">
        <v>0.28000000000000003</v>
      </c>
    </row>
    <row r="32" spans="1:10" x14ac:dyDescent="0.15">
      <c r="B32" s="2">
        <v>2018</v>
      </c>
      <c r="C32" s="2">
        <v>2019</v>
      </c>
      <c r="D32" s="5">
        <v>2020</v>
      </c>
      <c r="E32" s="5" t="s">
        <v>118</v>
      </c>
      <c r="F32" s="5" t="s">
        <v>119</v>
      </c>
      <c r="G32" s="5" t="s">
        <v>43</v>
      </c>
      <c r="I32" s="5" t="s">
        <v>228</v>
      </c>
      <c r="J32" s="5" t="s">
        <v>229</v>
      </c>
    </row>
    <row r="33" spans="1:10" x14ac:dyDescent="0.15">
      <c r="A33" s="57" t="s">
        <v>226</v>
      </c>
      <c r="B33" s="6">
        <v>70</v>
      </c>
      <c r="C33" s="6">
        <v>92</v>
      </c>
      <c r="D33" s="6">
        <v>108</v>
      </c>
      <c r="E33" s="6">
        <v>133</v>
      </c>
      <c r="F33" s="6">
        <v>166</v>
      </c>
      <c r="G33" s="6">
        <v>209</v>
      </c>
      <c r="I33" s="7">
        <f>(D33/B33)^(1/2)-1</f>
        <v>0.24211800681623763</v>
      </c>
      <c r="J33" s="7">
        <f>(G33/D33)^(1/3)-1</f>
        <v>0.24616106161742835</v>
      </c>
    </row>
    <row r="34" spans="1:10" x14ac:dyDescent="0.15">
      <c r="A34" s="57" t="s">
        <v>227</v>
      </c>
      <c r="B34" s="6">
        <v>164</v>
      </c>
      <c r="C34" s="6">
        <v>210</v>
      </c>
      <c r="D34" s="6">
        <v>385</v>
      </c>
      <c r="E34" s="6">
        <v>450</v>
      </c>
      <c r="F34" s="6">
        <v>527</v>
      </c>
      <c r="G34" s="6">
        <v>617</v>
      </c>
      <c r="I34" s="7">
        <f>(D34/B34)^(1/2)-1</f>
        <v>0.53217524311344899</v>
      </c>
      <c r="J34" s="7">
        <f>(G34/D34)^(1/3)-1</f>
        <v>0.17023965738536129</v>
      </c>
    </row>
    <row r="35" spans="1:10" x14ac:dyDescent="0.15">
      <c r="D35" s="68"/>
    </row>
    <row r="36" spans="1:10" x14ac:dyDescent="0.15">
      <c r="D36"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8C03-A253-42C3-ACB5-BA497FA87F59}">
  <dimension ref="A1:T94"/>
  <sheetViews>
    <sheetView showGridLines="0"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ColWidth="8.83203125" defaultRowHeight="15" x14ac:dyDescent="0.2"/>
  <cols>
    <col min="1" max="1" width="27.1640625" customWidth="1"/>
    <col min="2" max="3" width="9" customWidth="1"/>
    <col min="11" max="14" width="0" hidden="1" customWidth="1"/>
  </cols>
  <sheetData>
    <row r="1" spans="1:20" s="59" customFormat="1" ht="13" x14ac:dyDescent="0.15">
      <c r="A1" s="21" t="s">
        <v>315</v>
      </c>
      <c r="B1" s="58" t="s">
        <v>231</v>
      </c>
      <c r="C1" s="58" t="s">
        <v>232</v>
      </c>
      <c r="D1" s="58" t="s">
        <v>233</v>
      </c>
      <c r="E1" s="58" t="s">
        <v>234</v>
      </c>
      <c r="F1" s="58" t="s">
        <v>235</v>
      </c>
      <c r="G1" s="58" t="s">
        <v>68</v>
      </c>
      <c r="H1" s="58" t="s">
        <v>24</v>
      </c>
      <c r="I1" s="58" t="s">
        <v>25</v>
      </c>
      <c r="J1" s="58" t="s">
        <v>26</v>
      </c>
      <c r="K1" s="58" t="s">
        <v>236</v>
      </c>
      <c r="L1" s="58" t="s">
        <v>237</v>
      </c>
      <c r="M1" s="58" t="s">
        <v>238</v>
      </c>
      <c r="N1" s="58" t="s">
        <v>239</v>
      </c>
      <c r="Q1" s="5" t="s">
        <v>240</v>
      </c>
      <c r="R1" s="5" t="s">
        <v>241</v>
      </c>
      <c r="S1" s="5" t="s">
        <v>242</v>
      </c>
      <c r="T1" s="5" t="s">
        <v>243</v>
      </c>
    </row>
    <row r="2" spans="1:20" s="59" customFormat="1" ht="13" x14ac:dyDescent="0.15">
      <c r="A2" s="59" t="s">
        <v>244</v>
      </c>
      <c r="B2" s="60">
        <v>54.21</v>
      </c>
      <c r="C2" s="60">
        <v>87.36</v>
      </c>
      <c r="D2" s="60">
        <v>152.97999999999999</v>
      </c>
      <c r="E2" s="60">
        <v>211.16</v>
      </c>
      <c r="F2" s="60">
        <v>190.16</v>
      </c>
      <c r="G2" s="60">
        <v>172.04</v>
      </c>
      <c r="H2" s="60">
        <v>169.7</v>
      </c>
      <c r="I2" s="60">
        <v>247.51</v>
      </c>
      <c r="J2" s="60">
        <v>454.20699999999999</v>
      </c>
      <c r="K2" s="60"/>
      <c r="L2" s="60"/>
      <c r="M2" s="60"/>
      <c r="N2" s="60"/>
      <c r="Q2" s="61">
        <f>(J2/C2)^(1/7)-1</f>
        <v>0.26554418882211661</v>
      </c>
      <c r="R2" s="61">
        <f>(I2/C2)^(1/6)-1</f>
        <v>0.18954265795392522</v>
      </c>
      <c r="S2" s="61">
        <f>(J2/G2)^(1/3)-1</f>
        <v>0.38210635236113011</v>
      </c>
      <c r="T2" s="61">
        <f>(I2/F2)^(1/3)-1</f>
        <v>9.1837133144112126E-2</v>
      </c>
    </row>
    <row r="3" spans="1:20" s="59" customFormat="1" ht="13" x14ac:dyDescent="0.15">
      <c r="A3" s="59" t="s">
        <v>245</v>
      </c>
      <c r="B3" s="61"/>
      <c r="C3" s="61">
        <f t="shared" ref="C3" si="0">C2/B2-1</f>
        <v>0.61151079136690645</v>
      </c>
      <c r="D3" s="61">
        <f>D2/C2-1</f>
        <v>0.75114468864468864</v>
      </c>
      <c r="E3" s="61">
        <f t="shared" ref="E3:N3" si="1">E2/D2-1</f>
        <v>0.380311151784547</v>
      </c>
      <c r="F3" s="61">
        <f t="shared" si="1"/>
        <v>-9.9450653532866085E-2</v>
      </c>
      <c r="G3" s="61">
        <f t="shared" si="1"/>
        <v>-9.5288178376104371E-2</v>
      </c>
      <c r="H3" s="61">
        <f t="shared" si="1"/>
        <v>-1.3601488026040442E-2</v>
      </c>
      <c r="I3" s="61">
        <f t="shared" si="1"/>
        <v>0.45851502651738363</v>
      </c>
      <c r="J3" s="61">
        <f t="shared" si="1"/>
        <v>0.83510565229687694</v>
      </c>
      <c r="K3" s="61">
        <f t="shared" si="1"/>
        <v>-1</v>
      </c>
      <c r="L3" s="61" t="e">
        <f t="shared" si="1"/>
        <v>#DIV/0!</v>
      </c>
      <c r="M3" s="61" t="e">
        <f t="shared" si="1"/>
        <v>#DIV/0!</v>
      </c>
      <c r="N3" s="61" t="e">
        <f t="shared" si="1"/>
        <v>#DIV/0!</v>
      </c>
    </row>
    <row r="4" spans="1:20" s="59" customFormat="1" ht="6.75" customHeight="1" x14ac:dyDescent="0.15"/>
    <row r="5" spans="1:20" s="59" customFormat="1" ht="13" x14ac:dyDescent="0.15">
      <c r="A5" s="2" t="s">
        <v>246</v>
      </c>
    </row>
    <row r="6" spans="1:20" s="60" customFormat="1" ht="13" x14ac:dyDescent="0.15">
      <c r="A6" s="59" t="s">
        <v>311</v>
      </c>
      <c r="B6" s="60">
        <v>8.4600000000000009</v>
      </c>
      <c r="C6" s="60">
        <v>7.91</v>
      </c>
      <c r="D6" s="60">
        <v>14.12</v>
      </c>
      <c r="E6" s="60">
        <v>22.42</v>
      </c>
      <c r="F6" s="60">
        <v>19.91</v>
      </c>
      <c r="G6" s="60">
        <v>12.9</v>
      </c>
      <c r="H6" s="60">
        <v>45.49</v>
      </c>
      <c r="I6" s="60">
        <v>51.62</v>
      </c>
      <c r="J6" s="60">
        <v>52.441000000000003</v>
      </c>
    </row>
    <row r="7" spans="1:20" s="60" customFormat="1" ht="13" x14ac:dyDescent="0.15">
      <c r="A7" s="59" t="s">
        <v>247</v>
      </c>
    </row>
    <row r="8" spans="1:20" s="60" customFormat="1" ht="13" x14ac:dyDescent="0.15">
      <c r="A8" s="2" t="s">
        <v>248</v>
      </c>
      <c r="B8" s="24">
        <f t="shared" ref="B8:H8" si="2">B2-B6-B7</f>
        <v>45.75</v>
      </c>
      <c r="C8" s="24">
        <f t="shared" si="2"/>
        <v>79.45</v>
      </c>
      <c r="D8" s="24">
        <f t="shared" si="2"/>
        <v>138.85999999999999</v>
      </c>
      <c r="E8" s="24">
        <f t="shared" si="2"/>
        <v>188.74</v>
      </c>
      <c r="F8" s="24">
        <f t="shared" si="2"/>
        <v>170.25</v>
      </c>
      <c r="G8" s="24">
        <f t="shared" si="2"/>
        <v>159.13999999999999</v>
      </c>
      <c r="H8" s="24">
        <f t="shared" si="2"/>
        <v>124.20999999999998</v>
      </c>
      <c r="I8" s="24">
        <f>I2-I6-I7</f>
        <v>195.89</v>
      </c>
      <c r="J8" s="24">
        <f>J2-J6-J7</f>
        <v>401.76599999999996</v>
      </c>
      <c r="K8" s="24">
        <f t="shared" ref="K8:N8" si="3">K2-K6-K7</f>
        <v>0</v>
      </c>
      <c r="L8" s="24">
        <f t="shared" si="3"/>
        <v>0</v>
      </c>
      <c r="M8" s="24">
        <f t="shared" si="3"/>
        <v>0</v>
      </c>
      <c r="N8" s="24">
        <f t="shared" si="3"/>
        <v>0</v>
      </c>
      <c r="Q8" s="61">
        <f>(J8/C8)^(1/7)-1</f>
        <v>0.26053289283151981</v>
      </c>
      <c r="R8" s="61">
        <f>(I8/C8)^(1/6)-1</f>
        <v>0.16230398673602053</v>
      </c>
      <c r="S8" s="61">
        <f>(J8/G8)^(1/3)-1</f>
        <v>0.36164723705014623</v>
      </c>
      <c r="T8" s="61">
        <f>(I8/F8)^(1/3)-1</f>
        <v>4.7872352455654577E-2</v>
      </c>
    </row>
    <row r="9" spans="1:20" s="60" customFormat="1" ht="13" x14ac:dyDescent="0.15">
      <c r="A9" s="59" t="s">
        <v>249</v>
      </c>
      <c r="B9" s="61">
        <f t="shared" ref="B9:N9" si="4">B8/B2</f>
        <v>0.84394023242944105</v>
      </c>
      <c r="C9" s="61">
        <f t="shared" si="4"/>
        <v>0.90945512820512819</v>
      </c>
      <c r="D9" s="61">
        <f t="shared" si="4"/>
        <v>0.90770035298731855</v>
      </c>
      <c r="E9" s="61">
        <f t="shared" si="4"/>
        <v>0.89382458799014974</v>
      </c>
      <c r="F9" s="61">
        <f t="shared" si="4"/>
        <v>0.89529869583508626</v>
      </c>
      <c r="G9" s="61">
        <f t="shared" si="4"/>
        <v>0.92501743780516155</v>
      </c>
      <c r="H9" s="61">
        <f t="shared" si="4"/>
        <v>0.73193871538008237</v>
      </c>
      <c r="I9" s="61">
        <f t="shared" si="4"/>
        <v>0.79144276998909135</v>
      </c>
      <c r="J9" s="61">
        <f t="shared" si="4"/>
        <v>0.88454383133681336</v>
      </c>
      <c r="K9" s="61" t="e">
        <f t="shared" si="4"/>
        <v>#DIV/0!</v>
      </c>
      <c r="L9" s="61" t="e">
        <f t="shared" si="4"/>
        <v>#DIV/0!</v>
      </c>
      <c r="M9" s="61" t="e">
        <f t="shared" si="4"/>
        <v>#DIV/0!</v>
      </c>
      <c r="N9" s="61" t="e">
        <f t="shared" si="4"/>
        <v>#DIV/0!</v>
      </c>
    </row>
    <row r="10" spans="1:20" s="60" customFormat="1" ht="13" x14ac:dyDescent="0.15">
      <c r="A10" s="59" t="s">
        <v>250</v>
      </c>
      <c r="B10" s="61">
        <f t="shared" ref="B10" si="5">1-B9</f>
        <v>0.15605976757055895</v>
      </c>
      <c r="C10" s="61">
        <f>1-C9</f>
        <v>9.0544871794871806E-2</v>
      </c>
      <c r="D10" s="61">
        <f t="shared" ref="D10:N10" si="6">1-D9</f>
        <v>9.2299647012681452E-2</v>
      </c>
      <c r="E10" s="61">
        <f t="shared" si="6"/>
        <v>0.10617541200985026</v>
      </c>
      <c r="F10" s="61">
        <f t="shared" si="6"/>
        <v>0.10470130416491374</v>
      </c>
      <c r="G10" s="61">
        <f t="shared" si="6"/>
        <v>7.4982562194838454E-2</v>
      </c>
      <c r="H10" s="61">
        <f t="shared" si="6"/>
        <v>0.26806128461991763</v>
      </c>
      <c r="I10" s="61">
        <f t="shared" si="6"/>
        <v>0.20855723001090865</v>
      </c>
      <c r="J10" s="61">
        <f t="shared" si="6"/>
        <v>0.11545616866318664</v>
      </c>
      <c r="K10" s="61" t="e">
        <f t="shared" si="6"/>
        <v>#DIV/0!</v>
      </c>
      <c r="L10" s="61" t="e">
        <f t="shared" si="6"/>
        <v>#DIV/0!</v>
      </c>
      <c r="M10" s="61" t="e">
        <f t="shared" si="6"/>
        <v>#DIV/0!</v>
      </c>
      <c r="N10" s="61" t="e">
        <f t="shared" si="6"/>
        <v>#DIV/0!</v>
      </c>
      <c r="Q10" s="59"/>
      <c r="R10" s="59"/>
      <c r="S10" s="59"/>
      <c r="T10" s="59"/>
    </row>
    <row r="11" spans="1:20" s="59" customFormat="1" ht="13" x14ac:dyDescent="0.15">
      <c r="Q11" s="60"/>
      <c r="R11" s="60"/>
      <c r="S11" s="60"/>
      <c r="T11" s="60"/>
    </row>
    <row r="12" spans="1:20" s="60" customFormat="1" ht="13" x14ac:dyDescent="0.15">
      <c r="A12" s="59" t="s">
        <v>251</v>
      </c>
      <c r="B12" s="60">
        <v>0</v>
      </c>
      <c r="C12" s="60">
        <v>0</v>
      </c>
      <c r="D12" s="60">
        <v>0</v>
      </c>
      <c r="E12" s="60">
        <v>0</v>
      </c>
      <c r="F12" s="60">
        <v>0</v>
      </c>
      <c r="G12" s="62">
        <v>0.22</v>
      </c>
      <c r="H12" s="62">
        <v>0.36</v>
      </c>
      <c r="I12" s="62">
        <v>0.43</v>
      </c>
    </row>
    <row r="13" spans="1:20" s="60" customFormat="1" ht="13" x14ac:dyDescent="0.15">
      <c r="A13" s="59" t="s">
        <v>252</v>
      </c>
      <c r="G13" s="62"/>
      <c r="H13" s="62"/>
      <c r="I13" s="62"/>
      <c r="Q13" s="61"/>
      <c r="R13" s="61"/>
      <c r="S13" s="61"/>
      <c r="T13" s="61"/>
    </row>
    <row r="14" spans="1:20" s="60" customFormat="1" ht="13" x14ac:dyDescent="0.15">
      <c r="A14" s="2" t="s">
        <v>38</v>
      </c>
      <c r="B14" s="24">
        <f t="shared" ref="B14" si="7">B8-B13-B12</f>
        <v>45.75</v>
      </c>
      <c r="C14" s="24">
        <f>C8-C13-C12</f>
        <v>79.45</v>
      </c>
      <c r="D14" s="24">
        <f t="shared" ref="D14:N14" si="8">D8-D13-D12</f>
        <v>138.85999999999999</v>
      </c>
      <c r="E14" s="24">
        <f t="shared" si="8"/>
        <v>188.74</v>
      </c>
      <c r="F14" s="24">
        <f t="shared" si="8"/>
        <v>170.25</v>
      </c>
      <c r="G14" s="24">
        <f t="shared" si="8"/>
        <v>158.91999999999999</v>
      </c>
      <c r="H14" s="24">
        <f t="shared" si="8"/>
        <v>123.84999999999998</v>
      </c>
      <c r="I14" s="24">
        <f t="shared" si="8"/>
        <v>195.45999999999998</v>
      </c>
      <c r="J14" s="24">
        <f t="shared" si="8"/>
        <v>401.76599999999996</v>
      </c>
      <c r="K14" s="24">
        <f t="shared" si="8"/>
        <v>0</v>
      </c>
      <c r="L14" s="24">
        <f t="shared" si="8"/>
        <v>0</v>
      </c>
      <c r="M14" s="24">
        <f t="shared" si="8"/>
        <v>0</v>
      </c>
      <c r="N14" s="24">
        <f t="shared" si="8"/>
        <v>0</v>
      </c>
      <c r="Q14" s="61">
        <f>(J14/C14)^(1/7)-1</f>
        <v>0.26053289283151981</v>
      </c>
      <c r="R14" s="61">
        <f>(I14/C14)^(1/6)-1</f>
        <v>0.16187836653120957</v>
      </c>
      <c r="S14" s="61">
        <f>(J14/G14)^(1/3)-1</f>
        <v>0.36227527687283656</v>
      </c>
      <c r="T14" s="61">
        <f>(I14/F14)^(1/3)-1</f>
        <v>4.7105059231970392E-2</v>
      </c>
    </row>
    <row r="15" spans="1:20" s="60" customFormat="1" ht="13" x14ac:dyDescent="0.15">
      <c r="A15" s="59" t="s">
        <v>39</v>
      </c>
      <c r="B15" s="61">
        <f t="shared" ref="B15:N15" si="9">B14/B2</f>
        <v>0.84394023242944105</v>
      </c>
      <c r="C15" s="61">
        <f t="shared" si="9"/>
        <v>0.90945512820512819</v>
      </c>
      <c r="D15" s="61">
        <f t="shared" si="9"/>
        <v>0.90770035298731855</v>
      </c>
      <c r="E15" s="61">
        <f t="shared" si="9"/>
        <v>0.89382458799014974</v>
      </c>
      <c r="F15" s="61">
        <f t="shared" si="9"/>
        <v>0.89529869583508626</v>
      </c>
      <c r="G15" s="61">
        <f t="shared" si="9"/>
        <v>0.92373866542664496</v>
      </c>
      <c r="H15" s="61">
        <f t="shared" si="9"/>
        <v>0.72981732469063043</v>
      </c>
      <c r="I15" s="61">
        <f t="shared" si="9"/>
        <v>0.78970546644580009</v>
      </c>
      <c r="J15" s="61">
        <f t="shared" si="9"/>
        <v>0.88454383133681336</v>
      </c>
      <c r="K15" s="61" t="e">
        <f t="shared" si="9"/>
        <v>#DIV/0!</v>
      </c>
      <c r="L15" s="61" t="e">
        <f t="shared" si="9"/>
        <v>#DIV/0!</v>
      </c>
      <c r="M15" s="61" t="e">
        <f t="shared" si="9"/>
        <v>#DIV/0!</v>
      </c>
      <c r="N15" s="61" t="e">
        <f t="shared" si="9"/>
        <v>#DIV/0!</v>
      </c>
      <c r="Q15" s="59"/>
      <c r="R15" s="59"/>
      <c r="S15" s="59"/>
      <c r="T15" s="59"/>
    </row>
    <row r="16" spans="1:20" s="60" customFormat="1" ht="13" x14ac:dyDescent="0.15">
      <c r="A16" s="59" t="s">
        <v>253</v>
      </c>
      <c r="B16" s="61">
        <f t="shared" ref="B16" si="10">1-B15</f>
        <v>0.15605976757055895</v>
      </c>
      <c r="C16" s="61">
        <f>1-C15</f>
        <v>9.0544871794871806E-2</v>
      </c>
      <c r="D16" s="61">
        <f t="shared" ref="D16:N16" si="11">1-D15</f>
        <v>9.2299647012681452E-2</v>
      </c>
      <c r="E16" s="61">
        <f t="shared" si="11"/>
        <v>0.10617541200985026</v>
      </c>
      <c r="F16" s="61">
        <f t="shared" si="11"/>
        <v>0.10470130416491374</v>
      </c>
      <c r="G16" s="61">
        <f t="shared" si="11"/>
        <v>7.6261334573355044E-2</v>
      </c>
      <c r="H16" s="61">
        <f t="shared" si="11"/>
        <v>0.27018267530936957</v>
      </c>
      <c r="I16" s="61">
        <f t="shared" si="11"/>
        <v>0.21029453355419991</v>
      </c>
      <c r="J16" s="61">
        <f t="shared" si="11"/>
        <v>0.11545616866318664</v>
      </c>
      <c r="K16" s="61" t="e">
        <f t="shared" si="11"/>
        <v>#DIV/0!</v>
      </c>
      <c r="L16" s="61" t="e">
        <f t="shared" si="11"/>
        <v>#DIV/0!</v>
      </c>
      <c r="M16" s="61" t="e">
        <f t="shared" si="11"/>
        <v>#DIV/0!</v>
      </c>
      <c r="N16" s="61" t="e">
        <f t="shared" si="11"/>
        <v>#DIV/0!</v>
      </c>
      <c r="Q16" s="61"/>
      <c r="R16" s="61"/>
      <c r="S16" s="61"/>
    </row>
    <row r="17" spans="1:20" s="59" customFormat="1" ht="6.75" customHeight="1" x14ac:dyDescent="0.15">
      <c r="Q17" s="61"/>
      <c r="R17" s="61"/>
      <c r="S17" s="61"/>
      <c r="T17" s="60"/>
    </row>
    <row r="18" spans="1:20" s="60" customFormat="1" ht="13" x14ac:dyDescent="0.15">
      <c r="A18" s="59" t="s">
        <v>254</v>
      </c>
      <c r="B18" s="60">
        <v>9.4</v>
      </c>
      <c r="C18" s="60">
        <v>11.88</v>
      </c>
      <c r="D18" s="60">
        <v>13.58</v>
      </c>
      <c r="E18" s="60">
        <v>23.24</v>
      </c>
      <c r="F18" s="60">
        <v>25.38</v>
      </c>
      <c r="G18" s="60">
        <v>37.200000000000003</v>
      </c>
      <c r="H18" s="60">
        <v>41.38</v>
      </c>
      <c r="I18" s="60">
        <v>31.87</v>
      </c>
      <c r="J18" s="60">
        <v>48.691000000000003</v>
      </c>
      <c r="O18" s="61"/>
    </row>
    <row r="19" spans="1:20" s="60" customFormat="1" ht="13" x14ac:dyDescent="0.15">
      <c r="A19" s="59" t="s">
        <v>255</v>
      </c>
      <c r="B19" s="61">
        <f t="shared" ref="B19" si="12">B18/B2</f>
        <v>0.17339974174506548</v>
      </c>
      <c r="C19" s="61">
        <f>C18/C2</f>
        <v>0.13598901098901101</v>
      </c>
      <c r="D19" s="61">
        <f t="shared" ref="D19:N19" si="13">D18/D2</f>
        <v>8.8769773826644013E-2</v>
      </c>
      <c r="E19" s="61">
        <f t="shared" si="13"/>
        <v>0.11005872324303845</v>
      </c>
      <c r="F19" s="61">
        <f t="shared" si="13"/>
        <v>0.13346655448043751</v>
      </c>
      <c r="G19" s="61">
        <f t="shared" si="13"/>
        <v>0.21622878400372009</v>
      </c>
      <c r="H19" s="61">
        <f t="shared" si="13"/>
        <v>0.24384207424867416</v>
      </c>
      <c r="I19" s="61">
        <f t="shared" si="13"/>
        <v>0.12876247424346493</v>
      </c>
      <c r="J19" s="61">
        <f t="shared" si="13"/>
        <v>0.10720002113573768</v>
      </c>
      <c r="K19" s="61" t="e">
        <f t="shared" si="13"/>
        <v>#DIV/0!</v>
      </c>
      <c r="L19" s="61" t="e">
        <f t="shared" si="13"/>
        <v>#DIV/0!</v>
      </c>
      <c r="M19" s="61" t="e">
        <f t="shared" si="13"/>
        <v>#DIV/0!</v>
      </c>
      <c r="N19" s="61" t="e">
        <f t="shared" si="13"/>
        <v>#DIV/0!</v>
      </c>
      <c r="O19" s="61"/>
      <c r="Q19" s="61"/>
      <c r="R19" s="61"/>
      <c r="S19" s="61"/>
      <c r="T19" s="61"/>
    </row>
    <row r="20" spans="1:20" s="60" customFormat="1" ht="13" x14ac:dyDescent="0.15">
      <c r="A20" s="59" t="s">
        <v>256</v>
      </c>
      <c r="B20" s="60">
        <v>17.670000000000002</v>
      </c>
      <c r="C20" s="60">
        <v>28.4</v>
      </c>
      <c r="D20" s="60">
        <v>51.25</v>
      </c>
      <c r="E20" s="60">
        <v>81.63</v>
      </c>
      <c r="F20" s="60">
        <v>65.98</v>
      </c>
      <c r="G20" s="60">
        <v>60.17</v>
      </c>
      <c r="H20" s="60">
        <v>49.37</v>
      </c>
      <c r="I20" s="60">
        <v>164.46</v>
      </c>
      <c r="J20" s="60">
        <f>226.464+50.111</f>
        <v>276.57499999999999</v>
      </c>
      <c r="O20" s="61"/>
    </row>
    <row r="21" spans="1:20" s="60" customFormat="1" ht="13" x14ac:dyDescent="0.15">
      <c r="A21" s="59" t="s">
        <v>255</v>
      </c>
      <c r="B21" s="61">
        <f t="shared" ref="B21" si="14">B20/B2</f>
        <v>0.32595462091864974</v>
      </c>
      <c r="C21" s="61">
        <f>C20/C2</f>
        <v>0.3250915750915751</v>
      </c>
      <c r="D21" s="61">
        <f t="shared" ref="D21:N21" si="15">D20/D2</f>
        <v>0.33501111256373384</v>
      </c>
      <c r="E21" s="61">
        <f t="shared" si="15"/>
        <v>0.38657889751846941</v>
      </c>
      <c r="F21" s="61">
        <f t="shared" si="15"/>
        <v>0.34697097181320996</v>
      </c>
      <c r="G21" s="61">
        <f t="shared" si="15"/>
        <v>0.34974424552429673</v>
      </c>
      <c r="H21" s="61">
        <f t="shared" si="15"/>
        <v>0.29092516205067764</v>
      </c>
      <c r="I21" s="61">
        <f t="shared" si="15"/>
        <v>0.66445800169690117</v>
      </c>
      <c r="J21" s="61">
        <f t="shared" si="15"/>
        <v>0.60891840064111735</v>
      </c>
      <c r="K21" s="61" t="e">
        <f t="shared" si="15"/>
        <v>#DIV/0!</v>
      </c>
      <c r="L21" s="61" t="e">
        <f t="shared" si="15"/>
        <v>#DIV/0!</v>
      </c>
      <c r="M21" s="61" t="e">
        <f t="shared" si="15"/>
        <v>#DIV/0!</v>
      </c>
      <c r="N21" s="61" t="e">
        <f t="shared" si="15"/>
        <v>#DIV/0!</v>
      </c>
      <c r="O21" s="61"/>
      <c r="Q21" s="59"/>
      <c r="R21" s="59"/>
      <c r="S21" s="59"/>
      <c r="T21" s="59"/>
    </row>
    <row r="22" spans="1:20" s="60" customFormat="1" ht="13" x14ac:dyDescent="0.15">
      <c r="A22" s="59" t="s">
        <v>257</v>
      </c>
      <c r="B22" s="60">
        <v>1.29</v>
      </c>
      <c r="C22" s="60">
        <v>2.17</v>
      </c>
      <c r="D22" s="60">
        <v>3.03</v>
      </c>
      <c r="E22" s="60">
        <v>7.83</v>
      </c>
      <c r="F22" s="60">
        <v>17.739999999999998</v>
      </c>
      <c r="G22" s="60">
        <v>48.61</v>
      </c>
      <c r="H22" s="60">
        <v>17.71</v>
      </c>
      <c r="I22" s="60">
        <v>6.46</v>
      </c>
      <c r="J22" s="60">
        <v>31.259</v>
      </c>
    </row>
    <row r="23" spans="1:20" s="60" customFormat="1" ht="13" x14ac:dyDescent="0.15">
      <c r="A23" s="59" t="s">
        <v>255</v>
      </c>
      <c r="B23" s="61">
        <f t="shared" ref="B23" si="16">B22/B2</f>
        <v>2.3796347537354733E-2</v>
      </c>
      <c r="C23" s="61">
        <f>C22/C2</f>
        <v>2.4839743589743588E-2</v>
      </c>
      <c r="D23" s="61">
        <f t="shared" ref="D23:J23" si="17">D22/D2</f>
        <v>1.9806510654987581E-2</v>
      </c>
      <c r="E23" s="61">
        <f t="shared" si="17"/>
        <v>3.7080886531540062E-2</v>
      </c>
      <c r="F23" s="61">
        <f t="shared" si="17"/>
        <v>9.3289861169541438E-2</v>
      </c>
      <c r="G23" s="61">
        <f t="shared" si="17"/>
        <v>0.28255056963496861</v>
      </c>
      <c r="H23" s="61">
        <f t="shared" si="17"/>
        <v>0.10436063641720685</v>
      </c>
      <c r="I23" s="61">
        <f t="shared" si="17"/>
        <v>2.6099955557351218E-2</v>
      </c>
      <c r="J23" s="61">
        <f t="shared" si="17"/>
        <v>6.8821044149473695E-2</v>
      </c>
      <c r="K23" s="61"/>
      <c r="L23" s="61"/>
      <c r="M23" s="61"/>
      <c r="N23" s="61"/>
    </row>
    <row r="24" spans="1:20" s="60" customFormat="1" ht="13" x14ac:dyDescent="0.15">
      <c r="A24" s="2" t="s">
        <v>5</v>
      </c>
      <c r="B24" s="24">
        <f t="shared" ref="B24:N24" si="18">B14-B18-B20-B22</f>
        <v>17.39</v>
      </c>
      <c r="C24" s="24">
        <f t="shared" si="18"/>
        <v>37.000000000000007</v>
      </c>
      <c r="D24" s="24">
        <f t="shared" si="18"/>
        <v>70.999999999999986</v>
      </c>
      <c r="E24" s="24">
        <f t="shared" si="18"/>
        <v>76.040000000000006</v>
      </c>
      <c r="F24" s="24">
        <f t="shared" si="18"/>
        <v>61.150000000000006</v>
      </c>
      <c r="G24" s="24">
        <f t="shared" si="18"/>
        <v>12.939999999999984</v>
      </c>
      <c r="H24" s="24">
        <f t="shared" si="18"/>
        <v>15.389999999999972</v>
      </c>
      <c r="I24" s="24">
        <f t="shared" si="18"/>
        <v>-7.3300000000000329</v>
      </c>
      <c r="J24" s="24">
        <f t="shared" si="18"/>
        <v>45.240999999999943</v>
      </c>
      <c r="K24" s="24">
        <f t="shared" si="18"/>
        <v>0</v>
      </c>
      <c r="L24" s="24">
        <f t="shared" si="18"/>
        <v>0</v>
      </c>
      <c r="M24" s="24">
        <f t="shared" si="18"/>
        <v>0</v>
      </c>
      <c r="N24" s="24">
        <f t="shared" si="18"/>
        <v>0</v>
      </c>
      <c r="Q24" s="61">
        <f>(J24/C24)^(1/7)-1</f>
        <v>2.9143135729377434E-2</v>
      </c>
      <c r="R24" s="61" t="e">
        <f>(I24/C24)^(1/6)-1</f>
        <v>#NUM!</v>
      </c>
      <c r="S24" s="61">
        <f>(J24/G24)^(1/3)-1</f>
        <v>0.51774673237787017</v>
      </c>
      <c r="T24" s="61">
        <f>(I24/F24)^(1/3)-1</f>
        <v>-1.4930631028754262</v>
      </c>
    </row>
    <row r="25" spans="1:20" s="60" customFormat="1" ht="13" x14ac:dyDescent="0.15">
      <c r="A25" s="59" t="s">
        <v>2</v>
      </c>
      <c r="B25" s="61">
        <f t="shared" ref="B25:N25" si="19">B24/B2</f>
        <v>0.32078952222837115</v>
      </c>
      <c r="C25" s="61">
        <f t="shared" si="19"/>
        <v>0.42353479853479864</v>
      </c>
      <c r="D25" s="61">
        <f t="shared" si="19"/>
        <v>0.46411295594195312</v>
      </c>
      <c r="E25" s="61">
        <f t="shared" si="19"/>
        <v>0.36010608069710176</v>
      </c>
      <c r="F25" s="61">
        <f t="shared" si="19"/>
        <v>0.3215713083718974</v>
      </c>
      <c r="G25" s="61">
        <f t="shared" si="19"/>
        <v>7.5215066263659522E-2</v>
      </c>
      <c r="H25" s="61">
        <f t="shared" si="19"/>
        <v>9.068945197407173E-2</v>
      </c>
      <c r="I25" s="61">
        <f t="shared" si="19"/>
        <v>-2.9614965051917228E-2</v>
      </c>
      <c r="J25" s="61">
        <f t="shared" si="19"/>
        <v>9.9604365410484522E-2</v>
      </c>
      <c r="K25" s="61" t="e">
        <f t="shared" si="19"/>
        <v>#DIV/0!</v>
      </c>
      <c r="L25" s="61" t="e">
        <f t="shared" si="19"/>
        <v>#DIV/0!</v>
      </c>
      <c r="M25" s="61" t="e">
        <f t="shared" si="19"/>
        <v>#DIV/0!</v>
      </c>
      <c r="N25" s="61" t="e">
        <f t="shared" si="19"/>
        <v>#DIV/0!</v>
      </c>
      <c r="Q25" s="59"/>
      <c r="R25" s="59"/>
      <c r="S25" s="59"/>
      <c r="T25" s="59"/>
    </row>
    <row r="26" spans="1:20" s="59" customFormat="1" ht="6.75" customHeight="1" x14ac:dyDescent="0.15">
      <c r="Q26" s="60"/>
      <c r="R26" s="60"/>
      <c r="S26" s="60"/>
      <c r="T26" s="60"/>
    </row>
    <row r="27" spans="1:20" s="60" customFormat="1" ht="13" x14ac:dyDescent="0.15">
      <c r="A27" s="59" t="s">
        <v>258</v>
      </c>
      <c r="B27" s="60">
        <v>0.91</v>
      </c>
      <c r="C27" s="60">
        <v>0.8</v>
      </c>
      <c r="D27" s="60">
        <v>0.8</v>
      </c>
      <c r="E27" s="60">
        <v>0.95</v>
      </c>
      <c r="F27" s="60">
        <v>1.1599999999999999</v>
      </c>
      <c r="G27" s="60">
        <v>8.2200000000000006</v>
      </c>
      <c r="H27" s="60">
        <v>19.54</v>
      </c>
      <c r="I27" s="60">
        <v>26.88</v>
      </c>
      <c r="J27" s="60">
        <f>35.482+4.098</f>
        <v>39.58</v>
      </c>
    </row>
    <row r="28" spans="1:20" s="60" customFormat="1" ht="13" x14ac:dyDescent="0.15">
      <c r="A28" s="2" t="s">
        <v>259</v>
      </c>
      <c r="B28" s="24">
        <f t="shared" ref="B28" si="20">B24-B27</f>
        <v>16.48</v>
      </c>
      <c r="C28" s="24">
        <f>C24-C27</f>
        <v>36.20000000000001</v>
      </c>
      <c r="D28" s="24">
        <f t="shared" ref="D28:N28" si="21">D24-D27</f>
        <v>70.199999999999989</v>
      </c>
      <c r="E28" s="24">
        <f t="shared" si="21"/>
        <v>75.09</v>
      </c>
      <c r="F28" s="24">
        <f t="shared" si="21"/>
        <v>59.990000000000009</v>
      </c>
      <c r="G28" s="24">
        <f t="shared" si="21"/>
        <v>4.7199999999999829</v>
      </c>
      <c r="H28" s="24">
        <f t="shared" si="21"/>
        <v>-4.150000000000027</v>
      </c>
      <c r="I28" s="24">
        <f t="shared" si="21"/>
        <v>-34.210000000000029</v>
      </c>
      <c r="J28" s="24">
        <f t="shared" si="21"/>
        <v>5.6609999999999445</v>
      </c>
      <c r="K28" s="24">
        <f t="shared" si="21"/>
        <v>0</v>
      </c>
      <c r="L28" s="24">
        <f t="shared" si="21"/>
        <v>0</v>
      </c>
      <c r="M28" s="24">
        <f t="shared" si="21"/>
        <v>0</v>
      </c>
      <c r="N28" s="24">
        <f t="shared" si="21"/>
        <v>0</v>
      </c>
    </row>
    <row r="29" spans="1:20" s="60" customFormat="1" ht="13" x14ac:dyDescent="0.15">
      <c r="A29" s="59" t="s">
        <v>260</v>
      </c>
      <c r="B29" s="61">
        <f t="shared" ref="B29:M29" si="22">B28/B2</f>
        <v>0.30400295148496587</v>
      </c>
      <c r="C29" s="61">
        <f t="shared" si="22"/>
        <v>0.41437728937728951</v>
      </c>
      <c r="D29" s="61">
        <f t="shared" si="22"/>
        <v>0.45888351418486073</v>
      </c>
      <c r="E29" s="61">
        <f t="shared" si="22"/>
        <v>0.35560712256109112</v>
      </c>
      <c r="F29" s="61">
        <f t="shared" si="22"/>
        <v>0.31547118216238962</v>
      </c>
      <c r="G29" s="61">
        <f t="shared" si="22"/>
        <v>2.7435480120902019E-2</v>
      </c>
      <c r="H29" s="61">
        <f t="shared" si="22"/>
        <v>-2.4454920447849308E-2</v>
      </c>
      <c r="I29" s="61">
        <f t="shared" si="22"/>
        <v>-0.13821663771160775</v>
      </c>
      <c r="J29" s="61">
        <f t="shared" si="22"/>
        <v>1.2463480307436796E-2</v>
      </c>
      <c r="K29" s="61" t="e">
        <f t="shared" si="22"/>
        <v>#DIV/0!</v>
      </c>
      <c r="L29" s="61" t="e">
        <f t="shared" si="22"/>
        <v>#DIV/0!</v>
      </c>
      <c r="M29" s="61" t="e">
        <f t="shared" si="22"/>
        <v>#DIV/0!</v>
      </c>
      <c r="N29" s="61" t="e">
        <f>N28/N2</f>
        <v>#DIV/0!</v>
      </c>
    </row>
    <row r="30" spans="1:20" s="59" customFormat="1" ht="6.75" customHeight="1" x14ac:dyDescent="0.15">
      <c r="Q30" s="60"/>
      <c r="R30" s="60"/>
      <c r="S30" s="60"/>
      <c r="T30" s="60"/>
    </row>
    <row r="31" spans="1:20" s="60" customFormat="1" ht="13" x14ac:dyDescent="0.15">
      <c r="A31" s="59" t="s">
        <v>261</v>
      </c>
      <c r="B31" s="60">
        <v>0.05</v>
      </c>
      <c r="C31" s="60">
        <v>0.17</v>
      </c>
      <c r="D31" s="60">
        <v>0.23</v>
      </c>
      <c r="E31" s="60">
        <v>0.42</v>
      </c>
      <c r="F31" s="60">
        <v>0.28999999999999998</v>
      </c>
      <c r="G31" s="60">
        <v>1.83</v>
      </c>
      <c r="H31" s="60">
        <v>1.38</v>
      </c>
      <c r="I31" s="60">
        <v>1.24</v>
      </c>
      <c r="J31" s="60">
        <v>0.90300000000000002</v>
      </c>
      <c r="Q31" s="61">
        <f>(J31/C31)^(1/7)-1</f>
        <v>0.26942061542923978</v>
      </c>
      <c r="R31" s="61">
        <f>(I31/C31)^(1/6)-1</f>
        <v>0.3926077058320625</v>
      </c>
      <c r="S31" s="61">
        <f>(J31/G31)^(1/3)-1</f>
        <v>-0.20978448279664397</v>
      </c>
      <c r="T31" s="61">
        <f>(I31/F31)^(1/3)-1</f>
        <v>0.62308486890034764</v>
      </c>
    </row>
    <row r="32" spans="1:20" s="60" customFormat="1" ht="13" x14ac:dyDescent="0.15">
      <c r="A32" s="59" t="s">
        <v>262</v>
      </c>
      <c r="B32" s="60">
        <v>1.91</v>
      </c>
      <c r="C32" s="60">
        <v>2.77</v>
      </c>
      <c r="D32" s="60">
        <v>4.78</v>
      </c>
      <c r="E32" s="60">
        <v>7.84</v>
      </c>
      <c r="F32" s="60">
        <v>12.09</v>
      </c>
      <c r="G32" s="60">
        <v>9.9</v>
      </c>
      <c r="H32" s="60">
        <v>16.399999999999999</v>
      </c>
      <c r="I32" s="60">
        <v>14.64</v>
      </c>
      <c r="J32" s="60">
        <v>14.327</v>
      </c>
    </row>
    <row r="33" spans="1:20" s="60" customFormat="1" ht="13" x14ac:dyDescent="0.15">
      <c r="A33" s="2" t="s">
        <v>263</v>
      </c>
      <c r="B33" s="24">
        <f t="shared" ref="B33" si="23">B28-B31+B32</f>
        <v>18.34</v>
      </c>
      <c r="C33" s="24">
        <f>C28-C31+C32</f>
        <v>38.800000000000011</v>
      </c>
      <c r="D33" s="24">
        <f t="shared" ref="D33:N33" si="24">D28-D31+D32</f>
        <v>74.749999999999986</v>
      </c>
      <c r="E33" s="24">
        <f t="shared" si="24"/>
        <v>82.51</v>
      </c>
      <c r="F33" s="24">
        <f t="shared" si="24"/>
        <v>71.790000000000006</v>
      </c>
      <c r="G33" s="24">
        <f t="shared" si="24"/>
        <v>12.789999999999983</v>
      </c>
      <c r="H33" s="24">
        <f t="shared" si="24"/>
        <v>10.869999999999973</v>
      </c>
      <c r="I33" s="24">
        <f t="shared" si="24"/>
        <v>-20.810000000000031</v>
      </c>
      <c r="J33" s="24">
        <f t="shared" si="24"/>
        <v>19.084999999999944</v>
      </c>
      <c r="K33" s="24">
        <f t="shared" si="24"/>
        <v>0</v>
      </c>
      <c r="L33" s="24">
        <f t="shared" si="24"/>
        <v>0</v>
      </c>
      <c r="M33" s="24">
        <f t="shared" si="24"/>
        <v>0</v>
      </c>
      <c r="N33" s="24">
        <f t="shared" si="24"/>
        <v>0</v>
      </c>
    </row>
    <row r="34" spans="1:20" s="60" customFormat="1" ht="13" x14ac:dyDescent="0.15">
      <c r="A34" s="59"/>
    </row>
    <row r="35" spans="1:20" s="60" customFormat="1" ht="13" x14ac:dyDescent="0.15">
      <c r="A35" s="59" t="s">
        <v>264</v>
      </c>
      <c r="B35" s="60">
        <v>5.41</v>
      </c>
      <c r="C35" s="60">
        <v>9.66</v>
      </c>
      <c r="D35" s="60">
        <v>16.45</v>
      </c>
      <c r="E35" s="60">
        <v>18.82</v>
      </c>
      <c r="F35" s="60">
        <v>13.18</v>
      </c>
      <c r="G35" s="60">
        <v>14.37</v>
      </c>
      <c r="H35" s="60">
        <v>6.97</v>
      </c>
      <c r="I35" s="60">
        <v>5.56</v>
      </c>
      <c r="J35" s="60">
        <v>-2.3820000000000001</v>
      </c>
    </row>
    <row r="36" spans="1:20" s="60" customFormat="1" ht="13" x14ac:dyDescent="0.15">
      <c r="A36" s="2" t="s">
        <v>265</v>
      </c>
      <c r="B36" s="24">
        <f t="shared" ref="B36" si="25">B33-B35</f>
        <v>12.93</v>
      </c>
      <c r="C36" s="24">
        <f>C33-C35</f>
        <v>29.140000000000011</v>
      </c>
      <c r="D36" s="24">
        <f t="shared" ref="D36:J36" si="26">D33-D35</f>
        <v>58.299999999999983</v>
      </c>
      <c r="E36" s="24">
        <f t="shared" si="26"/>
        <v>63.690000000000005</v>
      </c>
      <c r="F36" s="24">
        <f t="shared" si="26"/>
        <v>58.610000000000007</v>
      </c>
      <c r="G36" s="24">
        <f t="shared" si="26"/>
        <v>-1.5800000000000161</v>
      </c>
      <c r="H36" s="24">
        <f t="shared" si="26"/>
        <v>3.8999999999999728</v>
      </c>
      <c r="I36" s="24">
        <f t="shared" si="26"/>
        <v>-26.370000000000029</v>
      </c>
      <c r="J36" s="24">
        <f t="shared" si="26"/>
        <v>21.466999999999945</v>
      </c>
      <c r="K36" s="24">
        <f>K33-K35</f>
        <v>0</v>
      </c>
      <c r="L36" s="24">
        <f t="shared" ref="L36:N36" si="27">L33-L35</f>
        <v>0</v>
      </c>
      <c r="M36" s="24">
        <f t="shared" si="27"/>
        <v>0</v>
      </c>
      <c r="N36" s="24">
        <f t="shared" si="27"/>
        <v>0</v>
      </c>
      <c r="Q36" s="61">
        <f>(J36/C36)^(1/7)-1</f>
        <v>-4.2717194223552357E-2</v>
      </c>
      <c r="R36" s="61" t="e">
        <f>(I36/C36)^(1/6)-1</f>
        <v>#NUM!</v>
      </c>
      <c r="S36" s="61">
        <f>(J36/G36)^(1/3)-1</f>
        <v>-3.3861885445608664</v>
      </c>
      <c r="T36" s="61">
        <f>(I36/F36)^(1/3)-1</f>
        <v>-1.7662658475093509</v>
      </c>
    </row>
    <row r="37" spans="1:20" s="60" customFormat="1" ht="13" x14ac:dyDescent="0.15">
      <c r="A37" s="59" t="s">
        <v>310</v>
      </c>
      <c r="B37" s="60">
        <v>0</v>
      </c>
      <c r="C37" s="60">
        <v>0</v>
      </c>
      <c r="D37" s="60">
        <v>0</v>
      </c>
      <c r="E37" s="60">
        <v>0</v>
      </c>
      <c r="F37" s="60">
        <v>0</v>
      </c>
      <c r="G37" s="60">
        <v>-1.65</v>
      </c>
      <c r="H37" s="60">
        <v>-10.8</v>
      </c>
      <c r="I37" s="60">
        <v>-24.49</v>
      </c>
      <c r="J37" s="60">
        <v>-2.3820000000000001</v>
      </c>
    </row>
    <row r="38" spans="1:20" s="60" customFormat="1" ht="13" x14ac:dyDescent="0.15">
      <c r="A38" s="2" t="s">
        <v>266</v>
      </c>
      <c r="B38" s="24">
        <f t="shared" ref="B38:J38" si="28">B36-B37</f>
        <v>12.93</v>
      </c>
      <c r="C38" s="24">
        <f t="shared" si="28"/>
        <v>29.140000000000011</v>
      </c>
      <c r="D38" s="24">
        <f t="shared" si="28"/>
        <v>58.299999999999983</v>
      </c>
      <c r="E38" s="24">
        <f t="shared" si="28"/>
        <v>63.690000000000005</v>
      </c>
      <c r="F38" s="24">
        <f t="shared" si="28"/>
        <v>58.610000000000007</v>
      </c>
      <c r="G38" s="24">
        <f t="shared" si="28"/>
        <v>6.9999999999983853E-2</v>
      </c>
      <c r="H38" s="24">
        <f t="shared" si="28"/>
        <v>14.699999999999974</v>
      </c>
      <c r="I38" s="24">
        <f t="shared" si="28"/>
        <v>-1.880000000000031</v>
      </c>
      <c r="J38" s="24">
        <f t="shared" si="28"/>
        <v>23.848999999999947</v>
      </c>
      <c r="K38" s="24"/>
      <c r="L38" s="24"/>
      <c r="M38" s="24"/>
      <c r="N38" s="24"/>
      <c r="Q38" s="61">
        <f>(J38/C38)^(1/7)-1</f>
        <v>-2.8218424314900514E-2</v>
      </c>
      <c r="R38" s="61" t="e">
        <f>(I38/C38)^(1/6)-1</f>
        <v>#NUM!</v>
      </c>
      <c r="S38" s="61">
        <f>(J38/G38)^(1/3)-1</f>
        <v>5.9843186384291798</v>
      </c>
      <c r="T38" s="61">
        <f>(I38/F38)^(1/3)-1</f>
        <v>-1.3177327946307464</v>
      </c>
    </row>
    <row r="39" spans="1:20" s="59" customFormat="1" ht="13" x14ac:dyDescent="0.15">
      <c r="A39" s="59" t="s">
        <v>267</v>
      </c>
      <c r="B39" s="62"/>
      <c r="C39" s="62"/>
      <c r="D39" s="62"/>
      <c r="E39" s="62"/>
      <c r="F39" s="62"/>
      <c r="G39" s="62"/>
      <c r="H39" s="62"/>
      <c r="I39" s="62"/>
      <c r="J39" s="62"/>
      <c r="K39" s="60"/>
      <c r="L39" s="60"/>
      <c r="M39" s="60"/>
      <c r="N39" s="60"/>
    </row>
    <row r="40" spans="1:20" s="59" customFormat="1" ht="13" x14ac:dyDescent="0.15">
      <c r="A40" s="59" t="s">
        <v>268</v>
      </c>
      <c r="B40" s="63">
        <f t="shared" ref="B40:J40" si="29">B35/B33</f>
        <v>0.29498364231188662</v>
      </c>
      <c r="C40" s="63">
        <f t="shared" si="29"/>
        <v>0.24896907216494837</v>
      </c>
      <c r="D40" s="63">
        <f t="shared" si="29"/>
        <v>0.22006688963210705</v>
      </c>
      <c r="E40" s="63">
        <f t="shared" si="29"/>
        <v>0.22809356441643436</v>
      </c>
      <c r="F40" s="63">
        <f t="shared" si="29"/>
        <v>0.18359102939128011</v>
      </c>
      <c r="G40" s="63">
        <f t="shared" si="29"/>
        <v>1.123534010946053</v>
      </c>
      <c r="H40" s="63">
        <f t="shared" si="29"/>
        <v>0.64121435142594452</v>
      </c>
      <c r="I40" s="63">
        <f t="shared" si="29"/>
        <v>-0.26717924074963917</v>
      </c>
      <c r="J40" s="63">
        <f t="shared" si="29"/>
        <v>-0.12481006025674651</v>
      </c>
      <c r="K40" s="63" t="e">
        <f t="shared" ref="K40" si="30">K35/K36</f>
        <v>#DIV/0!</v>
      </c>
      <c r="L40" s="63"/>
      <c r="M40" s="63"/>
      <c r="N40" s="63"/>
    </row>
    <row r="41" spans="1:20" s="59" customFormat="1" ht="13" x14ac:dyDescent="0.15">
      <c r="B41" s="63"/>
      <c r="C41" s="63"/>
      <c r="D41" s="63"/>
      <c r="E41" s="63"/>
      <c r="F41" s="63"/>
      <c r="G41" s="63"/>
      <c r="H41" s="63"/>
      <c r="I41" s="63"/>
      <c r="J41" s="63"/>
      <c r="K41" s="63"/>
      <c r="L41" s="63"/>
      <c r="M41" s="63"/>
      <c r="N41" s="63"/>
    </row>
    <row r="42" spans="1:20" s="59" customFormat="1" ht="13" x14ac:dyDescent="0.15">
      <c r="A42" s="59" t="s">
        <v>269</v>
      </c>
      <c r="B42" s="62"/>
      <c r="C42" s="62"/>
      <c r="D42" s="62"/>
      <c r="E42" s="62"/>
      <c r="F42" s="62"/>
      <c r="G42" s="62"/>
      <c r="H42" s="62"/>
      <c r="I42" s="62"/>
      <c r="J42" s="62"/>
      <c r="K42" s="63"/>
      <c r="L42" s="63"/>
      <c r="M42" s="63"/>
      <c r="N42" s="63"/>
    </row>
    <row r="43" spans="1:20" s="59" customFormat="1" ht="13" x14ac:dyDescent="0.15">
      <c r="A43" s="59" t="s">
        <v>270</v>
      </c>
      <c r="B43" s="63">
        <f t="shared" ref="B43:J43" si="31">B42/B38</f>
        <v>0</v>
      </c>
      <c r="C43" s="63">
        <f t="shared" si="31"/>
        <v>0</v>
      </c>
      <c r="D43" s="63">
        <f t="shared" si="31"/>
        <v>0</v>
      </c>
      <c r="E43" s="63">
        <f t="shared" si="31"/>
        <v>0</v>
      </c>
      <c r="F43" s="63">
        <f t="shared" si="31"/>
        <v>0</v>
      </c>
      <c r="G43" s="63">
        <f t="shared" si="31"/>
        <v>0</v>
      </c>
      <c r="H43" s="63">
        <f t="shared" si="31"/>
        <v>0</v>
      </c>
      <c r="I43" s="63">
        <f t="shared" si="31"/>
        <v>0</v>
      </c>
      <c r="J43" s="63">
        <f t="shared" si="31"/>
        <v>0</v>
      </c>
      <c r="K43" s="63"/>
      <c r="L43" s="63"/>
      <c r="M43" s="63"/>
      <c r="N43" s="63"/>
    </row>
    <row r="44" spans="1:20" s="59" customFormat="1" ht="13" x14ac:dyDescent="0.15">
      <c r="A44" s="59" t="s">
        <v>271</v>
      </c>
      <c r="B44" s="62"/>
      <c r="C44" s="62"/>
      <c r="D44" s="62"/>
      <c r="E44" s="62"/>
      <c r="F44" s="62"/>
      <c r="G44" s="62"/>
      <c r="H44" s="62"/>
      <c r="I44" s="62"/>
      <c r="J44" s="62"/>
      <c r="K44" s="63"/>
      <c r="L44" s="63"/>
      <c r="M44" s="63"/>
      <c r="N44" s="63"/>
    </row>
    <row r="45" spans="1:20" s="59" customFormat="1" ht="13" x14ac:dyDescent="0.15"/>
    <row r="46" spans="1:20" s="59" customFormat="1" ht="13" x14ac:dyDescent="0.15">
      <c r="A46" s="21" t="s">
        <v>272</v>
      </c>
      <c r="B46" s="21"/>
      <c r="C46" s="21"/>
      <c r="D46" s="21"/>
      <c r="E46" s="21"/>
      <c r="F46" s="21"/>
      <c r="G46" s="21"/>
      <c r="H46" s="21"/>
      <c r="I46" s="21"/>
      <c r="J46" s="21"/>
      <c r="K46" s="21"/>
      <c r="L46" s="21"/>
      <c r="M46" s="21"/>
      <c r="N46" s="21"/>
    </row>
    <row r="47" spans="1:20" s="59" customFormat="1" ht="13" x14ac:dyDescent="0.15">
      <c r="A47" s="59" t="s">
        <v>273</v>
      </c>
      <c r="B47" s="60"/>
      <c r="C47" s="60"/>
      <c r="D47" s="60"/>
      <c r="E47" s="60"/>
      <c r="F47" s="60"/>
      <c r="G47" s="60"/>
      <c r="H47" s="60">
        <v>440.26600000000002</v>
      </c>
      <c r="I47" s="60">
        <v>570.02200000000005</v>
      </c>
      <c r="J47" s="60">
        <v>778.97799999999995</v>
      </c>
      <c r="K47" s="60"/>
      <c r="L47" s="60"/>
      <c r="M47" s="60"/>
      <c r="N47" s="60"/>
    </row>
    <row r="48" spans="1:20" s="59" customFormat="1" ht="13" x14ac:dyDescent="0.15">
      <c r="A48" s="59" t="s">
        <v>274</v>
      </c>
      <c r="B48" s="60"/>
      <c r="C48" s="60"/>
      <c r="D48" s="60"/>
      <c r="E48" s="60"/>
      <c r="F48" s="60"/>
      <c r="G48" s="60"/>
      <c r="H48" s="60">
        <v>0</v>
      </c>
      <c r="I48" s="60">
        <v>0</v>
      </c>
      <c r="J48" s="60">
        <v>0</v>
      </c>
      <c r="K48" s="60"/>
      <c r="L48" s="60"/>
      <c r="M48" s="60"/>
      <c r="N48" s="60"/>
    </row>
    <row r="49" spans="1:15" s="59" customFormat="1" ht="13" x14ac:dyDescent="0.15">
      <c r="A49" s="59" t="s">
        <v>275</v>
      </c>
      <c r="B49" s="60"/>
      <c r="C49" s="60"/>
      <c r="D49" s="60"/>
      <c r="E49" s="60"/>
      <c r="F49" s="60"/>
      <c r="G49" s="60"/>
      <c r="H49" s="60">
        <v>24.923999999999999</v>
      </c>
      <c r="I49" s="60">
        <f>69.174+0.098</f>
        <v>69.272000000000006</v>
      </c>
      <c r="J49" s="60">
        <f>0.225+63.79</f>
        <v>64.015000000000001</v>
      </c>
      <c r="K49" s="60"/>
      <c r="L49" s="60"/>
      <c r="M49" s="60"/>
      <c r="N49" s="60"/>
    </row>
    <row r="50" spans="1:15" s="59" customFormat="1" ht="13" x14ac:dyDescent="0.15">
      <c r="A50" s="59" t="s">
        <v>276</v>
      </c>
      <c r="B50" s="60"/>
      <c r="C50" s="60"/>
      <c r="D50" s="60"/>
      <c r="E50" s="60"/>
      <c r="F50" s="60"/>
      <c r="G50" s="60"/>
      <c r="H50" s="60">
        <f>17.095+5.373</f>
        <v>22.468</v>
      </c>
      <c r="I50" s="60">
        <f>6.026+39.39+30.694</f>
        <v>76.11</v>
      </c>
      <c r="J50" s="60">
        <f>1.059+108.655+29.716</f>
        <v>139.43</v>
      </c>
      <c r="K50" s="60"/>
      <c r="L50" s="60"/>
      <c r="M50" s="60"/>
      <c r="N50" s="60"/>
    </row>
    <row r="51" spans="1:15" s="59" customFormat="1" ht="13" x14ac:dyDescent="0.15">
      <c r="A51" s="59" t="s">
        <v>277</v>
      </c>
      <c r="B51" s="60"/>
      <c r="C51" s="60"/>
      <c r="D51" s="60"/>
      <c r="E51" s="60"/>
      <c r="F51" s="60"/>
      <c r="G51" s="60"/>
      <c r="H51" s="60">
        <v>0.28100000000000003</v>
      </c>
      <c r="I51" s="60">
        <v>1.0489999999999999</v>
      </c>
      <c r="J51" s="60">
        <v>1.3460000000000001</v>
      </c>
      <c r="K51" s="60"/>
      <c r="L51" s="60"/>
      <c r="M51" s="60"/>
      <c r="N51" s="60"/>
    </row>
    <row r="52" spans="1:15" s="59" customFormat="1" ht="13" x14ac:dyDescent="0.15">
      <c r="A52" s="59" t="s">
        <v>278</v>
      </c>
      <c r="B52" s="60"/>
      <c r="C52" s="60"/>
      <c r="D52" s="60"/>
      <c r="E52" s="60"/>
      <c r="F52" s="60"/>
      <c r="G52" s="60"/>
      <c r="H52" s="60">
        <v>1.2589999999999999</v>
      </c>
      <c r="I52" s="60">
        <f>2.023+26</f>
        <v>28.023</v>
      </c>
      <c r="J52" s="60">
        <f>8.775+56</f>
        <v>64.775000000000006</v>
      </c>
      <c r="K52" s="60"/>
      <c r="L52" s="60"/>
      <c r="M52" s="60"/>
      <c r="N52" s="60"/>
    </row>
    <row r="53" spans="1:15" s="59" customFormat="1" ht="13" x14ac:dyDescent="0.15">
      <c r="A53" s="2" t="s">
        <v>279</v>
      </c>
      <c r="B53" s="24">
        <f t="shared" ref="B53" si="32">SUM(B47:B52)</f>
        <v>0</v>
      </c>
      <c r="C53" s="24">
        <f>SUM(C47:C52)</f>
        <v>0</v>
      </c>
      <c r="D53" s="24">
        <f t="shared" ref="D53:N53" si="33">SUM(D47:D52)</f>
        <v>0</v>
      </c>
      <c r="E53" s="24">
        <f t="shared" si="33"/>
        <v>0</v>
      </c>
      <c r="F53" s="24">
        <f t="shared" si="33"/>
        <v>0</v>
      </c>
      <c r="G53" s="24">
        <f t="shared" si="33"/>
        <v>0</v>
      </c>
      <c r="H53" s="24">
        <f t="shared" si="33"/>
        <v>489.19800000000004</v>
      </c>
      <c r="I53" s="24">
        <f t="shared" si="33"/>
        <v>744.47600000000011</v>
      </c>
      <c r="J53" s="24">
        <f t="shared" si="33"/>
        <v>1048.5440000000001</v>
      </c>
      <c r="K53" s="24">
        <f t="shared" si="33"/>
        <v>0</v>
      </c>
      <c r="L53" s="24">
        <f t="shared" si="33"/>
        <v>0</v>
      </c>
      <c r="M53" s="24">
        <f t="shared" si="33"/>
        <v>0</v>
      </c>
      <c r="N53" s="24">
        <f t="shared" si="33"/>
        <v>0</v>
      </c>
      <c r="O53" s="64"/>
    </row>
    <row r="54" spans="1:15" s="59" customFormat="1" ht="13" x14ac:dyDescent="0.15">
      <c r="B54" s="60"/>
      <c r="C54" s="60"/>
      <c r="D54" s="60"/>
      <c r="E54" s="60"/>
      <c r="F54" s="60"/>
      <c r="G54" s="60"/>
      <c r="H54" s="60"/>
      <c r="I54" s="60"/>
      <c r="J54" s="60"/>
      <c r="K54" s="60"/>
      <c r="L54" s="60"/>
      <c r="M54" s="60"/>
      <c r="N54" s="60"/>
    </row>
    <row r="55" spans="1:15" s="59" customFormat="1" ht="13" x14ac:dyDescent="0.15">
      <c r="A55" s="59" t="s">
        <v>280</v>
      </c>
      <c r="B55" s="60"/>
      <c r="C55" s="60"/>
      <c r="D55" s="60"/>
      <c r="E55" s="60"/>
      <c r="F55" s="60"/>
      <c r="G55" s="60"/>
      <c r="H55" s="60"/>
      <c r="I55" s="60"/>
      <c r="J55" s="60"/>
      <c r="K55" s="60"/>
      <c r="L55" s="60"/>
      <c r="M55" s="60"/>
      <c r="N55" s="60"/>
    </row>
    <row r="56" spans="1:15" s="59" customFormat="1" ht="13" x14ac:dyDescent="0.15">
      <c r="A56" s="59" t="s">
        <v>281</v>
      </c>
      <c r="B56" s="60"/>
      <c r="C56" s="60"/>
      <c r="D56" s="60"/>
      <c r="E56" s="60"/>
      <c r="F56" s="60"/>
      <c r="G56" s="60"/>
      <c r="H56" s="60"/>
      <c r="I56" s="60"/>
      <c r="J56" s="60"/>
      <c r="K56" s="60"/>
      <c r="L56" s="60"/>
      <c r="M56" s="60"/>
      <c r="N56" s="60"/>
    </row>
    <row r="57" spans="1:15" s="59" customFormat="1" ht="13" x14ac:dyDescent="0.15">
      <c r="A57" s="59" t="s">
        <v>282</v>
      </c>
      <c r="B57" s="60"/>
      <c r="C57" s="60"/>
      <c r="D57" s="60"/>
      <c r="E57" s="60"/>
      <c r="F57" s="60"/>
      <c r="G57" s="60"/>
      <c r="H57" s="60">
        <v>1.54</v>
      </c>
      <c r="I57" s="60">
        <v>2.27</v>
      </c>
      <c r="J57" s="60">
        <v>1.724</v>
      </c>
      <c r="K57" s="60"/>
      <c r="L57" s="60"/>
      <c r="M57" s="60"/>
      <c r="N57" s="60"/>
    </row>
    <row r="58" spans="1:15" s="59" customFormat="1" ht="13" x14ac:dyDescent="0.15">
      <c r="A58" s="59" t="s">
        <v>312</v>
      </c>
      <c r="B58" s="60"/>
      <c r="C58" s="60"/>
      <c r="D58" s="60"/>
      <c r="E58" s="60"/>
      <c r="F58" s="60"/>
      <c r="G58" s="60"/>
      <c r="H58" s="60">
        <f>68.003+58.592</f>
        <v>126.595</v>
      </c>
      <c r="I58" s="60">
        <f>168.771+147.118</f>
        <v>315.88900000000001</v>
      </c>
      <c r="J58" s="60">
        <f>168.446+123.937</f>
        <v>292.38299999999998</v>
      </c>
      <c r="K58" s="60"/>
      <c r="L58" s="60"/>
      <c r="M58" s="60"/>
      <c r="N58" s="60"/>
    </row>
    <row r="59" spans="1:15" s="59" customFormat="1" ht="13" x14ac:dyDescent="0.15">
      <c r="A59" s="59" t="s">
        <v>283</v>
      </c>
      <c r="B59" s="60"/>
      <c r="C59" s="60"/>
      <c r="D59" s="60"/>
      <c r="E59" s="60"/>
      <c r="F59" s="60"/>
      <c r="G59" s="60"/>
      <c r="H59" s="60">
        <v>0.68300000000000005</v>
      </c>
      <c r="I59" s="60">
        <v>6.32</v>
      </c>
      <c r="J59" s="60">
        <v>2.3519999999999999</v>
      </c>
      <c r="K59" s="60"/>
      <c r="L59" s="60"/>
      <c r="M59" s="60"/>
      <c r="N59" s="60"/>
    </row>
    <row r="60" spans="1:15" s="59" customFormat="1" ht="13" x14ac:dyDescent="0.15">
      <c r="A60" s="59" t="s">
        <v>284</v>
      </c>
      <c r="B60" s="60"/>
      <c r="C60" s="60"/>
      <c r="D60" s="60"/>
      <c r="E60" s="60"/>
      <c r="F60" s="60"/>
      <c r="G60" s="60"/>
      <c r="H60" s="60">
        <f>13.218+4.15</f>
        <v>17.368000000000002</v>
      </c>
      <c r="I60" s="60">
        <f>13.595+8.051</f>
        <v>21.646000000000001</v>
      </c>
      <c r="J60" s="60">
        <f>8.034+30.311</f>
        <v>38.344999999999999</v>
      </c>
      <c r="K60" s="60"/>
      <c r="L60" s="60"/>
      <c r="M60" s="60"/>
      <c r="N60" s="60"/>
    </row>
    <row r="61" spans="1:15" s="59" customFormat="1" ht="13" x14ac:dyDescent="0.15">
      <c r="A61" s="59" t="s">
        <v>285</v>
      </c>
      <c r="B61" s="60"/>
      <c r="C61" s="60"/>
      <c r="D61" s="60"/>
      <c r="E61" s="60"/>
      <c r="F61" s="60"/>
      <c r="G61" s="60"/>
      <c r="H61" s="60">
        <f>6.074+0.2+7.15</f>
        <v>13.423999999999999</v>
      </c>
      <c r="I61" s="60">
        <f>0.309+6.84+8.662</f>
        <v>15.811</v>
      </c>
      <c r="J61" s="60">
        <f>0.315+21.157+0.004+4.562</f>
        <v>26.038000000000004</v>
      </c>
      <c r="K61" s="60"/>
      <c r="L61" s="60"/>
      <c r="M61" s="60"/>
      <c r="N61" s="60"/>
    </row>
    <row r="62" spans="1:15" s="59" customFormat="1" ht="13" x14ac:dyDescent="0.15">
      <c r="A62" s="59" t="s">
        <v>286</v>
      </c>
      <c r="B62" s="60"/>
      <c r="C62" s="60"/>
      <c r="D62" s="60"/>
      <c r="E62" s="60"/>
      <c r="F62" s="60"/>
      <c r="G62" s="60"/>
      <c r="H62" s="60">
        <v>4.641</v>
      </c>
      <c r="I62" s="60">
        <v>2.758</v>
      </c>
      <c r="J62" s="60">
        <v>6.2949999999999999</v>
      </c>
      <c r="K62" s="60"/>
      <c r="L62" s="60"/>
      <c r="M62" s="60"/>
      <c r="N62" s="60"/>
    </row>
    <row r="63" spans="1:15" s="59" customFormat="1" ht="13" x14ac:dyDescent="0.15">
      <c r="A63" s="2" t="s">
        <v>287</v>
      </c>
      <c r="B63" s="24">
        <f t="shared" ref="B63:J63" si="34">SUM(B57:B62)</f>
        <v>0</v>
      </c>
      <c r="C63" s="24">
        <f t="shared" si="34"/>
        <v>0</v>
      </c>
      <c r="D63" s="24">
        <f t="shared" si="34"/>
        <v>0</v>
      </c>
      <c r="E63" s="24">
        <f t="shared" si="34"/>
        <v>0</v>
      </c>
      <c r="F63" s="24">
        <f t="shared" si="34"/>
        <v>0</v>
      </c>
      <c r="G63" s="24">
        <f t="shared" si="34"/>
        <v>0</v>
      </c>
      <c r="H63" s="24">
        <f t="shared" si="34"/>
        <v>164.25099999999998</v>
      </c>
      <c r="I63" s="24">
        <f t="shared" si="34"/>
        <v>364.69399999999996</v>
      </c>
      <c r="J63" s="24">
        <f t="shared" si="34"/>
        <v>367.137</v>
      </c>
      <c r="K63" s="24">
        <f t="shared" ref="K63:N63" si="35">SUM(K57:K61)</f>
        <v>0</v>
      </c>
      <c r="L63" s="24">
        <f t="shared" si="35"/>
        <v>0</v>
      </c>
      <c r="M63" s="24">
        <f t="shared" si="35"/>
        <v>0</v>
      </c>
      <c r="N63" s="24">
        <f t="shared" si="35"/>
        <v>0</v>
      </c>
    </row>
    <row r="64" spans="1:15" s="59" customFormat="1" ht="13" x14ac:dyDescent="0.15">
      <c r="A64" s="59" t="s">
        <v>247</v>
      </c>
      <c r="B64" s="60"/>
      <c r="C64" s="60"/>
      <c r="D64" s="60"/>
      <c r="E64" s="60"/>
      <c r="F64" s="60"/>
      <c r="G64" s="60"/>
      <c r="H64" s="60"/>
      <c r="I64" s="60"/>
      <c r="J64" s="60">
        <v>0</v>
      </c>
      <c r="K64" s="60"/>
      <c r="L64" s="60"/>
      <c r="M64" s="60"/>
      <c r="N64" s="60"/>
    </row>
    <row r="65" spans="1:16" s="59" customFormat="1" ht="13" x14ac:dyDescent="0.15">
      <c r="A65" s="59" t="s">
        <v>288</v>
      </c>
      <c r="B65" s="60"/>
      <c r="C65" s="60"/>
      <c r="D65" s="60"/>
      <c r="E65" s="60"/>
      <c r="F65" s="60"/>
      <c r="G65" s="60"/>
      <c r="H65" s="60">
        <v>46.01</v>
      </c>
      <c r="I65" s="60">
        <v>68.108000000000004</v>
      </c>
      <c r="J65" s="60">
        <v>68.56</v>
      </c>
      <c r="K65" s="60"/>
      <c r="L65" s="60"/>
      <c r="M65" s="60"/>
      <c r="N65" s="60"/>
    </row>
    <row r="66" spans="1:16" s="59" customFormat="1" ht="13" x14ac:dyDescent="0.15">
      <c r="A66" s="59" t="s">
        <v>284</v>
      </c>
      <c r="B66" s="60"/>
      <c r="C66" s="60"/>
      <c r="D66" s="60"/>
      <c r="E66" s="60"/>
      <c r="F66" s="60"/>
      <c r="G66" s="60"/>
      <c r="H66" s="60">
        <v>83.956999999999994</v>
      </c>
      <c r="I66" s="60">
        <v>36.654000000000003</v>
      </c>
      <c r="J66" s="60">
        <v>106.03700000000001</v>
      </c>
      <c r="K66" s="60"/>
      <c r="L66" s="60"/>
      <c r="M66" s="60"/>
      <c r="N66" s="60"/>
    </row>
    <row r="67" spans="1:16" s="59" customFormat="1" ht="13" x14ac:dyDescent="0.15">
      <c r="A67" s="59" t="s">
        <v>289</v>
      </c>
      <c r="B67" s="60"/>
      <c r="C67" s="60"/>
      <c r="D67" s="60"/>
      <c r="E67" s="60"/>
      <c r="F67" s="60"/>
      <c r="G67" s="60"/>
      <c r="H67" s="60">
        <f>53.261+80.006</f>
        <v>133.267</v>
      </c>
      <c r="I67" s="60">
        <f>72.088+114.616</f>
        <v>186.70400000000001</v>
      </c>
      <c r="J67" s="60">
        <f>139.966+232.386</f>
        <v>372.35199999999998</v>
      </c>
      <c r="K67" s="60"/>
      <c r="L67" s="60"/>
      <c r="M67" s="60"/>
      <c r="N67" s="60"/>
    </row>
    <row r="68" spans="1:16" s="59" customFormat="1" ht="13" x14ac:dyDescent="0.15">
      <c r="A68" s="59" t="s">
        <v>290</v>
      </c>
      <c r="B68" s="60"/>
      <c r="C68" s="60"/>
      <c r="D68" s="60"/>
      <c r="E68" s="60"/>
      <c r="F68" s="60"/>
      <c r="G68" s="60"/>
      <c r="H68" s="60">
        <f>0.241+41.305+10.178+10</f>
        <v>61.724000000000004</v>
      </c>
      <c r="I68" s="60">
        <f>2.161+63.579+22.481</f>
        <v>88.221000000000004</v>
      </c>
      <c r="J68" s="60">
        <f>2.9+100.666+30.727</f>
        <v>134.29300000000001</v>
      </c>
      <c r="K68" s="60"/>
      <c r="L68" s="60"/>
      <c r="M68" s="60"/>
      <c r="N68" s="60"/>
    </row>
    <row r="69" spans="1:16" s="59" customFormat="1" ht="13" x14ac:dyDescent="0.15">
      <c r="A69" s="2" t="s">
        <v>291</v>
      </c>
      <c r="B69" s="24">
        <f t="shared" ref="B69:N69" si="36">SUM(B64:B68)</f>
        <v>0</v>
      </c>
      <c r="C69" s="24">
        <f t="shared" si="36"/>
        <v>0</v>
      </c>
      <c r="D69" s="24">
        <f t="shared" si="36"/>
        <v>0</v>
      </c>
      <c r="E69" s="24">
        <f t="shared" si="36"/>
        <v>0</v>
      </c>
      <c r="F69" s="24">
        <f t="shared" si="36"/>
        <v>0</v>
      </c>
      <c r="G69" s="24">
        <f t="shared" si="36"/>
        <v>0</v>
      </c>
      <c r="H69" s="24">
        <f t="shared" si="36"/>
        <v>324.95799999999997</v>
      </c>
      <c r="I69" s="24">
        <f t="shared" si="36"/>
        <v>379.68700000000001</v>
      </c>
      <c r="J69" s="24">
        <f t="shared" si="36"/>
        <v>681.24199999999996</v>
      </c>
      <c r="K69" s="24">
        <f t="shared" si="36"/>
        <v>0</v>
      </c>
      <c r="L69" s="24">
        <f t="shared" si="36"/>
        <v>0</v>
      </c>
      <c r="M69" s="24">
        <f t="shared" si="36"/>
        <v>0</v>
      </c>
      <c r="N69" s="24">
        <f t="shared" si="36"/>
        <v>0</v>
      </c>
    </row>
    <row r="70" spans="1:16" s="59" customFormat="1" ht="13" x14ac:dyDescent="0.15">
      <c r="A70" s="2" t="s">
        <v>292</v>
      </c>
      <c r="B70" s="24">
        <f t="shared" ref="B70:N70" si="37">B69+B63</f>
        <v>0</v>
      </c>
      <c r="C70" s="24">
        <f t="shared" si="37"/>
        <v>0</v>
      </c>
      <c r="D70" s="24">
        <f t="shared" si="37"/>
        <v>0</v>
      </c>
      <c r="E70" s="24">
        <f t="shared" si="37"/>
        <v>0</v>
      </c>
      <c r="F70" s="24">
        <f t="shared" si="37"/>
        <v>0</v>
      </c>
      <c r="G70" s="24">
        <f t="shared" si="37"/>
        <v>0</v>
      </c>
      <c r="H70" s="24">
        <f t="shared" si="37"/>
        <v>489.20899999999995</v>
      </c>
      <c r="I70" s="24">
        <f t="shared" si="37"/>
        <v>744.38099999999997</v>
      </c>
      <c r="J70" s="24">
        <f t="shared" si="37"/>
        <v>1048.3789999999999</v>
      </c>
      <c r="K70" s="24">
        <f t="shared" si="37"/>
        <v>0</v>
      </c>
      <c r="L70" s="24">
        <f t="shared" si="37"/>
        <v>0</v>
      </c>
      <c r="M70" s="24">
        <f t="shared" si="37"/>
        <v>0</v>
      </c>
      <c r="N70" s="24">
        <f t="shared" si="37"/>
        <v>0</v>
      </c>
      <c r="P70" s="65"/>
    </row>
    <row r="71" spans="1:16" s="59" customFormat="1" ht="13" x14ac:dyDescent="0.15">
      <c r="A71" s="66" t="s">
        <v>293</v>
      </c>
      <c r="B71" s="67">
        <f t="shared" ref="B71:N71" si="38">B70-B53</f>
        <v>0</v>
      </c>
      <c r="C71" s="67">
        <f t="shared" si="38"/>
        <v>0</v>
      </c>
      <c r="D71" s="67">
        <f t="shared" si="38"/>
        <v>0</v>
      </c>
      <c r="E71" s="67">
        <f t="shared" si="38"/>
        <v>0</v>
      </c>
      <c r="F71" s="67">
        <f t="shared" si="38"/>
        <v>0</v>
      </c>
      <c r="G71" s="67">
        <f t="shared" si="38"/>
        <v>0</v>
      </c>
      <c r="H71" s="67">
        <f t="shared" si="38"/>
        <v>1.0999999999910415E-2</v>
      </c>
      <c r="I71" s="67">
        <f t="shared" si="38"/>
        <v>-9.5000000000140972E-2</v>
      </c>
      <c r="J71" s="67">
        <f t="shared" si="38"/>
        <v>-0.16500000000019099</v>
      </c>
      <c r="K71" s="67">
        <f t="shared" si="38"/>
        <v>0</v>
      </c>
      <c r="L71" s="67">
        <f t="shared" si="38"/>
        <v>0</v>
      </c>
      <c r="M71" s="67">
        <f t="shared" si="38"/>
        <v>0</v>
      </c>
      <c r="N71" s="67">
        <f t="shared" si="38"/>
        <v>0</v>
      </c>
      <c r="P71" s="65"/>
    </row>
    <row r="72" spans="1:16" s="59" customFormat="1" ht="13" x14ac:dyDescent="0.15">
      <c r="B72" s="60"/>
      <c r="C72" s="60"/>
      <c r="D72" s="60"/>
      <c r="E72" s="60"/>
      <c r="F72" s="60"/>
      <c r="G72" s="60"/>
      <c r="H72" s="60"/>
      <c r="I72" s="60"/>
      <c r="J72" s="60"/>
      <c r="K72" s="60">
        <f>K69-K49+K50</f>
        <v>0</v>
      </c>
      <c r="L72" s="60">
        <f>L69-L49+L50</f>
        <v>0</v>
      </c>
      <c r="M72" s="60"/>
      <c r="N72" s="60"/>
      <c r="P72" s="65"/>
    </row>
    <row r="73" spans="1:16" s="59" customFormat="1" ht="13" x14ac:dyDescent="0.15">
      <c r="A73" s="59" t="s">
        <v>294</v>
      </c>
      <c r="B73" s="60">
        <f t="shared" ref="B73:N73" si="39">B47+B48+B51</f>
        <v>0</v>
      </c>
      <c r="C73" s="60">
        <f t="shared" si="39"/>
        <v>0</v>
      </c>
      <c r="D73" s="60">
        <f t="shared" si="39"/>
        <v>0</v>
      </c>
      <c r="E73" s="60">
        <f t="shared" si="39"/>
        <v>0</v>
      </c>
      <c r="F73" s="60">
        <f t="shared" si="39"/>
        <v>0</v>
      </c>
      <c r="G73" s="60">
        <f t="shared" si="39"/>
        <v>0</v>
      </c>
      <c r="H73" s="60">
        <f t="shared" si="39"/>
        <v>440.54700000000003</v>
      </c>
      <c r="I73" s="60">
        <f t="shared" si="39"/>
        <v>571.07100000000003</v>
      </c>
      <c r="J73" s="60">
        <f t="shared" si="39"/>
        <v>780.32399999999996</v>
      </c>
      <c r="K73" s="60">
        <f t="shared" si="39"/>
        <v>0</v>
      </c>
      <c r="L73" s="60">
        <f t="shared" si="39"/>
        <v>0</v>
      </c>
      <c r="M73" s="60">
        <f t="shared" si="39"/>
        <v>0</v>
      </c>
      <c r="N73" s="60">
        <f t="shared" si="39"/>
        <v>0</v>
      </c>
      <c r="P73" s="65"/>
    </row>
    <row r="74" spans="1:16" s="59" customFormat="1" ht="13" x14ac:dyDescent="0.15">
      <c r="A74" s="59" t="s">
        <v>295</v>
      </c>
      <c r="B74" s="60">
        <f t="shared" ref="B74:N74" si="40">B63+B69-B50-B52-B67-B49</f>
        <v>0</v>
      </c>
      <c r="C74" s="60">
        <f t="shared" si="40"/>
        <v>0</v>
      </c>
      <c r="D74" s="60">
        <f t="shared" si="40"/>
        <v>0</v>
      </c>
      <c r="E74" s="60">
        <f t="shared" si="40"/>
        <v>0</v>
      </c>
      <c r="F74" s="60">
        <f t="shared" si="40"/>
        <v>0</v>
      </c>
      <c r="G74" s="60">
        <f t="shared" si="40"/>
        <v>0</v>
      </c>
      <c r="H74" s="60">
        <f t="shared" si="40"/>
        <v>307.29099999999994</v>
      </c>
      <c r="I74" s="60">
        <f t="shared" si="40"/>
        <v>384.27199999999993</v>
      </c>
      <c r="J74" s="60">
        <f t="shared" si="40"/>
        <v>407.8069999999999</v>
      </c>
      <c r="K74" s="60">
        <f t="shared" si="40"/>
        <v>0</v>
      </c>
      <c r="L74" s="60">
        <f t="shared" si="40"/>
        <v>0</v>
      </c>
      <c r="M74" s="60">
        <f t="shared" si="40"/>
        <v>0</v>
      </c>
      <c r="N74" s="60">
        <f t="shared" si="40"/>
        <v>0</v>
      </c>
      <c r="P74" s="65"/>
    </row>
    <row r="75" spans="1:16" s="59" customFormat="1" ht="13" x14ac:dyDescent="0.15">
      <c r="B75" s="60"/>
      <c r="C75" s="60"/>
      <c r="D75" s="60"/>
      <c r="E75" s="60"/>
      <c r="F75" s="60"/>
      <c r="G75" s="60"/>
      <c r="H75" s="60"/>
      <c r="I75" s="60"/>
      <c r="J75" s="60"/>
      <c r="K75" s="60"/>
      <c r="L75" s="60"/>
      <c r="M75" s="60"/>
      <c r="N75" s="60"/>
    </row>
    <row r="76" spans="1:16" s="59" customFormat="1" ht="13" x14ac:dyDescent="0.15">
      <c r="A76" s="59" t="s">
        <v>296</v>
      </c>
      <c r="B76" s="60"/>
      <c r="C76" s="60">
        <f t="shared" ref="C76:N76" si="41">C24-C35-((C69-C50-C49-C52-C67)-(B69-B49-B50-B52-B67))</f>
        <v>27.340000000000007</v>
      </c>
      <c r="D76" s="60">
        <f t="shared" si="41"/>
        <v>54.549999999999983</v>
      </c>
      <c r="E76" s="60">
        <f t="shared" si="41"/>
        <v>57.220000000000006</v>
      </c>
      <c r="F76" s="60">
        <f t="shared" si="41"/>
        <v>47.970000000000006</v>
      </c>
      <c r="G76" s="60">
        <f t="shared" si="41"/>
        <v>-1.4300000000000157</v>
      </c>
      <c r="H76" s="60">
        <f t="shared" si="41"/>
        <v>-134.62</v>
      </c>
      <c r="I76" s="60">
        <f t="shared" si="41"/>
        <v>110.57199999999993</v>
      </c>
      <c r="J76" s="60">
        <f t="shared" si="41"/>
        <v>26.530999999999985</v>
      </c>
      <c r="K76" s="60">
        <f t="shared" si="41"/>
        <v>40.669999999999959</v>
      </c>
      <c r="L76" s="60">
        <f t="shared" si="41"/>
        <v>0</v>
      </c>
      <c r="M76" s="60">
        <f t="shared" si="41"/>
        <v>0</v>
      </c>
      <c r="N76" s="60">
        <f t="shared" si="41"/>
        <v>0</v>
      </c>
    </row>
    <row r="77" spans="1:16" s="59" customFormat="1" ht="13" x14ac:dyDescent="0.15">
      <c r="A77" s="59" t="s">
        <v>297</v>
      </c>
      <c r="B77" s="60"/>
      <c r="C77" s="60">
        <f t="shared" ref="C77:N77" si="42">C76-(C57-B57+C59-B59+C27)</f>
        <v>26.540000000000006</v>
      </c>
      <c r="D77" s="60">
        <f t="shared" si="42"/>
        <v>53.749999999999986</v>
      </c>
      <c r="E77" s="60">
        <f t="shared" si="42"/>
        <v>56.27</v>
      </c>
      <c r="F77" s="60">
        <f t="shared" si="42"/>
        <v>46.810000000000009</v>
      </c>
      <c r="G77" s="60">
        <f t="shared" si="42"/>
        <v>-9.6500000000000163</v>
      </c>
      <c r="H77" s="60">
        <f t="shared" si="42"/>
        <v>-156.38300000000001</v>
      </c>
      <c r="I77" s="60">
        <f t="shared" si="42"/>
        <v>77.324999999999932</v>
      </c>
      <c r="J77" s="60">
        <f t="shared" si="42"/>
        <v>-8.5350000000000108</v>
      </c>
      <c r="K77" s="60">
        <f t="shared" si="42"/>
        <v>44.74599999999996</v>
      </c>
      <c r="L77" s="60">
        <f t="shared" si="42"/>
        <v>0</v>
      </c>
      <c r="M77" s="60">
        <f t="shared" si="42"/>
        <v>0</v>
      </c>
      <c r="N77" s="60">
        <f t="shared" si="42"/>
        <v>0</v>
      </c>
    </row>
    <row r="78" spans="1:16" s="59" customFormat="1" ht="13" x14ac:dyDescent="0.15">
      <c r="B78" s="60"/>
      <c r="C78" s="60"/>
      <c r="D78" s="60"/>
      <c r="E78" s="60"/>
      <c r="F78" s="60"/>
      <c r="G78" s="60"/>
      <c r="H78" s="60"/>
      <c r="I78" s="60"/>
      <c r="J78" s="60"/>
      <c r="K78" s="60"/>
      <c r="L78" s="60"/>
      <c r="M78" s="60"/>
      <c r="N78" s="60"/>
    </row>
    <row r="79" spans="1:16" s="59" customFormat="1" ht="13" x14ac:dyDescent="0.15">
      <c r="B79" s="60"/>
      <c r="C79" s="60"/>
      <c r="D79" s="60"/>
      <c r="E79" s="60"/>
      <c r="F79" s="60"/>
      <c r="G79" s="60"/>
      <c r="H79" s="60"/>
      <c r="I79" s="60"/>
      <c r="J79" s="60"/>
      <c r="K79" s="60"/>
      <c r="L79" s="60"/>
      <c r="M79" s="60"/>
      <c r="N79" s="60"/>
    </row>
    <row r="80" spans="1:16" s="59" customFormat="1" ht="13" x14ac:dyDescent="0.15">
      <c r="A80" s="59" t="s">
        <v>298</v>
      </c>
      <c r="B80" s="61"/>
      <c r="C80" s="61" t="e">
        <f t="shared" ref="C80:J80" si="43">C28/AVERAGE(C74,B74)</f>
        <v>#DIV/0!</v>
      </c>
      <c r="D80" s="61" t="e">
        <f t="shared" si="43"/>
        <v>#DIV/0!</v>
      </c>
      <c r="E80" s="61" t="e">
        <f t="shared" si="43"/>
        <v>#DIV/0!</v>
      </c>
      <c r="F80" s="61" t="e">
        <f t="shared" si="43"/>
        <v>#DIV/0!</v>
      </c>
      <c r="G80" s="61" t="e">
        <f t="shared" si="43"/>
        <v>#DIV/0!</v>
      </c>
      <c r="H80" s="61">
        <f t="shared" si="43"/>
        <v>-2.7010228089986547E-2</v>
      </c>
      <c r="I80" s="61">
        <f t="shared" si="43"/>
        <v>-9.8935310304339691E-2</v>
      </c>
      <c r="J80" s="61">
        <f t="shared" si="43"/>
        <v>1.429402875218241E-2</v>
      </c>
      <c r="K80" s="61" t="e">
        <f>K28/K74</f>
        <v>#DIV/0!</v>
      </c>
      <c r="L80" s="61" t="e">
        <f>L28/L74</f>
        <v>#DIV/0!</v>
      </c>
      <c r="M80" s="61" t="e">
        <f>M28/M74</f>
        <v>#DIV/0!</v>
      </c>
      <c r="N80" s="61" t="e">
        <f>N28/N74</f>
        <v>#DIV/0!</v>
      </c>
    </row>
    <row r="81" spans="1:14" s="59" customFormat="1" ht="13" x14ac:dyDescent="0.15">
      <c r="A81" s="59" t="s">
        <v>299</v>
      </c>
      <c r="B81" s="61"/>
      <c r="C81" s="61" t="e">
        <f t="shared" ref="C81:J81" si="44">(C28+C32)/AVERAGE(C73,B73)</f>
        <v>#DIV/0!</v>
      </c>
      <c r="D81" s="61" t="e">
        <f t="shared" si="44"/>
        <v>#DIV/0!</v>
      </c>
      <c r="E81" s="61" t="e">
        <f t="shared" si="44"/>
        <v>#DIV/0!</v>
      </c>
      <c r="F81" s="61" t="e">
        <f t="shared" si="44"/>
        <v>#DIV/0!</v>
      </c>
      <c r="G81" s="61" t="e">
        <f t="shared" si="44"/>
        <v>#DIV/0!</v>
      </c>
      <c r="H81" s="61">
        <f t="shared" si="44"/>
        <v>5.5612681507307825E-2</v>
      </c>
      <c r="I81" s="61">
        <f t="shared" si="44"/>
        <v>-3.8690493842537456E-2</v>
      </c>
      <c r="J81" s="61">
        <f t="shared" si="44"/>
        <v>2.9581284524509775E-2</v>
      </c>
      <c r="K81" s="61" t="e">
        <f>(K28+K32)/K73</f>
        <v>#DIV/0!</v>
      </c>
      <c r="L81" s="61" t="e">
        <f>(L28+L32)/L73</f>
        <v>#DIV/0!</v>
      </c>
      <c r="M81" s="61" t="e">
        <f>(M28+M32)/M73</f>
        <v>#DIV/0!</v>
      </c>
      <c r="N81" s="61" t="e">
        <f>(N28+N32)/N73</f>
        <v>#DIV/0!</v>
      </c>
    </row>
    <row r="82" spans="1:14" s="59" customFormat="1" ht="13" x14ac:dyDescent="0.15">
      <c r="A82" s="59" t="s">
        <v>300</v>
      </c>
      <c r="B82" s="61"/>
      <c r="C82" s="61" t="e">
        <f t="shared" ref="C82:J82" si="45">C36/AVERAGE(C47,B47)</f>
        <v>#DIV/0!</v>
      </c>
      <c r="D82" s="61" t="e">
        <f t="shared" si="45"/>
        <v>#DIV/0!</v>
      </c>
      <c r="E82" s="61" t="e">
        <f t="shared" si="45"/>
        <v>#DIV/0!</v>
      </c>
      <c r="F82" s="61" t="e">
        <f t="shared" si="45"/>
        <v>#DIV/0!</v>
      </c>
      <c r="G82" s="61" t="e">
        <f t="shared" si="45"/>
        <v>#DIV/0!</v>
      </c>
      <c r="H82" s="61">
        <f t="shared" si="45"/>
        <v>8.8582811300440475E-3</v>
      </c>
      <c r="I82" s="61">
        <f t="shared" si="45"/>
        <v>-5.2202936192452108E-2</v>
      </c>
      <c r="J82" s="61">
        <f t="shared" si="45"/>
        <v>3.1826538176426902E-2</v>
      </c>
      <c r="K82" s="61" t="e">
        <f>K36/(K47+K51)</f>
        <v>#DIV/0!</v>
      </c>
      <c r="L82" s="61" t="e">
        <f>L36/(L47+L51)</f>
        <v>#DIV/0!</v>
      </c>
      <c r="M82" s="61" t="e">
        <f>M36/(M47+M51)</f>
        <v>#DIV/0!</v>
      </c>
      <c r="N82" s="61" t="e">
        <f>N36/(N47+N51)</f>
        <v>#DIV/0!</v>
      </c>
    </row>
    <row r="83" spans="1:14" s="59" customFormat="1" ht="13" x14ac:dyDescent="0.15"/>
    <row r="84" spans="1:14" s="59" customFormat="1" ht="13" x14ac:dyDescent="0.15">
      <c r="A84" s="59" t="s">
        <v>301</v>
      </c>
      <c r="B84" s="60">
        <f t="shared" ref="B84:J84" si="46">B64/B2*365</f>
        <v>0</v>
      </c>
      <c r="C84" s="60">
        <f t="shared" si="46"/>
        <v>0</v>
      </c>
      <c r="D84" s="60">
        <f t="shared" si="46"/>
        <v>0</v>
      </c>
      <c r="E84" s="60">
        <f t="shared" si="46"/>
        <v>0</v>
      </c>
      <c r="F84" s="60">
        <f t="shared" si="46"/>
        <v>0</v>
      </c>
      <c r="G84" s="60">
        <f t="shared" si="46"/>
        <v>0</v>
      </c>
      <c r="H84" s="60">
        <f t="shared" si="46"/>
        <v>0</v>
      </c>
      <c r="I84" s="60">
        <f t="shared" si="46"/>
        <v>0</v>
      </c>
      <c r="J84" s="60">
        <f t="shared" si="46"/>
        <v>0</v>
      </c>
      <c r="K84" s="60">
        <v>65</v>
      </c>
      <c r="L84" s="60">
        <v>60</v>
      </c>
      <c r="M84" s="60">
        <f>L84</f>
        <v>60</v>
      </c>
      <c r="N84" s="60">
        <f>M84</f>
        <v>60</v>
      </c>
    </row>
    <row r="85" spans="1:14" s="59" customFormat="1" ht="13" x14ac:dyDescent="0.15">
      <c r="A85" s="59" t="s">
        <v>302</v>
      </c>
      <c r="B85" s="60">
        <f t="shared" ref="B85:J85" si="47">B65/B2*365</f>
        <v>0</v>
      </c>
      <c r="C85" s="60">
        <f t="shared" si="47"/>
        <v>0</v>
      </c>
      <c r="D85" s="60">
        <f t="shared" si="47"/>
        <v>0</v>
      </c>
      <c r="E85" s="60">
        <f t="shared" si="47"/>
        <v>0</v>
      </c>
      <c r="F85" s="60">
        <f t="shared" si="47"/>
        <v>0</v>
      </c>
      <c r="G85" s="60">
        <f t="shared" si="47"/>
        <v>0</v>
      </c>
      <c r="H85" s="60">
        <f t="shared" si="47"/>
        <v>98.960813199764289</v>
      </c>
      <c r="I85" s="60">
        <f t="shared" si="47"/>
        <v>100.43804290735729</v>
      </c>
      <c r="J85" s="60">
        <f t="shared" si="47"/>
        <v>55.094703516238198</v>
      </c>
      <c r="K85" s="60">
        <v>40</v>
      </c>
      <c r="L85" s="60">
        <v>45</v>
      </c>
      <c r="M85" s="60">
        <v>50</v>
      </c>
      <c r="N85" s="60">
        <f>M85</f>
        <v>50</v>
      </c>
    </row>
    <row r="86" spans="1:14" s="59" customFormat="1" ht="13" x14ac:dyDescent="0.15">
      <c r="A86" s="59" t="s">
        <v>303</v>
      </c>
      <c r="B86" s="60">
        <f t="shared" ref="B86:J86" si="48">B49/B2*365</f>
        <v>0</v>
      </c>
      <c r="C86" s="60">
        <f t="shared" si="48"/>
        <v>0</v>
      </c>
      <c r="D86" s="60">
        <f t="shared" si="48"/>
        <v>0</v>
      </c>
      <c r="E86" s="60">
        <f t="shared" si="48"/>
        <v>0</v>
      </c>
      <c r="F86" s="60">
        <f t="shared" si="48"/>
        <v>0</v>
      </c>
      <c r="G86" s="60">
        <f t="shared" si="48"/>
        <v>0</v>
      </c>
      <c r="H86" s="60">
        <f t="shared" si="48"/>
        <v>53.607896287566291</v>
      </c>
      <c r="I86" s="60">
        <f t="shared" si="48"/>
        <v>102.15457961294494</v>
      </c>
      <c r="J86" s="60">
        <f t="shared" si="48"/>
        <v>51.442348973045334</v>
      </c>
      <c r="K86" s="60">
        <v>70</v>
      </c>
      <c r="L86" s="60">
        <v>65</v>
      </c>
      <c r="M86" s="60">
        <v>55</v>
      </c>
      <c r="N86" s="60">
        <v>50</v>
      </c>
    </row>
    <row r="87" spans="1:14" s="59" customFormat="1" ht="13" x14ac:dyDescent="0.15">
      <c r="A87" s="59" t="s">
        <v>304</v>
      </c>
      <c r="B87" s="65">
        <f t="shared" ref="B87" si="49">B84+B85-B86</f>
        <v>0</v>
      </c>
      <c r="C87" s="65">
        <f>C84+C85-C86</f>
        <v>0</v>
      </c>
      <c r="D87" s="65">
        <f t="shared" ref="D87:J87" si="50">D84+D85-D86</f>
        <v>0</v>
      </c>
      <c r="E87" s="65">
        <f t="shared" si="50"/>
        <v>0</v>
      </c>
      <c r="F87" s="65">
        <f t="shared" si="50"/>
        <v>0</v>
      </c>
      <c r="G87" s="65">
        <f t="shared" si="50"/>
        <v>0</v>
      </c>
      <c r="H87" s="65">
        <f t="shared" si="50"/>
        <v>45.352916912197998</v>
      </c>
      <c r="I87" s="65">
        <f t="shared" si="50"/>
        <v>-1.7165367055876573</v>
      </c>
      <c r="J87" s="65">
        <f t="shared" si="50"/>
        <v>3.6523545431928639</v>
      </c>
      <c r="K87" s="65"/>
      <c r="L87" s="65"/>
      <c r="M87" s="65"/>
      <c r="N87" s="65"/>
    </row>
    <row r="88" spans="1:14" s="59" customFormat="1" ht="13" x14ac:dyDescent="0.15">
      <c r="A88" s="59" t="s">
        <v>305</v>
      </c>
      <c r="B88" s="65">
        <f t="shared" ref="B88:J88" si="51">(B69-B49-B50-B52+B61)/B2*365</f>
        <v>0</v>
      </c>
      <c r="C88" s="65">
        <f t="shared" si="51"/>
        <v>0</v>
      </c>
      <c r="D88" s="65">
        <f t="shared" si="51"/>
        <v>0</v>
      </c>
      <c r="E88" s="65">
        <f t="shared" si="51"/>
        <v>0</v>
      </c>
      <c r="F88" s="65">
        <f t="shared" si="51"/>
        <v>0</v>
      </c>
      <c r="G88" s="65">
        <f t="shared" si="51"/>
        <v>0</v>
      </c>
      <c r="H88" s="65">
        <f t="shared" si="51"/>
        <v>623.16921037124325</v>
      </c>
      <c r="I88" s="65">
        <f t="shared" si="51"/>
        <v>327.51785786432873</v>
      </c>
      <c r="J88" s="65">
        <f t="shared" si="51"/>
        <v>352.82789565110176</v>
      </c>
      <c r="K88" s="65"/>
      <c r="L88" s="65"/>
      <c r="M88" s="65"/>
      <c r="N88" s="65"/>
    </row>
    <row r="89" spans="1:14" s="59" customFormat="1" ht="13" x14ac:dyDescent="0.15"/>
    <row r="90" spans="1:14" s="59" customFormat="1" ht="13" x14ac:dyDescent="0.15">
      <c r="A90" s="59" t="s">
        <v>306</v>
      </c>
      <c r="B90" s="62" t="e">
        <f t="shared" ref="B90:J90" si="52">B2/B57</f>
        <v>#DIV/0!</v>
      </c>
      <c r="C90" s="62" t="e">
        <f t="shared" si="52"/>
        <v>#DIV/0!</v>
      </c>
      <c r="D90" s="62" t="e">
        <f t="shared" si="52"/>
        <v>#DIV/0!</v>
      </c>
      <c r="E90" s="62" t="e">
        <f t="shared" si="52"/>
        <v>#DIV/0!</v>
      </c>
      <c r="F90" s="62" t="e">
        <f t="shared" si="52"/>
        <v>#DIV/0!</v>
      </c>
      <c r="G90" s="62" t="e">
        <f t="shared" si="52"/>
        <v>#DIV/0!</v>
      </c>
      <c r="H90" s="62">
        <f t="shared" si="52"/>
        <v>110.19480519480518</v>
      </c>
      <c r="I90" s="62">
        <f t="shared" si="52"/>
        <v>109.0352422907489</v>
      </c>
      <c r="J90" s="62">
        <f t="shared" si="52"/>
        <v>263.46113689095125</v>
      </c>
      <c r="K90" s="62"/>
      <c r="L90" s="62"/>
      <c r="M90" s="62"/>
      <c r="N90" s="62"/>
    </row>
    <row r="91" spans="1:14" s="59" customFormat="1" ht="13" x14ac:dyDescent="0.15">
      <c r="A91" s="59" t="s">
        <v>307</v>
      </c>
      <c r="B91" s="62" t="e">
        <f t="shared" ref="B91:J91" si="53">B2/B73</f>
        <v>#DIV/0!</v>
      </c>
      <c r="C91" s="62" t="e">
        <f t="shared" si="53"/>
        <v>#DIV/0!</v>
      </c>
      <c r="D91" s="62" t="e">
        <f t="shared" si="53"/>
        <v>#DIV/0!</v>
      </c>
      <c r="E91" s="62" t="e">
        <f t="shared" si="53"/>
        <v>#DIV/0!</v>
      </c>
      <c r="F91" s="62" t="e">
        <f t="shared" si="53"/>
        <v>#DIV/0!</v>
      </c>
      <c r="G91" s="62" t="e">
        <f t="shared" si="53"/>
        <v>#DIV/0!</v>
      </c>
      <c r="H91" s="62">
        <f t="shared" si="53"/>
        <v>0.38520294088939427</v>
      </c>
      <c r="I91" s="62">
        <f t="shared" si="53"/>
        <v>0.43341370862817402</v>
      </c>
      <c r="J91" s="62">
        <f t="shared" si="53"/>
        <v>0.58207488171580013</v>
      </c>
      <c r="K91" s="62"/>
      <c r="L91" s="62"/>
      <c r="M91" s="62"/>
      <c r="N91" s="62"/>
    </row>
    <row r="92" spans="1:14" s="59" customFormat="1" ht="13" x14ac:dyDescent="0.15"/>
    <row r="93" spans="1:14" s="59" customFormat="1" ht="13" x14ac:dyDescent="0.15">
      <c r="A93" s="59" t="s">
        <v>308</v>
      </c>
      <c r="B93" s="61">
        <f t="shared" ref="B93:K93" si="54">B76/B36</f>
        <v>0</v>
      </c>
      <c r="C93" s="61">
        <f t="shared" si="54"/>
        <v>0.93822923816060388</v>
      </c>
      <c r="D93" s="61">
        <f t="shared" si="54"/>
        <v>0.93567753001715259</v>
      </c>
      <c r="E93" s="61">
        <f t="shared" si="54"/>
        <v>0.8984141937509813</v>
      </c>
      <c r="F93" s="61">
        <f t="shared" si="54"/>
        <v>0.81846101347892852</v>
      </c>
      <c r="G93" s="61">
        <f t="shared" si="54"/>
        <v>0.90506329113924122</v>
      </c>
      <c r="H93" s="61">
        <f t="shared" si="54"/>
        <v>-34.517948717948961</v>
      </c>
      <c r="I93" s="61">
        <f t="shared" si="54"/>
        <v>-4.1930982176715892</v>
      </c>
      <c r="J93" s="61">
        <f t="shared" si="54"/>
        <v>1.2358969581217707</v>
      </c>
      <c r="K93" s="61" t="e">
        <f t="shared" si="54"/>
        <v>#DIV/0!</v>
      </c>
      <c r="L93" s="61"/>
      <c r="M93" s="61"/>
      <c r="N93" s="61"/>
    </row>
    <row r="94" spans="1:14" s="59" customFormat="1" ht="13" x14ac:dyDescent="0.15">
      <c r="A94" s="59" t="s">
        <v>309</v>
      </c>
      <c r="B94" s="61">
        <f t="shared" ref="B94:K94" si="55">B77/B36</f>
        <v>0</v>
      </c>
      <c r="C94" s="61">
        <f t="shared" si="55"/>
        <v>0.91077556623198341</v>
      </c>
      <c r="D94" s="61">
        <f t="shared" si="55"/>
        <v>0.92195540308747859</v>
      </c>
      <c r="E94" s="61">
        <f t="shared" si="55"/>
        <v>0.88349819437902333</v>
      </c>
      <c r="F94" s="61">
        <f t="shared" si="55"/>
        <v>0.79866916908377417</v>
      </c>
      <c r="G94" s="61">
        <f t="shared" si="55"/>
        <v>6.1075949367088089</v>
      </c>
      <c r="H94" s="61">
        <f t="shared" si="55"/>
        <v>-40.098205128205407</v>
      </c>
      <c r="I94" s="61">
        <f t="shared" si="55"/>
        <v>-2.9323094425483447</v>
      </c>
      <c r="J94" s="61">
        <f t="shared" si="55"/>
        <v>-0.39758699399077807</v>
      </c>
      <c r="K94" s="61" t="e">
        <f t="shared" si="55"/>
        <v>#DIV/0!</v>
      </c>
      <c r="L94" s="61"/>
      <c r="M94" s="61"/>
      <c r="N94" s="6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C5E6-E318-4945-B80A-78D998473224}">
  <dimension ref="A1:AE82"/>
  <sheetViews>
    <sheetView workbookViewId="0">
      <selection activeCell="A8" sqref="A8:D8"/>
    </sheetView>
  </sheetViews>
  <sheetFormatPr baseColWidth="10" defaultColWidth="12.5" defaultRowHeight="15" x14ac:dyDescent="0.2"/>
  <cols>
    <col min="1" max="1" width="24.5" customWidth="1"/>
    <col min="2" max="2" width="33.83203125" bestFit="1" customWidth="1"/>
    <col min="3" max="3" width="17.83203125" bestFit="1" customWidth="1"/>
    <col min="4" max="4" width="26.1640625" customWidth="1"/>
    <col min="5" max="5" width="16.5" customWidth="1"/>
    <col min="6" max="6" width="19.33203125" customWidth="1"/>
    <col min="7" max="7" width="19.33203125" bestFit="1" customWidth="1"/>
    <col min="8" max="8" width="18.83203125" bestFit="1" customWidth="1"/>
    <col min="9" max="9" width="18.33203125" customWidth="1"/>
    <col min="10" max="10" width="47.33203125" customWidth="1"/>
    <col min="11" max="11" width="14.6640625" bestFit="1" customWidth="1"/>
    <col min="12" max="12" width="45.6640625" bestFit="1" customWidth="1"/>
    <col min="13" max="14" width="6.83203125" bestFit="1" customWidth="1"/>
    <col min="15" max="17" width="7.83203125" bestFit="1" customWidth="1"/>
    <col min="18" max="18" width="14.5" bestFit="1" customWidth="1"/>
    <col min="19" max="19" width="30.1640625" bestFit="1" customWidth="1"/>
    <col min="20" max="21" width="14.5" bestFit="1" customWidth="1"/>
    <col min="22" max="24" width="12.5" bestFit="1" customWidth="1"/>
    <col min="25" max="25" width="12.6640625" bestFit="1" customWidth="1"/>
    <col min="26" max="26" width="14.5" bestFit="1" customWidth="1"/>
    <col min="27" max="27" width="15.5" bestFit="1" customWidth="1"/>
    <col min="28" max="28" width="6.83203125" bestFit="1" customWidth="1"/>
    <col min="29" max="30" width="6.33203125" bestFit="1" customWidth="1"/>
    <col min="31" max="31" width="58.6640625" bestFit="1" customWidth="1"/>
    <col min="32" max="32" width="7.5" bestFit="1" customWidth="1"/>
    <col min="33" max="33" width="6.33203125" bestFit="1" customWidth="1"/>
    <col min="34" max="36" width="7.5" bestFit="1" customWidth="1"/>
  </cols>
  <sheetData>
    <row r="1" spans="1:4" x14ac:dyDescent="0.2">
      <c r="A1" s="80" t="s">
        <v>110</v>
      </c>
      <c r="B1" s="80"/>
      <c r="C1" s="80"/>
      <c r="D1" s="80"/>
    </row>
    <row r="2" spans="1:4" ht="16" x14ac:dyDescent="0.2">
      <c r="A2" s="31" t="s">
        <v>213</v>
      </c>
      <c r="B2" s="26" t="s">
        <v>113</v>
      </c>
      <c r="C2" s="26" t="s">
        <v>114</v>
      </c>
      <c r="D2" s="26" t="s">
        <v>115</v>
      </c>
    </row>
    <row r="3" spans="1:4" x14ac:dyDescent="0.2">
      <c r="A3" s="26">
        <v>2017</v>
      </c>
      <c r="B3" s="26">
        <v>116</v>
      </c>
      <c r="C3" s="26">
        <v>41</v>
      </c>
      <c r="D3" s="26">
        <v>17</v>
      </c>
    </row>
    <row r="4" spans="1:4" x14ac:dyDescent="0.2">
      <c r="A4" s="26">
        <v>2018</v>
      </c>
      <c r="B4" s="26">
        <v>125.4</v>
      </c>
      <c r="C4" s="26">
        <v>42</v>
      </c>
      <c r="D4" s="33">
        <v>19.5</v>
      </c>
    </row>
    <row r="5" spans="1:4" x14ac:dyDescent="0.2">
      <c r="A5" s="26">
        <v>2019</v>
      </c>
      <c r="B5" s="26">
        <v>140.5</v>
      </c>
      <c r="C5" s="26">
        <v>42.2</v>
      </c>
      <c r="D5" s="26">
        <v>20.2</v>
      </c>
    </row>
    <row r="6" spans="1:4" x14ac:dyDescent="0.2">
      <c r="A6" s="26">
        <v>2020</v>
      </c>
      <c r="B6" s="26">
        <v>157.5</v>
      </c>
      <c r="C6" s="26">
        <v>39.799999999999997</v>
      </c>
      <c r="D6" s="26">
        <v>57</v>
      </c>
    </row>
    <row r="7" spans="1:4" x14ac:dyDescent="0.2">
      <c r="A7" s="26"/>
      <c r="B7" s="26"/>
      <c r="C7" s="26"/>
      <c r="D7" s="26"/>
    </row>
    <row r="8" spans="1:4" x14ac:dyDescent="0.2">
      <c r="A8" s="80" t="s">
        <v>116</v>
      </c>
      <c r="B8" s="80"/>
      <c r="C8" s="80"/>
      <c r="D8" s="80"/>
    </row>
    <row r="9" spans="1:4" ht="16" x14ac:dyDescent="0.2">
      <c r="A9" s="30" t="s">
        <v>213</v>
      </c>
      <c r="B9" s="26" t="s">
        <v>113</v>
      </c>
      <c r="C9" s="26" t="s">
        <v>117</v>
      </c>
      <c r="D9" s="26"/>
    </row>
    <row r="10" spans="1:4" x14ac:dyDescent="0.2">
      <c r="A10" s="27">
        <v>2016</v>
      </c>
      <c r="B10" s="26">
        <v>0.5</v>
      </c>
      <c r="C10" s="26">
        <v>2</v>
      </c>
      <c r="D10" s="26"/>
    </row>
    <row r="11" spans="1:4" x14ac:dyDescent="0.2">
      <c r="A11" s="34">
        <v>2017</v>
      </c>
      <c r="B11" s="26">
        <v>0.7</v>
      </c>
      <c r="C11" s="26">
        <v>2.1</v>
      </c>
      <c r="D11" s="26"/>
    </row>
    <row r="12" spans="1:4" x14ac:dyDescent="0.2">
      <c r="A12" s="34">
        <v>2018</v>
      </c>
      <c r="B12" s="26">
        <v>0.9</v>
      </c>
      <c r="C12" s="26">
        <v>2.2999999999999998</v>
      </c>
      <c r="D12" s="26"/>
    </row>
    <row r="13" spans="1:4" x14ac:dyDescent="0.2">
      <c r="A13" s="34">
        <v>2019</v>
      </c>
      <c r="B13" s="26">
        <v>1.2</v>
      </c>
      <c r="C13" s="26">
        <v>2.6</v>
      </c>
      <c r="D13" s="26"/>
    </row>
    <row r="14" spans="1:4" x14ac:dyDescent="0.2">
      <c r="A14" s="34">
        <v>2020</v>
      </c>
      <c r="B14" s="26">
        <v>1.5</v>
      </c>
      <c r="C14" s="26">
        <v>0.9</v>
      </c>
      <c r="D14" s="26"/>
    </row>
    <row r="15" spans="1:4" x14ac:dyDescent="0.2">
      <c r="A15" s="34" t="s">
        <v>118</v>
      </c>
      <c r="B15" s="26">
        <v>2</v>
      </c>
      <c r="C15" s="26">
        <v>2.6</v>
      </c>
      <c r="D15" s="26"/>
    </row>
    <row r="16" spans="1:4" x14ac:dyDescent="0.2">
      <c r="A16" s="34" t="s">
        <v>119</v>
      </c>
      <c r="B16" s="26">
        <v>2.7</v>
      </c>
      <c r="C16" s="26">
        <v>2.7</v>
      </c>
      <c r="D16" s="26"/>
    </row>
    <row r="17" spans="1:18" x14ac:dyDescent="0.2">
      <c r="A17" s="34" t="s">
        <v>43</v>
      </c>
      <c r="B17" s="26">
        <v>3.5</v>
      </c>
      <c r="C17" s="26">
        <v>2.7</v>
      </c>
      <c r="D17" s="26"/>
    </row>
    <row r="19" spans="1:18" ht="48" x14ac:dyDescent="0.2">
      <c r="A19" s="31" t="s">
        <v>120</v>
      </c>
      <c r="B19" t="s">
        <v>121</v>
      </c>
      <c r="C19" t="s">
        <v>56</v>
      </c>
      <c r="D19" t="s">
        <v>122</v>
      </c>
    </row>
    <row r="20" spans="1:18" x14ac:dyDescent="0.2">
      <c r="A20">
        <v>2015</v>
      </c>
      <c r="B20">
        <v>15600</v>
      </c>
      <c r="C20">
        <v>80.2</v>
      </c>
      <c r="D20" s="35">
        <v>3.5000000000000003E-2</v>
      </c>
      <c r="E20" s="29"/>
    </row>
    <row r="21" spans="1:18" x14ac:dyDescent="0.2">
      <c r="A21">
        <v>2020</v>
      </c>
      <c r="B21">
        <v>17820</v>
      </c>
      <c r="C21">
        <v>135.1</v>
      </c>
      <c r="D21" s="29">
        <v>0.11</v>
      </c>
    </row>
    <row r="23" spans="1:18" ht="48" x14ac:dyDescent="0.2">
      <c r="A23" s="31" t="s">
        <v>123</v>
      </c>
      <c r="B23" t="s">
        <v>121</v>
      </c>
      <c r="C23" t="s">
        <v>124</v>
      </c>
      <c r="D23" t="s">
        <v>125</v>
      </c>
      <c r="E23" t="s">
        <v>126</v>
      </c>
    </row>
    <row r="24" spans="1:18" x14ac:dyDescent="0.2">
      <c r="A24" t="s">
        <v>127</v>
      </c>
      <c r="B24" s="29">
        <v>0.27</v>
      </c>
      <c r="C24" s="29">
        <v>0.28000000000000003</v>
      </c>
      <c r="D24" s="29">
        <v>0.24</v>
      </c>
      <c r="E24" s="29">
        <v>0.31</v>
      </c>
      <c r="F24" s="32"/>
      <c r="G24" s="32"/>
      <c r="H24" s="29"/>
      <c r="I24" s="29"/>
      <c r="J24" s="29"/>
      <c r="K24" s="29"/>
      <c r="L24" s="29"/>
      <c r="M24" s="29"/>
    </row>
    <row r="25" spans="1:18" x14ac:dyDescent="0.2">
      <c r="A25" s="29" t="s">
        <v>128</v>
      </c>
      <c r="B25" s="29">
        <v>0.32</v>
      </c>
      <c r="C25" s="29">
        <v>0.3</v>
      </c>
      <c r="D25" s="29">
        <v>0.25</v>
      </c>
      <c r="E25" s="29">
        <v>0.09</v>
      </c>
      <c r="F25" s="29"/>
      <c r="G25" s="29"/>
      <c r="H25" s="29"/>
    </row>
    <row r="26" spans="1:18" x14ac:dyDescent="0.2">
      <c r="A26" t="s">
        <v>129</v>
      </c>
      <c r="B26" s="29">
        <v>0.41</v>
      </c>
      <c r="C26" s="29">
        <v>0.42</v>
      </c>
      <c r="D26" s="29">
        <v>0.51</v>
      </c>
      <c r="E26" s="29">
        <v>0.6</v>
      </c>
    </row>
    <row r="27" spans="1:18" ht="51" x14ac:dyDescent="0.2">
      <c r="A27" s="36" t="s">
        <v>130</v>
      </c>
      <c r="B27" s="37" t="s">
        <v>121</v>
      </c>
      <c r="C27" s="37" t="s">
        <v>124</v>
      </c>
      <c r="D27" s="37" t="s">
        <v>125</v>
      </c>
      <c r="E27" s="37" t="s">
        <v>126</v>
      </c>
      <c r="G27" s="29"/>
      <c r="I27" s="29"/>
      <c r="K27" s="29"/>
      <c r="M27" s="29"/>
      <c r="O27" s="29"/>
      <c r="P27" s="29"/>
    </row>
    <row r="28" spans="1:18" x14ac:dyDescent="0.2">
      <c r="A28" t="s">
        <v>127</v>
      </c>
      <c r="B28" s="29">
        <v>0.31</v>
      </c>
      <c r="C28" s="29">
        <v>0.3</v>
      </c>
      <c r="D28" s="29">
        <v>0.25</v>
      </c>
      <c r="E28" s="29">
        <v>0.25</v>
      </c>
    </row>
    <row r="29" spans="1:18" x14ac:dyDescent="0.2">
      <c r="A29" s="29" t="s">
        <v>128</v>
      </c>
      <c r="B29" s="29">
        <v>0.32</v>
      </c>
      <c r="C29" s="29">
        <v>0.35</v>
      </c>
      <c r="D29" s="29">
        <v>0.26</v>
      </c>
      <c r="E29" s="29">
        <v>0.11</v>
      </c>
      <c r="N29" s="29"/>
      <c r="R29" s="38"/>
    </row>
    <row r="30" spans="1:18" x14ac:dyDescent="0.2">
      <c r="A30" t="s">
        <v>129</v>
      </c>
      <c r="B30" s="29">
        <v>0.37</v>
      </c>
      <c r="C30" s="29">
        <v>0.35</v>
      </c>
      <c r="D30" s="29">
        <v>0.49</v>
      </c>
      <c r="E30" s="29">
        <v>0.64</v>
      </c>
    </row>
    <row r="31" spans="1:18" x14ac:dyDescent="0.2">
      <c r="A31" s="39"/>
      <c r="O31" s="29"/>
      <c r="R31" s="29"/>
    </row>
    <row r="32" spans="1:18" x14ac:dyDescent="0.2">
      <c r="A32" t="s">
        <v>131</v>
      </c>
      <c r="B32" t="s">
        <v>207</v>
      </c>
      <c r="C32" t="s">
        <v>208</v>
      </c>
      <c r="D32" t="s">
        <v>209</v>
      </c>
      <c r="E32" t="s">
        <v>210</v>
      </c>
      <c r="F32" t="s">
        <v>211</v>
      </c>
      <c r="G32" t="s">
        <v>212</v>
      </c>
      <c r="H32" t="s">
        <v>118</v>
      </c>
    </row>
    <row r="33" spans="1:27" ht="48" x14ac:dyDescent="0.2">
      <c r="A33" s="31" t="s">
        <v>132</v>
      </c>
      <c r="B33">
        <v>4.3</v>
      </c>
      <c r="C33">
        <v>4.5999999999999996</v>
      </c>
      <c r="D33">
        <v>4.8</v>
      </c>
      <c r="E33">
        <v>4.5</v>
      </c>
      <c r="F33">
        <v>3.7</v>
      </c>
      <c r="G33">
        <v>-3.3</v>
      </c>
      <c r="H33">
        <v>6</v>
      </c>
    </row>
    <row r="34" spans="1:27" x14ac:dyDescent="0.2">
      <c r="A34" t="s">
        <v>133</v>
      </c>
      <c r="B34">
        <v>2.2999999999999998</v>
      </c>
      <c r="C34">
        <v>1.7</v>
      </c>
      <c r="D34">
        <v>2.5</v>
      </c>
      <c r="E34">
        <v>2.2999999999999998</v>
      </c>
      <c r="F34">
        <v>1.7</v>
      </c>
      <c r="G34">
        <v>-5.8</v>
      </c>
      <c r="H34">
        <v>3.9</v>
      </c>
    </row>
    <row r="35" spans="1:27" x14ac:dyDescent="0.2">
      <c r="A35" t="s">
        <v>134</v>
      </c>
      <c r="B35">
        <v>3.5</v>
      </c>
      <c r="C35">
        <v>3.4</v>
      </c>
      <c r="D35">
        <v>3.8</v>
      </c>
      <c r="E35">
        <v>3.6</v>
      </c>
      <c r="F35">
        <v>2.9</v>
      </c>
      <c r="G35">
        <v>-4.4000000000000004</v>
      </c>
      <c r="H35">
        <v>5.2</v>
      </c>
    </row>
    <row r="36" spans="1:27" ht="16" x14ac:dyDescent="0.2">
      <c r="A36" s="40" t="s">
        <v>135</v>
      </c>
    </row>
    <row r="37" spans="1:27" ht="16" x14ac:dyDescent="0.2">
      <c r="A37" s="40" t="s">
        <v>136</v>
      </c>
    </row>
    <row r="38" spans="1:27" ht="16" x14ac:dyDescent="0.2">
      <c r="A38" s="40" t="s">
        <v>137</v>
      </c>
    </row>
    <row r="40" spans="1:27" s="31" customFormat="1" ht="32" x14ac:dyDescent="0.2">
      <c r="A40" s="41" t="s">
        <v>138</v>
      </c>
      <c r="B40" s="30" t="s">
        <v>139</v>
      </c>
      <c r="C40" s="30" t="s">
        <v>140</v>
      </c>
      <c r="D40" s="31" t="s">
        <v>141</v>
      </c>
      <c r="E40" s="31" t="s">
        <v>142</v>
      </c>
      <c r="F40" s="31" t="s">
        <v>143</v>
      </c>
      <c r="G40" s="31" t="s">
        <v>144</v>
      </c>
    </row>
    <row r="41" spans="1:27" x14ac:dyDescent="0.2">
      <c r="A41" s="26" t="s">
        <v>145</v>
      </c>
      <c r="B41" s="26">
        <v>42.6</v>
      </c>
      <c r="C41" s="32">
        <v>7.1999999999999995E-2</v>
      </c>
      <c r="D41">
        <v>650</v>
      </c>
      <c r="E41" s="29">
        <v>8.6999999999999994E-2</v>
      </c>
      <c r="F41">
        <v>35.18</v>
      </c>
      <c r="G41">
        <v>50.2</v>
      </c>
    </row>
    <row r="42" spans="1:27" x14ac:dyDescent="0.2">
      <c r="A42" s="39" t="s">
        <v>146</v>
      </c>
      <c r="B42" s="26">
        <v>39</v>
      </c>
      <c r="C42" s="32">
        <v>0.114</v>
      </c>
      <c r="D42">
        <v>166</v>
      </c>
      <c r="E42" s="29">
        <v>8.0000000000000002E-3</v>
      </c>
      <c r="F42">
        <v>73</v>
      </c>
      <c r="G42">
        <v>66</v>
      </c>
    </row>
    <row r="43" spans="1:27" x14ac:dyDescent="0.2">
      <c r="A43" s="26" t="s">
        <v>56</v>
      </c>
      <c r="B43" s="26">
        <v>1.5</v>
      </c>
      <c r="C43" s="32">
        <v>0.32600000000000001</v>
      </c>
      <c r="D43">
        <v>380</v>
      </c>
      <c r="E43" s="29">
        <v>0.182</v>
      </c>
      <c r="F43">
        <v>8.8000000000000007</v>
      </c>
      <c r="G43">
        <v>30</v>
      </c>
    </row>
    <row r="44" spans="1:27" ht="18" customHeight="1" x14ac:dyDescent="0.2"/>
    <row r="45" spans="1:27" ht="50" customHeight="1" x14ac:dyDescent="0.2">
      <c r="A45" s="42" t="s">
        <v>147</v>
      </c>
      <c r="B45" s="30"/>
      <c r="C45" s="30"/>
      <c r="D45" s="30"/>
      <c r="E45" s="30"/>
      <c r="F45" s="30"/>
      <c r="G45" s="30"/>
      <c r="H45" s="30"/>
      <c r="I45" s="30"/>
      <c r="J45" s="42" t="s">
        <v>148</v>
      </c>
      <c r="S45" s="42" t="s">
        <v>149</v>
      </c>
    </row>
    <row r="46" spans="1:27" ht="16" x14ac:dyDescent="0.2">
      <c r="A46" s="30" t="s">
        <v>150</v>
      </c>
      <c r="B46" s="30" t="s">
        <v>208</v>
      </c>
      <c r="C46" s="30" t="s">
        <v>209</v>
      </c>
      <c r="D46" s="30" t="s">
        <v>210</v>
      </c>
      <c r="E46" s="30" t="s">
        <v>211</v>
      </c>
      <c r="F46" s="30" t="s">
        <v>212</v>
      </c>
      <c r="G46" s="30" t="s">
        <v>118</v>
      </c>
      <c r="H46" s="30" t="s">
        <v>119</v>
      </c>
      <c r="I46" s="30" t="s">
        <v>43</v>
      </c>
      <c r="J46" s="30" t="s">
        <v>150</v>
      </c>
      <c r="K46" s="30" t="s">
        <v>208</v>
      </c>
      <c r="L46" s="30" t="s">
        <v>209</v>
      </c>
      <c r="M46" s="30" t="s">
        <v>210</v>
      </c>
      <c r="N46" s="30" t="s">
        <v>211</v>
      </c>
      <c r="O46" s="30" t="s">
        <v>212</v>
      </c>
      <c r="P46" s="30" t="s">
        <v>118</v>
      </c>
      <c r="Q46" s="30" t="s">
        <v>119</v>
      </c>
      <c r="R46" s="30" t="s">
        <v>43</v>
      </c>
      <c r="S46" s="30" t="s">
        <v>150</v>
      </c>
      <c r="T46" s="30" t="s">
        <v>208</v>
      </c>
      <c r="U46" s="30" t="s">
        <v>209</v>
      </c>
      <c r="V46" s="30" t="s">
        <v>210</v>
      </c>
      <c r="W46" s="30" t="s">
        <v>211</v>
      </c>
      <c r="X46" s="30" t="s">
        <v>212</v>
      </c>
      <c r="Y46" s="30" t="s">
        <v>118</v>
      </c>
      <c r="Z46" s="30" t="s">
        <v>119</v>
      </c>
      <c r="AA46" s="30" t="s">
        <v>43</v>
      </c>
    </row>
    <row r="47" spans="1:27" ht="16" x14ac:dyDescent="0.2">
      <c r="A47" s="30" t="s">
        <v>151</v>
      </c>
      <c r="B47" s="30">
        <v>272</v>
      </c>
      <c r="C47" s="30">
        <v>384</v>
      </c>
      <c r="D47" s="30">
        <v>572</v>
      </c>
      <c r="E47" s="30">
        <v>836</v>
      </c>
      <c r="F47" s="43">
        <v>1191</v>
      </c>
      <c r="G47" s="43">
        <v>1661</v>
      </c>
      <c r="H47" s="30">
        <v>2284</v>
      </c>
      <c r="I47" s="43">
        <v>3100</v>
      </c>
      <c r="J47" s="30" t="s">
        <v>151</v>
      </c>
      <c r="K47">
        <v>12.7</v>
      </c>
      <c r="L47">
        <v>17.7</v>
      </c>
      <c r="M47">
        <v>20.100000000000001</v>
      </c>
      <c r="N47">
        <v>22.3</v>
      </c>
      <c r="O47">
        <v>25.2</v>
      </c>
      <c r="P47">
        <v>28</v>
      </c>
      <c r="Q47">
        <v>30.5</v>
      </c>
      <c r="R47">
        <v>32.9</v>
      </c>
      <c r="S47" s="30" t="s">
        <v>151</v>
      </c>
      <c r="T47">
        <v>6.6</v>
      </c>
      <c r="U47">
        <v>7.6</v>
      </c>
      <c r="V47">
        <v>8.6999999999999993</v>
      </c>
      <c r="W47">
        <v>9.8000000000000007</v>
      </c>
      <c r="X47">
        <v>11.1</v>
      </c>
      <c r="Y47">
        <v>12.3</v>
      </c>
      <c r="Z47">
        <v>13.6</v>
      </c>
      <c r="AA47">
        <v>14.8</v>
      </c>
    </row>
    <row r="48" spans="1:27" ht="16" x14ac:dyDescent="0.2">
      <c r="A48" s="30" t="s">
        <v>152</v>
      </c>
      <c r="B48" s="30">
        <v>193</v>
      </c>
      <c r="C48" s="30">
        <v>207</v>
      </c>
      <c r="D48" s="30">
        <v>223</v>
      </c>
      <c r="E48" s="30">
        <v>239</v>
      </c>
      <c r="F48" s="30">
        <v>256</v>
      </c>
      <c r="G48" s="30">
        <v>273</v>
      </c>
      <c r="H48" s="30">
        <v>291</v>
      </c>
      <c r="I48" s="30">
        <v>315</v>
      </c>
      <c r="J48" s="30" t="s">
        <v>152</v>
      </c>
      <c r="K48">
        <v>0.2</v>
      </c>
      <c r="L48">
        <v>0.4</v>
      </c>
      <c r="M48">
        <v>0.6</v>
      </c>
      <c r="N48">
        <v>1</v>
      </c>
      <c r="O48">
        <v>1.2</v>
      </c>
      <c r="P48">
        <v>1.5</v>
      </c>
      <c r="Q48">
        <v>1.8</v>
      </c>
      <c r="R48">
        <v>2.2000000000000002</v>
      </c>
      <c r="S48" s="30" t="s">
        <v>152</v>
      </c>
      <c r="T48">
        <v>12.5</v>
      </c>
      <c r="U48">
        <v>14.3</v>
      </c>
      <c r="V48">
        <v>16.399999999999999</v>
      </c>
      <c r="W48">
        <v>18.600000000000001</v>
      </c>
      <c r="X48">
        <v>21.2</v>
      </c>
      <c r="Y48">
        <v>24</v>
      </c>
      <c r="Z48">
        <v>27.3</v>
      </c>
      <c r="AA48">
        <v>31</v>
      </c>
    </row>
    <row r="49" spans="1:31" ht="16" x14ac:dyDescent="0.2">
      <c r="A49" s="30" t="s">
        <v>153</v>
      </c>
      <c r="B49" s="30">
        <v>84</v>
      </c>
      <c r="C49" s="30">
        <v>87</v>
      </c>
      <c r="D49" s="30">
        <v>91</v>
      </c>
      <c r="E49" s="30">
        <v>94</v>
      </c>
      <c r="F49" s="30">
        <v>98</v>
      </c>
      <c r="G49" s="30">
        <v>102</v>
      </c>
      <c r="H49" s="30">
        <v>106</v>
      </c>
      <c r="I49" s="30">
        <v>110</v>
      </c>
      <c r="J49" s="30" t="s">
        <v>153</v>
      </c>
      <c r="K49">
        <v>14.1</v>
      </c>
      <c r="L49">
        <v>14.8</v>
      </c>
      <c r="M49">
        <v>15.2</v>
      </c>
      <c r="N49">
        <v>15.7</v>
      </c>
      <c r="O49">
        <v>16.3</v>
      </c>
      <c r="P49">
        <v>16.8</v>
      </c>
      <c r="Q49">
        <v>17.399999999999999</v>
      </c>
      <c r="R49">
        <v>18</v>
      </c>
      <c r="S49" s="30" t="s">
        <v>153</v>
      </c>
      <c r="T49">
        <v>5.9</v>
      </c>
      <c r="U49">
        <v>6.1</v>
      </c>
      <c r="V49">
        <v>6.2</v>
      </c>
      <c r="W49">
        <v>6.5</v>
      </c>
      <c r="X49">
        <v>6.9</v>
      </c>
      <c r="Y49">
        <v>7.2</v>
      </c>
      <c r="Z49">
        <v>7.5</v>
      </c>
      <c r="AA49">
        <v>7.8</v>
      </c>
    </row>
    <row r="50" spans="1:31" ht="17" x14ac:dyDescent="0.2">
      <c r="A50" s="44" t="s">
        <v>105</v>
      </c>
      <c r="B50" s="44">
        <v>549</v>
      </c>
      <c r="C50" s="44">
        <v>679</v>
      </c>
      <c r="D50" s="44">
        <v>885</v>
      </c>
      <c r="E50" s="44">
        <v>1169</v>
      </c>
      <c r="F50" s="44">
        <v>1545</v>
      </c>
      <c r="G50" s="44">
        <v>2036</v>
      </c>
      <c r="H50" s="44">
        <v>2681</v>
      </c>
      <c r="I50" s="44">
        <v>3526</v>
      </c>
      <c r="J50" s="44" t="s">
        <v>105</v>
      </c>
      <c r="K50" s="45">
        <f>SUM(K47:K49)</f>
        <v>27</v>
      </c>
      <c r="L50" s="44">
        <f t="shared" ref="L50:R50" si="0">SUM(L47:L49)</f>
        <v>32.9</v>
      </c>
      <c r="M50" s="44">
        <f t="shared" si="0"/>
        <v>35.900000000000006</v>
      </c>
      <c r="N50" s="44">
        <f t="shared" si="0"/>
        <v>39</v>
      </c>
      <c r="O50" s="44">
        <f t="shared" si="0"/>
        <v>42.7</v>
      </c>
      <c r="P50" s="44">
        <f t="shared" si="0"/>
        <v>46.3</v>
      </c>
      <c r="Q50" s="44">
        <f t="shared" si="0"/>
        <v>49.699999999999996</v>
      </c>
      <c r="R50" s="44">
        <f t="shared" si="0"/>
        <v>53.1</v>
      </c>
      <c r="S50" s="44" t="s">
        <v>105</v>
      </c>
      <c r="T50" s="44">
        <f>SUM(T47:T49)</f>
        <v>25</v>
      </c>
      <c r="U50" s="44">
        <f t="shared" ref="U50:AA50" si="1">SUM(U47:U49)</f>
        <v>28</v>
      </c>
      <c r="V50" s="44">
        <f t="shared" si="1"/>
        <v>31.299999999999997</v>
      </c>
      <c r="W50" s="44">
        <f t="shared" si="1"/>
        <v>34.900000000000006</v>
      </c>
      <c r="X50" s="44">
        <f t="shared" si="1"/>
        <v>39.199999999999996</v>
      </c>
      <c r="Y50" s="44">
        <f t="shared" si="1"/>
        <v>43.5</v>
      </c>
      <c r="Z50" s="44">
        <f t="shared" si="1"/>
        <v>48.4</v>
      </c>
      <c r="AA50" s="44">
        <f t="shared" si="1"/>
        <v>53.599999999999994</v>
      </c>
    </row>
    <row r="51" spans="1:31" ht="20" customHeight="1" x14ac:dyDescent="0.2">
      <c r="A51" s="30" t="s">
        <v>154</v>
      </c>
      <c r="B51" s="30" t="s">
        <v>155</v>
      </c>
      <c r="C51" s="30" t="s">
        <v>156</v>
      </c>
      <c r="D51" s="30" t="s">
        <v>157</v>
      </c>
      <c r="E51" s="30" t="s">
        <v>158</v>
      </c>
      <c r="F51" s="30" t="s">
        <v>159</v>
      </c>
      <c r="G51" s="30" t="s">
        <v>160</v>
      </c>
      <c r="H51" s="30" t="s">
        <v>161</v>
      </c>
      <c r="I51" s="30" t="s">
        <v>162</v>
      </c>
      <c r="J51" s="30"/>
      <c r="K51" s="30" t="s">
        <v>163</v>
      </c>
      <c r="L51" s="30" t="s">
        <v>164</v>
      </c>
      <c r="M51" s="30" t="s">
        <v>165</v>
      </c>
      <c r="N51" s="30" t="s">
        <v>166</v>
      </c>
      <c r="O51" s="30" t="s">
        <v>167</v>
      </c>
      <c r="P51" s="30" t="s">
        <v>168</v>
      </c>
      <c r="Q51" s="30" t="s">
        <v>169</v>
      </c>
      <c r="R51" s="30" t="s">
        <v>170</v>
      </c>
      <c r="S51" s="30"/>
      <c r="T51" s="30" t="s">
        <v>171</v>
      </c>
      <c r="U51" s="30" t="s">
        <v>172</v>
      </c>
      <c r="V51" s="30" t="s">
        <v>173</v>
      </c>
      <c r="W51" s="30" t="s">
        <v>174</v>
      </c>
      <c r="X51" s="30" t="s">
        <v>175</v>
      </c>
      <c r="Y51" s="30" t="s">
        <v>176</v>
      </c>
      <c r="Z51" s="30" t="s">
        <v>177</v>
      </c>
      <c r="AA51" s="30" t="s">
        <v>178</v>
      </c>
    </row>
    <row r="52" spans="1:31" ht="35" thickBot="1" x14ac:dyDescent="0.25">
      <c r="A52" s="46" t="s">
        <v>179</v>
      </c>
      <c r="B52" s="47" t="s">
        <v>180</v>
      </c>
      <c r="C52" s="48"/>
      <c r="D52" s="48"/>
      <c r="E52" s="48"/>
      <c r="F52" s="48"/>
      <c r="G52" s="48"/>
      <c r="H52" s="48"/>
      <c r="J52" s="30"/>
      <c r="K52" s="30"/>
      <c r="L52" s="30"/>
      <c r="M52" s="30"/>
      <c r="N52" s="30"/>
      <c r="O52" s="30"/>
      <c r="P52" s="30"/>
      <c r="Q52" s="30"/>
      <c r="R52" s="30"/>
      <c r="S52" s="30"/>
      <c r="T52" s="49"/>
      <c r="U52" s="49"/>
      <c r="V52" s="49"/>
      <c r="W52" s="49"/>
      <c r="X52" s="49"/>
      <c r="Y52" s="49"/>
      <c r="Z52" s="49"/>
      <c r="AA52" s="49"/>
    </row>
    <row r="53" spans="1:31" ht="18" thickBot="1" x14ac:dyDescent="0.25">
      <c r="A53" s="50" t="s">
        <v>208</v>
      </c>
      <c r="B53" s="50" t="s">
        <v>209</v>
      </c>
      <c r="C53" s="50" t="s">
        <v>210</v>
      </c>
      <c r="D53" s="50" t="s">
        <v>211</v>
      </c>
      <c r="E53" s="50" t="s">
        <v>212</v>
      </c>
      <c r="F53" s="50" t="s">
        <v>118</v>
      </c>
      <c r="G53" s="50" t="s">
        <v>119</v>
      </c>
      <c r="H53" s="50" t="s">
        <v>43</v>
      </c>
      <c r="AE53" s="28"/>
    </row>
    <row r="54" spans="1:31" ht="16" x14ac:dyDescent="0.2">
      <c r="A54" s="47">
        <v>40.9</v>
      </c>
      <c r="B54" s="47">
        <v>50.4</v>
      </c>
      <c r="C54" s="47">
        <v>57.9</v>
      </c>
      <c r="D54" s="47">
        <v>66.599999999999994</v>
      </c>
      <c r="E54" s="47">
        <v>76.599999999999994</v>
      </c>
      <c r="F54" s="47">
        <v>88.1</v>
      </c>
      <c r="G54" s="47">
        <v>101.3</v>
      </c>
      <c r="H54" s="47">
        <v>116.5</v>
      </c>
    </row>
    <row r="56" spans="1:31" ht="17" customHeight="1" x14ac:dyDescent="0.2">
      <c r="A56" s="81" t="s">
        <v>181</v>
      </c>
      <c r="B56" s="81"/>
      <c r="C56" s="81"/>
      <c r="D56" s="81"/>
      <c r="E56" s="81"/>
      <c r="F56" s="81"/>
      <c r="G56" s="81"/>
      <c r="H56" s="81"/>
    </row>
    <row r="57" spans="1:31" ht="16" customHeight="1" x14ac:dyDescent="0.2">
      <c r="A57" s="81" t="s">
        <v>56</v>
      </c>
      <c r="B57" s="81"/>
      <c r="C57" s="81"/>
      <c r="D57" s="81"/>
      <c r="E57" s="81" t="s">
        <v>145</v>
      </c>
      <c r="F57" s="81"/>
      <c r="G57" s="81"/>
      <c r="H57" s="81"/>
    </row>
    <row r="58" spans="1:31" ht="32" x14ac:dyDescent="0.2">
      <c r="A58" s="30" t="s">
        <v>112</v>
      </c>
      <c r="B58" s="30" t="s">
        <v>182</v>
      </c>
      <c r="C58" s="30" t="s">
        <v>183</v>
      </c>
      <c r="D58" s="30" t="s">
        <v>184</v>
      </c>
      <c r="E58" s="30" t="s">
        <v>185</v>
      </c>
      <c r="F58" s="30" t="s">
        <v>186</v>
      </c>
      <c r="G58" s="30" t="s">
        <v>187</v>
      </c>
      <c r="H58" s="30" t="s">
        <v>188</v>
      </c>
    </row>
    <row r="59" spans="1:31" x14ac:dyDescent="0.2">
      <c r="A59" s="30">
        <v>2016</v>
      </c>
      <c r="B59" s="30">
        <v>201</v>
      </c>
      <c r="C59" s="30"/>
      <c r="D59" s="30"/>
      <c r="E59" s="30">
        <v>2011</v>
      </c>
      <c r="F59" s="30">
        <v>176</v>
      </c>
      <c r="G59" s="30">
        <v>0.9</v>
      </c>
      <c r="H59" s="30">
        <f>900/176</f>
        <v>5.1136363636363633</v>
      </c>
    </row>
    <row r="60" spans="1:31" x14ac:dyDescent="0.2">
      <c r="A60" s="30">
        <v>2018</v>
      </c>
      <c r="B60" s="30">
        <v>269</v>
      </c>
      <c r="C60" s="30"/>
      <c r="D60" s="30"/>
      <c r="E60" s="30">
        <v>2012</v>
      </c>
      <c r="F60" s="30">
        <v>286</v>
      </c>
      <c r="G60" s="30">
        <v>1.3</v>
      </c>
      <c r="H60" s="30">
        <f t="shared" ref="H60" si="2">1300/286</f>
        <v>4.5454545454545459</v>
      </c>
    </row>
    <row r="61" spans="1:31" x14ac:dyDescent="0.2">
      <c r="A61" s="30">
        <v>2020</v>
      </c>
      <c r="B61" s="30">
        <v>326</v>
      </c>
      <c r="C61" s="30">
        <v>1.2</v>
      </c>
      <c r="D61" s="30">
        <f t="shared" ref="D61" si="3">1200/326</f>
        <v>3.6809815950920246</v>
      </c>
      <c r="E61" s="30">
        <v>2013</v>
      </c>
      <c r="F61" s="30">
        <v>385</v>
      </c>
      <c r="G61" s="30">
        <v>2.1</v>
      </c>
      <c r="H61" s="30">
        <f>2100/385</f>
        <v>5.4545454545454541</v>
      </c>
    </row>
    <row r="62" spans="1:31" ht="16" x14ac:dyDescent="0.2">
      <c r="A62" s="30" t="s">
        <v>119</v>
      </c>
      <c r="B62" s="30">
        <v>368</v>
      </c>
      <c r="C62" s="30"/>
      <c r="D62" s="30"/>
      <c r="E62" s="30">
        <v>2014</v>
      </c>
      <c r="F62" s="30">
        <v>467</v>
      </c>
      <c r="G62" s="30"/>
      <c r="H62" s="30"/>
    </row>
    <row r="63" spans="1:31" ht="16" x14ac:dyDescent="0.2">
      <c r="A63" s="81" t="s">
        <v>189</v>
      </c>
      <c r="B63" s="81"/>
      <c r="C63" s="81"/>
      <c r="D63" s="81"/>
      <c r="E63" s="81"/>
      <c r="F63" s="81"/>
      <c r="G63" s="81"/>
      <c r="H63" s="81"/>
      <c r="I63" s="81"/>
      <c r="J63" s="81"/>
    </row>
    <row r="64" spans="1:31" x14ac:dyDescent="0.2">
      <c r="A64" t="s">
        <v>190</v>
      </c>
      <c r="B64" t="s">
        <v>111</v>
      </c>
      <c r="C64" t="s">
        <v>208</v>
      </c>
      <c r="D64" t="s">
        <v>209</v>
      </c>
      <c r="E64" t="s">
        <v>210</v>
      </c>
      <c r="F64" t="s">
        <v>211</v>
      </c>
      <c r="G64" t="s">
        <v>212</v>
      </c>
      <c r="H64" t="s">
        <v>118</v>
      </c>
      <c r="I64" t="s">
        <v>119</v>
      </c>
      <c r="J64" t="s">
        <v>43</v>
      </c>
    </row>
    <row r="65" spans="1:11" ht="16" x14ac:dyDescent="0.2">
      <c r="A65" s="48" t="s">
        <v>191</v>
      </c>
      <c r="B65" s="48" t="s">
        <v>192</v>
      </c>
      <c r="C65" s="48">
        <v>3.4</v>
      </c>
      <c r="D65" s="48">
        <v>3.8</v>
      </c>
      <c r="E65" s="48">
        <v>4</v>
      </c>
      <c r="F65" s="48">
        <v>4.4000000000000004</v>
      </c>
      <c r="G65" s="48">
        <v>4.5</v>
      </c>
      <c r="H65" s="48">
        <v>4.9000000000000004</v>
      </c>
      <c r="I65" s="48">
        <v>5.2</v>
      </c>
      <c r="J65" s="48">
        <v>5.6</v>
      </c>
    </row>
    <row r="66" spans="1:11" ht="16" x14ac:dyDescent="0.2">
      <c r="A66" s="48" t="s">
        <v>193</v>
      </c>
      <c r="B66" t="s">
        <v>194</v>
      </c>
      <c r="C66">
        <v>0.4</v>
      </c>
      <c r="D66">
        <v>0.5</v>
      </c>
      <c r="E66">
        <v>0.5</v>
      </c>
      <c r="F66">
        <v>0.6</v>
      </c>
      <c r="G66">
        <v>0.7</v>
      </c>
      <c r="H66">
        <v>0.8</v>
      </c>
      <c r="I66">
        <v>0.9</v>
      </c>
      <c r="J66">
        <v>1.1000000000000001</v>
      </c>
    </row>
    <row r="67" spans="1:11" x14ac:dyDescent="0.2">
      <c r="B67" t="s">
        <v>195</v>
      </c>
      <c r="C67" s="29">
        <v>0.28000000000000003</v>
      </c>
      <c r="D67" s="29">
        <v>0.35</v>
      </c>
      <c r="E67" s="29">
        <v>0.38</v>
      </c>
      <c r="F67" s="29">
        <v>0.41</v>
      </c>
      <c r="G67" s="29">
        <v>0.5</v>
      </c>
      <c r="H67" s="29">
        <v>0.54</v>
      </c>
      <c r="I67" s="29">
        <v>0.62</v>
      </c>
      <c r="J67" s="29">
        <v>0.7</v>
      </c>
    </row>
    <row r="68" spans="1:11" x14ac:dyDescent="0.2">
      <c r="B68" t="s">
        <v>196</v>
      </c>
      <c r="C68">
        <v>2.76</v>
      </c>
      <c r="D68">
        <v>5.73</v>
      </c>
      <c r="E68">
        <v>9.65</v>
      </c>
      <c r="F68">
        <v>11.18</v>
      </c>
      <c r="G68">
        <v>13.98</v>
      </c>
      <c r="H68">
        <v>17.47</v>
      </c>
      <c r="I68">
        <v>21.84</v>
      </c>
      <c r="J68">
        <v>27.3</v>
      </c>
    </row>
    <row r="69" spans="1:11" x14ac:dyDescent="0.2">
      <c r="B69" t="s">
        <v>197</v>
      </c>
      <c r="C69">
        <v>6.2</v>
      </c>
      <c r="D69">
        <v>18.2</v>
      </c>
      <c r="E69">
        <v>26.46</v>
      </c>
      <c r="F69">
        <v>29.06</v>
      </c>
      <c r="G69">
        <v>38.9</v>
      </c>
      <c r="H69">
        <v>48.63</v>
      </c>
      <c r="I69">
        <v>60.78</v>
      </c>
      <c r="J69">
        <v>75.98</v>
      </c>
    </row>
    <row r="70" spans="1:11" x14ac:dyDescent="0.2">
      <c r="B70" t="s">
        <v>198</v>
      </c>
      <c r="C70">
        <v>4.5</v>
      </c>
      <c r="D70">
        <v>8.8000000000000007</v>
      </c>
      <c r="E70">
        <v>9.93</v>
      </c>
      <c r="F70">
        <v>10.87</v>
      </c>
      <c r="G70">
        <v>12.16</v>
      </c>
      <c r="H70">
        <v>15.2</v>
      </c>
      <c r="I70">
        <v>19</v>
      </c>
      <c r="J70">
        <v>23.75</v>
      </c>
    </row>
    <row r="71" spans="1:11" x14ac:dyDescent="0.2">
      <c r="B71" t="s">
        <v>199</v>
      </c>
      <c r="C71">
        <v>0.3</v>
      </c>
      <c r="D71">
        <v>0.44</v>
      </c>
      <c r="E71">
        <v>0.49</v>
      </c>
      <c r="F71">
        <v>0.52</v>
      </c>
      <c r="G71">
        <v>0.69</v>
      </c>
      <c r="H71">
        <v>0.85</v>
      </c>
      <c r="I71">
        <v>0.97</v>
      </c>
      <c r="J71">
        <v>1.1000000000000001</v>
      </c>
    </row>
    <row r="73" spans="1:11" ht="48" x14ac:dyDescent="0.2">
      <c r="A73" s="30" t="s">
        <v>200</v>
      </c>
      <c r="B73" s="26" t="s">
        <v>121</v>
      </c>
      <c r="C73" t="s">
        <v>125</v>
      </c>
      <c r="D73" t="s">
        <v>126</v>
      </c>
      <c r="E73" t="s">
        <v>56</v>
      </c>
      <c r="F73" s="51" t="s">
        <v>201</v>
      </c>
      <c r="G73" s="52" t="s">
        <v>202</v>
      </c>
      <c r="H73" s="52" t="s">
        <v>203</v>
      </c>
      <c r="I73" s="53" t="s">
        <v>204</v>
      </c>
      <c r="K73" s="28"/>
    </row>
    <row r="74" spans="1:11" ht="32" x14ac:dyDescent="0.2">
      <c r="A74" s="26" t="s">
        <v>112</v>
      </c>
      <c r="B74" s="30" t="s">
        <v>205</v>
      </c>
      <c r="C74" s="26"/>
      <c r="D74" s="26"/>
      <c r="E74" s="26"/>
      <c r="F74" s="54" t="s">
        <v>206</v>
      </c>
      <c r="G74" s="55"/>
      <c r="H74" s="55"/>
      <c r="I74" s="55"/>
    </row>
    <row r="75" spans="1:11" x14ac:dyDescent="0.2">
      <c r="A75" s="26">
        <v>2016</v>
      </c>
      <c r="B75" s="32">
        <v>0.77</v>
      </c>
      <c r="C75" s="39">
        <v>0.81</v>
      </c>
      <c r="D75" s="29">
        <v>0.77</v>
      </c>
      <c r="E75" s="29">
        <v>0.52</v>
      </c>
      <c r="F75" s="56">
        <v>0.5</v>
      </c>
      <c r="G75">
        <v>0.17</v>
      </c>
      <c r="H75">
        <v>0.5</v>
      </c>
      <c r="I75">
        <v>0.2</v>
      </c>
    </row>
    <row r="76" spans="1:11" x14ac:dyDescent="0.2">
      <c r="A76" s="26">
        <v>2017</v>
      </c>
      <c r="B76" s="32">
        <v>0.78</v>
      </c>
      <c r="C76" s="39">
        <v>0.82</v>
      </c>
      <c r="D76" s="29">
        <v>0.78</v>
      </c>
      <c r="E76" s="29">
        <v>0.55000000000000004</v>
      </c>
      <c r="F76" s="55">
        <v>0.55000000000000004</v>
      </c>
      <c r="G76">
        <v>0.18</v>
      </c>
      <c r="H76">
        <v>0.55000000000000004</v>
      </c>
      <c r="I76">
        <v>0.23</v>
      </c>
    </row>
    <row r="77" spans="1:11" x14ac:dyDescent="0.2">
      <c r="A77" s="26">
        <v>2018</v>
      </c>
      <c r="B77" s="32">
        <v>0.79</v>
      </c>
      <c r="C77" s="39">
        <v>0.84</v>
      </c>
      <c r="D77" s="29">
        <v>0.79</v>
      </c>
      <c r="E77" s="29">
        <v>0.63</v>
      </c>
      <c r="F77" s="56">
        <v>0.57999999999999996</v>
      </c>
      <c r="G77">
        <v>0.19</v>
      </c>
      <c r="H77">
        <v>0.57999999999999996</v>
      </c>
      <c r="I77">
        <v>0.27</v>
      </c>
    </row>
    <row r="78" spans="1:11" x14ac:dyDescent="0.2">
      <c r="A78" s="26">
        <v>2019</v>
      </c>
      <c r="B78" s="32">
        <v>0.8</v>
      </c>
      <c r="C78" s="39">
        <v>0.84</v>
      </c>
      <c r="D78" s="29">
        <v>0.8</v>
      </c>
      <c r="E78" s="29">
        <v>0.68</v>
      </c>
      <c r="F78" s="55">
        <v>0.64</v>
      </c>
      <c r="G78">
        <v>0.2</v>
      </c>
      <c r="H78">
        <v>0.64</v>
      </c>
      <c r="I78">
        <v>0.28999999999999998</v>
      </c>
    </row>
    <row r="79" spans="1:11" x14ac:dyDescent="0.2">
      <c r="A79" s="26">
        <v>2020</v>
      </c>
      <c r="B79" s="32">
        <v>0.8</v>
      </c>
      <c r="C79" s="39">
        <v>0.85</v>
      </c>
      <c r="D79" s="29">
        <v>0.8</v>
      </c>
      <c r="E79" s="29">
        <v>0.78</v>
      </c>
      <c r="F79" s="56">
        <v>0.71</v>
      </c>
      <c r="G79">
        <v>0.21</v>
      </c>
      <c r="H79">
        <v>0.71</v>
      </c>
      <c r="I79">
        <v>0.33</v>
      </c>
    </row>
    <row r="80" spans="1:11" x14ac:dyDescent="0.2">
      <c r="A80" s="26" t="s">
        <v>118</v>
      </c>
      <c r="B80" s="32">
        <v>0.81</v>
      </c>
      <c r="C80" s="39">
        <v>0.85</v>
      </c>
      <c r="D80" s="29">
        <v>0.81</v>
      </c>
      <c r="E80" s="29">
        <v>0.81</v>
      </c>
      <c r="F80" s="55">
        <v>0.73</v>
      </c>
      <c r="G80">
        <v>0.21</v>
      </c>
      <c r="H80">
        <v>0.73</v>
      </c>
      <c r="I80">
        <v>0.34</v>
      </c>
    </row>
    <row r="81" spans="1:9" x14ac:dyDescent="0.2">
      <c r="A81" s="26" t="s">
        <v>119</v>
      </c>
      <c r="B81" s="32">
        <v>0.82</v>
      </c>
      <c r="C81" s="39">
        <v>0.86</v>
      </c>
      <c r="D81" s="29">
        <v>0.82</v>
      </c>
      <c r="E81" s="29">
        <v>0.84</v>
      </c>
      <c r="F81" s="56">
        <v>0.74</v>
      </c>
      <c r="G81">
        <v>0.22</v>
      </c>
      <c r="H81">
        <v>0.74</v>
      </c>
      <c r="I81">
        <v>0.37</v>
      </c>
    </row>
    <row r="82" spans="1:9" x14ac:dyDescent="0.2">
      <c r="A82" s="26" t="s">
        <v>43</v>
      </c>
      <c r="B82" s="32">
        <v>0.85</v>
      </c>
      <c r="C82" s="39">
        <v>0.88</v>
      </c>
      <c r="D82" s="29">
        <v>0.85</v>
      </c>
      <c r="E82" s="29">
        <v>0.9</v>
      </c>
      <c r="F82" s="55">
        <v>0.76</v>
      </c>
      <c r="G82">
        <v>0.23</v>
      </c>
      <c r="H82">
        <v>0.76</v>
      </c>
      <c r="I82">
        <v>0.41</v>
      </c>
    </row>
  </sheetData>
  <mergeCells count="6">
    <mergeCell ref="A1:D1"/>
    <mergeCell ref="A8:D8"/>
    <mergeCell ref="A63:J63"/>
    <mergeCell ref="A56:H56"/>
    <mergeCell ref="A57:D57"/>
    <mergeCell ref="E57:H57"/>
  </mergeCells>
  <pageMargins left="0.7" right="0.7" top="0.75" bottom="0.75" header="0.3" footer="0.3"/>
  <legacyDrawing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Business segment</vt:lpstr>
      <vt:lpstr>Financials</vt:lpstr>
      <vt:lpstr>Market sizes</vt:lpstr>
      <vt:lpstr>Financials detail</vt:lpstr>
      <vt:lpstr>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Sayan Das Sharma</dc:creator>
  <cp:lastModifiedBy>Microsoft Office User</cp:lastModifiedBy>
  <dcterms:created xsi:type="dcterms:W3CDTF">2015-06-05T18:17:20Z</dcterms:created>
  <dcterms:modified xsi:type="dcterms:W3CDTF">2021-07-21T09:05:01Z</dcterms:modified>
</cp:coreProperties>
</file>