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harts/chart1.xml" ContentType="application/vnd.openxmlformats-officedocument.drawingml.chart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filterPrivacy="1"/>
  <xr:revisionPtr revIDLastSave="2" documentId="13_ncr:1_{3847449E-ABB0-430D-B583-9A9B47E38019}" xr6:coauthVersionLast="47" xr6:coauthVersionMax="47" xr10:uidLastSave="{6291F447-CF31-4B59-9B15-DF5CC7437024}"/>
  <bookViews>
    <workbookView xWindow="-118" yWindow="-118" windowWidth="33749" windowHeight="20474" firstSheet="1" activeTab="7" xr2:uid="{00000000-000D-0000-FFFF-FFFF00000000}"/>
  </bookViews>
  <sheets>
    <sheet name="Idealize Boom area" sheetId="10" state="hidden" r:id="rId1"/>
    <sheet name="Example" sheetId="9" r:id="rId2"/>
    <sheet name="Stringer-Panel" sheetId="12" r:id="rId3"/>
    <sheet name="Spar web" sheetId="13" r:id="rId4"/>
    <sheet name="D section" sheetId="11" r:id="rId5"/>
    <sheet name="Ribs" sheetId="14" r:id="rId6"/>
    <sheet name="Wing box structural sizing" sheetId="3" r:id="rId7"/>
    <sheet name="Wing design flow" sheetId="15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8" i="13" l="1"/>
  <c r="C47" i="13"/>
  <c r="AG69" i="12"/>
  <c r="AG70" i="12"/>
  <c r="AG71" i="12"/>
  <c r="AG72" i="12"/>
  <c r="AG73" i="12"/>
  <c r="AG68" i="12"/>
  <c r="AB69" i="12"/>
  <c r="AB70" i="12"/>
  <c r="AD70" i="12" s="1"/>
  <c r="AF70" i="12" s="1"/>
  <c r="AI70" i="12" s="1"/>
  <c r="AB71" i="12"/>
  <c r="AC71" i="12" s="1"/>
  <c r="AE71" i="12" s="1"/>
  <c r="AH71" i="12" s="1"/>
  <c r="AB72" i="12"/>
  <c r="AD72" i="12" s="1"/>
  <c r="AF72" i="12" s="1"/>
  <c r="AI72" i="12" s="1"/>
  <c r="AB73" i="12"/>
  <c r="AD73" i="12" s="1"/>
  <c r="AF73" i="12" s="1"/>
  <c r="AI73" i="12" s="1"/>
  <c r="AB68" i="12"/>
  <c r="AC68" i="12" s="1"/>
  <c r="AE68" i="12" s="1"/>
  <c r="AH68" i="12" s="1"/>
  <c r="U69" i="12"/>
  <c r="U70" i="12"/>
  <c r="U71" i="12"/>
  <c r="U72" i="12"/>
  <c r="U73" i="12"/>
  <c r="U68" i="12"/>
  <c r="AC70" i="12"/>
  <c r="AE70" i="12" s="1"/>
  <c r="AH70" i="12" s="1"/>
  <c r="V44" i="9"/>
  <c r="U44" i="9"/>
  <c r="V43" i="9"/>
  <c r="U43" i="9"/>
  <c r="AC69" i="12"/>
  <c r="AE69" i="12" s="1"/>
  <c r="AH69" i="12" s="1"/>
  <c r="AC72" i="12"/>
  <c r="AE72" i="12" s="1"/>
  <c r="AH72" i="12" s="1"/>
  <c r="AD71" i="12" l="1"/>
  <c r="AF71" i="12" s="1"/>
  <c r="AI71" i="12" s="1"/>
  <c r="AD68" i="12"/>
  <c r="AF68" i="12" s="1"/>
  <c r="AI68" i="12" s="1"/>
  <c r="AD69" i="12"/>
  <c r="AF69" i="12" s="1"/>
  <c r="AI69" i="12" s="1"/>
  <c r="AC73" i="12"/>
  <c r="AE73" i="12" s="1"/>
  <c r="AH73" i="12" s="1"/>
  <c r="F45" i="3"/>
  <c r="F44" i="3"/>
  <c r="C14" i="14" l="1"/>
  <c r="C9" i="11" l="1"/>
  <c r="C11" i="11"/>
  <c r="O51" i="3"/>
  <c r="C27" i="13"/>
  <c r="C30" i="13" s="1"/>
  <c r="C24" i="13"/>
  <c r="C23" i="13"/>
  <c r="X70" i="12" l="1"/>
  <c r="X71" i="12"/>
  <c r="X72" i="12"/>
  <c r="X73" i="12"/>
  <c r="X69" i="12"/>
  <c r="X68" i="12"/>
  <c r="C33" i="12"/>
  <c r="C34" i="12" s="1"/>
  <c r="C29" i="12"/>
  <c r="C40" i="12"/>
  <c r="C41" i="12" s="1"/>
  <c r="I70" i="13"/>
  <c r="J70" i="13"/>
  <c r="K70" i="13"/>
  <c r="L70" i="13"/>
  <c r="M70" i="13"/>
  <c r="N70" i="13"/>
  <c r="O70" i="13"/>
  <c r="P70" i="13"/>
  <c r="Q70" i="13"/>
  <c r="I71" i="13"/>
  <c r="J71" i="13"/>
  <c r="K71" i="13"/>
  <c r="L71" i="13"/>
  <c r="M71" i="13"/>
  <c r="N71" i="13"/>
  <c r="O71" i="13"/>
  <c r="P71" i="13"/>
  <c r="Q71" i="13"/>
  <c r="I72" i="13"/>
  <c r="J72" i="13"/>
  <c r="K72" i="13"/>
  <c r="L72" i="13"/>
  <c r="M72" i="13"/>
  <c r="N72" i="13"/>
  <c r="O72" i="13"/>
  <c r="P72" i="13"/>
  <c r="Q72" i="13"/>
  <c r="I73" i="13"/>
  <c r="J73" i="13"/>
  <c r="K73" i="13"/>
  <c r="L73" i="13"/>
  <c r="M73" i="13"/>
  <c r="N73" i="13"/>
  <c r="O73" i="13"/>
  <c r="P73" i="13"/>
  <c r="Q73" i="13"/>
  <c r="I74" i="13"/>
  <c r="J74" i="13"/>
  <c r="K74" i="13"/>
  <c r="L74" i="13"/>
  <c r="M74" i="13"/>
  <c r="N74" i="13"/>
  <c r="O74" i="13"/>
  <c r="P74" i="13"/>
  <c r="Q74" i="13"/>
  <c r="I75" i="13"/>
  <c r="J75" i="13"/>
  <c r="K75" i="13"/>
  <c r="L75" i="13"/>
  <c r="M75" i="13"/>
  <c r="N75" i="13"/>
  <c r="O75" i="13"/>
  <c r="P75" i="13"/>
  <c r="Q75" i="13"/>
  <c r="I76" i="13"/>
  <c r="J76" i="13"/>
  <c r="K76" i="13"/>
  <c r="L76" i="13"/>
  <c r="M76" i="13"/>
  <c r="N76" i="13"/>
  <c r="O76" i="13"/>
  <c r="P76" i="13"/>
  <c r="Q76" i="13"/>
  <c r="I77" i="13"/>
  <c r="J77" i="13"/>
  <c r="K77" i="13"/>
  <c r="L77" i="13"/>
  <c r="M77" i="13"/>
  <c r="N77" i="13"/>
  <c r="O77" i="13"/>
  <c r="P77" i="13"/>
  <c r="Q77" i="13"/>
  <c r="I78" i="13"/>
  <c r="J78" i="13"/>
  <c r="K78" i="13"/>
  <c r="L78" i="13"/>
  <c r="M78" i="13"/>
  <c r="N78" i="13"/>
  <c r="O78" i="13"/>
  <c r="P78" i="13"/>
  <c r="Q78" i="13"/>
  <c r="I79" i="13"/>
  <c r="J79" i="13"/>
  <c r="K79" i="13"/>
  <c r="L79" i="13"/>
  <c r="M79" i="13"/>
  <c r="N79" i="13"/>
  <c r="O79" i="13"/>
  <c r="P79" i="13"/>
  <c r="Q79" i="13"/>
  <c r="I80" i="13"/>
  <c r="J80" i="13"/>
  <c r="K80" i="13"/>
  <c r="L80" i="13"/>
  <c r="M80" i="13"/>
  <c r="N80" i="13"/>
  <c r="O80" i="13"/>
  <c r="P80" i="13"/>
  <c r="Q80" i="13"/>
  <c r="H70" i="13"/>
  <c r="H71" i="13"/>
  <c r="H72" i="13"/>
  <c r="H73" i="13"/>
  <c r="H74" i="13"/>
  <c r="H75" i="13"/>
  <c r="H76" i="13"/>
  <c r="H77" i="13"/>
  <c r="H78" i="13"/>
  <c r="H79" i="13"/>
  <c r="H80" i="13"/>
  <c r="G71" i="13"/>
  <c r="G72" i="13"/>
  <c r="G73" i="13"/>
  <c r="G74" i="13"/>
  <c r="G75" i="13"/>
  <c r="G76" i="13"/>
  <c r="G77" i="13"/>
  <c r="G78" i="13"/>
  <c r="G79" i="13"/>
  <c r="G80" i="13"/>
  <c r="G70" i="13"/>
  <c r="D20" i="11"/>
  <c r="D19" i="11"/>
  <c r="C20" i="11"/>
  <c r="C19" i="11"/>
  <c r="C17" i="11"/>
  <c r="C14" i="11"/>
  <c r="B46" i="12" l="1"/>
  <c r="C43" i="12"/>
  <c r="C44" i="12" s="1"/>
  <c r="G38" i="12" s="1"/>
  <c r="B47" i="12"/>
  <c r="C38" i="13"/>
  <c r="C42" i="12" l="1"/>
  <c r="C51" i="12" s="1"/>
  <c r="C25" i="13"/>
  <c r="C22" i="12" l="1"/>
  <c r="C23" i="12" s="1"/>
  <c r="C24" i="12" l="1"/>
  <c r="C25" i="12"/>
  <c r="G37" i="12" s="1"/>
  <c r="C10" i="14"/>
  <c r="C11" i="14" l="1"/>
  <c r="C17" i="14" l="1"/>
  <c r="C18" i="14" l="1"/>
  <c r="C23" i="14"/>
  <c r="C40" i="13" l="1"/>
  <c r="G17" i="11"/>
  <c r="D31" i="3"/>
  <c r="C5" i="11"/>
  <c r="G18" i="11"/>
  <c r="C12" i="11" l="1"/>
  <c r="G19" i="11"/>
  <c r="C10" i="11"/>
  <c r="C19" i="13" l="1"/>
  <c r="C37" i="13" l="1"/>
  <c r="C26" i="13"/>
  <c r="G39" i="12"/>
  <c r="C57" i="12"/>
  <c r="C63" i="12" s="1"/>
  <c r="C39" i="13" l="1"/>
  <c r="C41" i="13"/>
  <c r="C45" i="13"/>
  <c r="C44" i="13"/>
  <c r="C28" i="13"/>
  <c r="C31" i="13" s="1"/>
  <c r="D64" i="12" l="1"/>
  <c r="E45" i="3"/>
  <c r="E44" i="3"/>
  <c r="B49" i="13" l="1"/>
  <c r="O38" i="3"/>
  <c r="S42" i="3" s="1"/>
  <c r="P43" i="3"/>
  <c r="O43" i="3"/>
  <c r="S31" i="3"/>
  <c r="S30" i="3"/>
  <c r="S29" i="3"/>
  <c r="S28" i="3"/>
  <c r="O44" i="3" s="1"/>
  <c r="S27" i="3"/>
  <c r="N42" i="3"/>
  <c r="S43" i="3"/>
  <c r="N43" i="3"/>
  <c r="O42" i="3"/>
  <c r="C39" i="3"/>
  <c r="E36" i="3" l="1"/>
  <c r="E37" i="3"/>
  <c r="E38" i="3"/>
  <c r="E35" i="3"/>
  <c r="P44" i="3"/>
  <c r="O47" i="3" s="1" a="1"/>
  <c r="O47" i="3" s="1"/>
  <c r="N44" i="3"/>
  <c r="R47" i="3" l="1"/>
  <c r="O48" i="3"/>
  <c r="O49" i="3"/>
  <c r="R49" i="3" s="1"/>
  <c r="O53" i="3" l="1"/>
  <c r="R48" i="3"/>
  <c r="O54" i="3"/>
  <c r="O52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S43" authorId="0" shapeId="0" xr:uid="{BA0249E5-95BC-4D2D-A431-EA227A4434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G=E/2/(1+v)</t>
        </r>
      </text>
    </comment>
    <comment ref="S44" authorId="0" shapeId="0" xr:uid="{F56E7F9B-442E-48BC-A2D1-BF0754E9DF2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K=E/3/(1-2V)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A66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Default L = 0.5m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18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b2 can be different for front and rear spars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17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0.5mm thick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44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G=E/2/(1+v)</t>
        </r>
      </text>
    </comment>
    <comment ref="C45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K=E/3/(1-2V)</t>
        </r>
      </text>
    </comment>
  </commentList>
</comments>
</file>

<file path=xl/sharedStrings.xml><?xml version="1.0" encoding="utf-8"?>
<sst xmlns="http://schemas.openxmlformats.org/spreadsheetml/2006/main" count="517" uniqueCount="342">
  <si>
    <t>D</t>
    <phoneticPr fontId="1" type="noConversion"/>
  </si>
  <si>
    <t>mm</t>
    <phoneticPr fontId="1" type="noConversion"/>
  </si>
  <si>
    <t>t1</t>
    <phoneticPr fontId="1" type="noConversion"/>
  </si>
  <si>
    <t>c</t>
    <phoneticPr fontId="1" type="noConversion"/>
  </si>
  <si>
    <t>b</t>
    <phoneticPr fontId="1" type="noConversion"/>
  </si>
  <si>
    <t>Spar section design</t>
    <phoneticPr fontId="1" type="noConversion"/>
  </si>
  <si>
    <t>M_root</t>
    <phoneticPr fontId="1" type="noConversion"/>
  </si>
  <si>
    <t>Ixx</t>
    <phoneticPr fontId="1" type="noConversion"/>
  </si>
  <si>
    <t>BM at span station (Nm)</t>
    <phoneticPr fontId="1" type="noConversion"/>
  </si>
  <si>
    <t>Stress (N/mm^2)</t>
    <phoneticPr fontId="1" type="noConversion"/>
  </si>
  <si>
    <t>sigmax</t>
    <phoneticPr fontId="1" type="noConversion"/>
  </si>
  <si>
    <t>Cell 1 area</t>
    <phoneticPr fontId="1" type="noConversion"/>
  </si>
  <si>
    <t>Cell 2 area</t>
    <phoneticPr fontId="1" type="noConversion"/>
  </si>
  <si>
    <t>Spar thichness</t>
    <phoneticPr fontId="1" type="noConversion"/>
  </si>
  <si>
    <t>Skin thichness</t>
    <phoneticPr fontId="1" type="noConversion"/>
  </si>
  <si>
    <t>t_w</t>
    <phoneticPr fontId="1" type="noConversion"/>
  </si>
  <si>
    <t>d</t>
    <phoneticPr fontId="1" type="noConversion"/>
  </si>
  <si>
    <t>Spar Dist to SC</t>
    <phoneticPr fontId="1" type="noConversion"/>
  </si>
  <si>
    <t>P</t>
    <phoneticPr fontId="1" type="noConversion"/>
  </si>
  <si>
    <t>Load</t>
    <phoneticPr fontId="1" type="noConversion"/>
  </si>
  <si>
    <t>h_w</t>
    <phoneticPr fontId="1" type="noConversion"/>
  </si>
  <si>
    <t>Circumference 1</t>
    <phoneticPr fontId="1" type="noConversion"/>
  </si>
  <si>
    <t>Spar height</t>
    <phoneticPr fontId="1" type="noConversion"/>
  </si>
  <si>
    <t>mm^2</t>
    <phoneticPr fontId="1" type="noConversion"/>
  </si>
  <si>
    <t>mm^2</t>
    <phoneticPr fontId="1" type="noConversion"/>
  </si>
  <si>
    <t>N</t>
    <phoneticPr fontId="1" type="noConversion"/>
  </si>
  <si>
    <t>mm</t>
    <phoneticPr fontId="1" type="noConversion"/>
  </si>
  <si>
    <t>Double cell tube calculation input</t>
    <phoneticPr fontId="1" type="noConversion"/>
  </si>
  <si>
    <t>An</t>
    <phoneticPr fontId="1" type="noConversion"/>
  </si>
  <si>
    <t>Ar</t>
    <phoneticPr fontId="1" type="noConversion"/>
  </si>
  <si>
    <t>tn</t>
    <phoneticPr fontId="1" type="noConversion"/>
  </si>
  <si>
    <t>Sn</t>
    <phoneticPr fontId="1" type="noConversion"/>
  </si>
  <si>
    <t>Sr</t>
    <phoneticPr fontId="1" type="noConversion"/>
  </si>
  <si>
    <t>tr</t>
    <phoneticPr fontId="1" type="noConversion"/>
  </si>
  <si>
    <t>Torque</t>
    <phoneticPr fontId="1" type="noConversion"/>
  </si>
  <si>
    <t>Nmm</t>
    <phoneticPr fontId="1" type="noConversion"/>
  </si>
  <si>
    <t>G</t>
    <phoneticPr fontId="1" type="noConversion"/>
  </si>
  <si>
    <t>N/mm^2</t>
  </si>
  <si>
    <t>N/mm^2</t>
    <phoneticPr fontId="1" type="noConversion"/>
  </si>
  <si>
    <t>Shear modulus</t>
    <phoneticPr fontId="1" type="noConversion"/>
  </si>
  <si>
    <t>qn</t>
    <phoneticPr fontId="1" type="noConversion"/>
  </si>
  <si>
    <t>qr</t>
    <phoneticPr fontId="1" type="noConversion"/>
  </si>
  <si>
    <t>qw</t>
    <phoneticPr fontId="1" type="noConversion"/>
  </si>
  <si>
    <t>RHS</t>
    <phoneticPr fontId="1" type="noConversion"/>
  </si>
  <si>
    <t>1/2GAn</t>
    <phoneticPr fontId="1" type="noConversion"/>
  </si>
  <si>
    <t>1/2GAr</t>
    <phoneticPr fontId="1" type="noConversion"/>
  </si>
  <si>
    <t>Sn/tn</t>
    <phoneticPr fontId="1" type="noConversion"/>
  </si>
  <si>
    <t>Sr/tr</t>
    <phoneticPr fontId="1" type="noConversion"/>
  </si>
  <si>
    <t>h_w/t_w</t>
    <phoneticPr fontId="1" type="noConversion"/>
  </si>
  <si>
    <t>=</t>
    <phoneticPr fontId="1" type="noConversion"/>
  </si>
  <si>
    <t>X       qr</t>
    <phoneticPr fontId="1" type="noConversion"/>
  </si>
  <si>
    <t>qn=</t>
    <phoneticPr fontId="1" type="noConversion"/>
  </si>
  <si>
    <t>qr=</t>
    <phoneticPr fontId="1" type="noConversion"/>
  </si>
  <si>
    <t>qw=</t>
    <phoneticPr fontId="1" type="noConversion"/>
  </si>
  <si>
    <t>tau_n=</t>
    <phoneticPr fontId="1" type="noConversion"/>
  </si>
  <si>
    <t>tau_r=</t>
    <phoneticPr fontId="1" type="noConversion"/>
  </si>
  <si>
    <t>tau_w=</t>
    <phoneticPr fontId="1" type="noConversion"/>
  </si>
  <si>
    <t>Inverse Matrix</t>
    <phoneticPr fontId="1" type="noConversion"/>
  </si>
  <si>
    <t>Check T</t>
    <phoneticPr fontId="1" type="noConversion"/>
  </si>
  <si>
    <t>Check P</t>
    <phoneticPr fontId="1" type="noConversion"/>
  </si>
  <si>
    <t>theta/x_n</t>
    <phoneticPr fontId="1" type="noConversion"/>
  </si>
  <si>
    <t>theta/x_r</t>
    <phoneticPr fontId="1" type="noConversion"/>
  </si>
  <si>
    <t>rad/m</t>
    <phoneticPr fontId="1" type="noConversion"/>
  </si>
  <si>
    <t>T</t>
    <phoneticPr fontId="1" type="noConversion"/>
  </si>
  <si>
    <t>t2=tw</t>
    <phoneticPr fontId="1" type="noConversion"/>
  </si>
  <si>
    <t>L</t>
    <phoneticPr fontId="1" type="noConversion"/>
  </si>
  <si>
    <t>a</t>
    <phoneticPr fontId="1" type="noConversion"/>
  </si>
  <si>
    <t>n</t>
    <phoneticPr fontId="1" type="noConversion"/>
  </si>
  <si>
    <t>Nm</t>
    <phoneticPr fontId="1" type="noConversion"/>
  </si>
  <si>
    <t>Multiply matrix</t>
  </si>
  <si>
    <t>ctrl+shift+enter</t>
  </si>
  <si>
    <t>Young's modulus</t>
  </si>
  <si>
    <t>E</t>
  </si>
  <si>
    <t>Poisson ratio</t>
  </si>
  <si>
    <t>v</t>
  </si>
  <si>
    <t>Bulk modulus</t>
  </si>
  <si>
    <t>K</t>
  </si>
  <si>
    <t>M_2m</t>
  </si>
  <si>
    <t>M_1m</t>
  </si>
  <si>
    <t>M_3m</t>
  </si>
  <si>
    <t>Torsion senario</t>
    <phoneticPr fontId="1" type="noConversion"/>
  </si>
  <si>
    <t>Bending moment</t>
    <phoneticPr fontId="1" type="noConversion"/>
  </si>
  <si>
    <t>Shear flow</t>
    <phoneticPr fontId="1" type="noConversion"/>
  </si>
  <si>
    <t>Shear stress</t>
    <phoneticPr fontId="1" type="noConversion"/>
  </si>
  <si>
    <t>As</t>
    <phoneticPr fontId="1" type="noConversion"/>
  </si>
  <si>
    <t>ts</t>
    <phoneticPr fontId="1" type="noConversion"/>
  </si>
  <si>
    <t>Cross-section area of stringer</t>
    <phoneticPr fontId="1" type="noConversion"/>
  </si>
  <si>
    <t>h</t>
    <phoneticPr fontId="1" type="noConversion"/>
  </si>
  <si>
    <t>Description</t>
    <phoneticPr fontId="1" type="noConversion"/>
  </si>
  <si>
    <t>Symbol</t>
    <phoneticPr fontId="1" type="noConversion"/>
  </si>
  <si>
    <t>Value</t>
    <phoneticPr fontId="1" type="noConversion"/>
  </si>
  <si>
    <t>Unit</t>
    <phoneticPr fontId="1" type="noConversion"/>
  </si>
  <si>
    <t>mm^2</t>
    <phoneticPr fontId="1" type="noConversion"/>
  </si>
  <si>
    <t>As/bt =</t>
    <phoneticPr fontId="1" type="noConversion"/>
  </si>
  <si>
    <t>sigma_cr / sigma_0 =</t>
    <phoneticPr fontId="1" type="noConversion"/>
  </si>
  <si>
    <t>Compressive end load per unit width</t>
    <phoneticPr fontId="1" type="noConversion"/>
  </si>
  <si>
    <t>Et</t>
    <phoneticPr fontId="1" type="noConversion"/>
  </si>
  <si>
    <t>Tangent Modulus (Assume=E)</t>
    <phoneticPr fontId="1" type="noConversion"/>
  </si>
  <si>
    <t>m</t>
    <phoneticPr fontId="1" type="noConversion"/>
  </si>
  <si>
    <t>Nm</t>
    <phoneticPr fontId="1" type="noConversion"/>
  </si>
  <si>
    <t>b2</t>
    <phoneticPr fontId="1" type="noConversion"/>
  </si>
  <si>
    <t>V</t>
    <phoneticPr fontId="1" type="noConversion"/>
  </si>
  <si>
    <t>q2</t>
    <phoneticPr fontId="1" type="noConversion"/>
  </si>
  <si>
    <t>Ks</t>
    <phoneticPr fontId="1" type="noConversion"/>
  </si>
  <si>
    <t>a/b2</t>
    <phoneticPr fontId="1" type="noConversion"/>
  </si>
  <si>
    <t>N/mm</t>
    <phoneticPr fontId="1" type="noConversion"/>
  </si>
  <si>
    <t xml:space="preserve">T </t>
    <phoneticPr fontId="1" type="noConversion"/>
  </si>
  <si>
    <t>c</t>
    <phoneticPr fontId="1" type="noConversion"/>
  </si>
  <si>
    <t>Shear flow by Load</t>
    <phoneticPr fontId="1" type="noConversion"/>
  </si>
  <si>
    <t>Load + Torque</t>
    <phoneticPr fontId="1" type="noConversion"/>
  </si>
  <si>
    <t>q0</t>
    <phoneticPr fontId="1" type="noConversion"/>
  </si>
  <si>
    <t>Web panel spacing design</t>
    <phoneticPr fontId="1" type="noConversion"/>
  </si>
  <si>
    <t>Distance between spars</t>
    <phoneticPr fontId="1" type="noConversion"/>
  </si>
  <si>
    <t>Web height</t>
    <phoneticPr fontId="1" type="noConversion"/>
  </si>
  <si>
    <t>Lookup graph for Ks</t>
    <phoneticPr fontId="1" type="noConversion"/>
  </si>
  <si>
    <t>Shear buckling coeff</t>
    <phoneticPr fontId="1" type="noConversion"/>
  </si>
  <si>
    <t>Shear Load</t>
    <phoneticPr fontId="1" type="noConversion"/>
  </si>
  <si>
    <t>Torque load</t>
    <phoneticPr fontId="1" type="noConversion"/>
  </si>
  <si>
    <t xml:space="preserve">m </t>
    <phoneticPr fontId="1" type="noConversion"/>
  </si>
  <si>
    <t>N</t>
    <phoneticPr fontId="1" type="noConversion"/>
  </si>
  <si>
    <t>Shear stress front spar</t>
    <phoneticPr fontId="1" type="noConversion"/>
  </si>
  <si>
    <t>Shear stress rear spar</t>
    <phoneticPr fontId="1" type="noConversion"/>
  </si>
  <si>
    <t>tau_R</t>
    <phoneticPr fontId="1" type="noConversion"/>
  </si>
  <si>
    <t>tau_F</t>
    <phoneticPr fontId="1" type="noConversion"/>
  </si>
  <si>
    <t>N/mm</t>
    <phoneticPr fontId="1" type="noConversion"/>
  </si>
  <si>
    <t>N/mm^2</t>
    <phoneticPr fontId="1" type="noConversion"/>
  </si>
  <si>
    <t>Compressive Load of unit length</t>
    <phoneticPr fontId="1" type="noConversion"/>
  </si>
  <si>
    <t>Bending Moment at section</t>
    <phoneticPr fontId="1" type="noConversion"/>
  </si>
  <si>
    <t>M</t>
    <phoneticPr fontId="1" type="noConversion"/>
  </si>
  <si>
    <t>N/m</t>
    <phoneticPr fontId="1" type="noConversion"/>
  </si>
  <si>
    <t>Skin thichness</t>
    <phoneticPr fontId="1" type="noConversion"/>
  </si>
  <si>
    <t>Box width</t>
    <phoneticPr fontId="1" type="noConversion"/>
  </si>
  <si>
    <t xml:space="preserve">Box height </t>
    <phoneticPr fontId="1" type="noConversion"/>
  </si>
  <si>
    <t>GPa</t>
    <phoneticPr fontId="1" type="noConversion"/>
  </si>
  <si>
    <t>sigma</t>
    <phoneticPr fontId="1" type="noConversion"/>
  </si>
  <si>
    <t>N/mm^2</t>
    <phoneticPr fontId="1" type="noConversion"/>
  </si>
  <si>
    <t>Catchpole diagram</t>
  </si>
  <si>
    <t>Bending is taken by the skin panel</t>
  </si>
  <si>
    <t>Shear load and torque is taken by the web</t>
  </si>
  <si>
    <t>Design the stringer</t>
  </si>
  <si>
    <t>Read from Catchpole diagram</t>
  </si>
  <si>
    <t>a</t>
  </si>
  <si>
    <t>b</t>
  </si>
  <si>
    <t>t1</t>
  </si>
  <si>
    <t>mm</t>
  </si>
  <si>
    <t>m</t>
  </si>
  <si>
    <t>Ks</t>
  </si>
  <si>
    <t>Curved panel buckling coeff in shear</t>
  </si>
  <si>
    <t>R1</t>
  </si>
  <si>
    <r>
      <t>b/</t>
    </r>
    <r>
      <rPr>
        <sz val="11"/>
        <color theme="1"/>
        <rFont val="Calibri"/>
        <family val="2"/>
      </rPr>
      <t>√(</t>
    </r>
    <r>
      <rPr>
        <sz val="11"/>
        <color theme="1"/>
        <rFont val="Calibri"/>
        <family val="2"/>
        <scheme val="minor"/>
      </rPr>
      <t>R*t)</t>
    </r>
  </si>
  <si>
    <t>a/b</t>
  </si>
  <si>
    <t>D-cell Span Length</t>
  </si>
  <si>
    <t>D-cell thickness</t>
  </si>
  <si>
    <t>D-cell radius</t>
  </si>
  <si>
    <t>Lookup ESDU diagram to find Ks</t>
  </si>
  <si>
    <t>tau_cr</t>
  </si>
  <si>
    <t>MPa</t>
  </si>
  <si>
    <t>Tresca shear yielding stress</t>
  </si>
  <si>
    <t>tau_tres</t>
  </si>
  <si>
    <t xml:space="preserve">t </t>
  </si>
  <si>
    <t>Panel thickness</t>
  </si>
  <si>
    <t>b/a</t>
  </si>
  <si>
    <r>
      <t>a/</t>
    </r>
    <r>
      <rPr>
        <sz val="11"/>
        <color theme="1"/>
        <rFont val="Calibri"/>
        <family val="2"/>
      </rPr>
      <t>√(</t>
    </r>
    <r>
      <rPr>
        <sz val="11"/>
        <color theme="1"/>
        <rFont val="Calibri"/>
        <family val="2"/>
        <scheme val="minor"/>
      </rPr>
      <t>R*t)</t>
    </r>
  </si>
  <si>
    <t>Buckling stress of Curved panel in shear</t>
  </si>
  <si>
    <t>Check panel thickness</t>
  </si>
  <si>
    <t>bref</t>
  </si>
  <si>
    <t>n_rib</t>
  </si>
  <si>
    <t>Wingbox span</t>
  </si>
  <si>
    <t>No. of Pseudo ribs</t>
  </si>
  <si>
    <t>Curved panel length</t>
  </si>
  <si>
    <t>t2</t>
  </si>
  <si>
    <t xml:space="preserve">Web height </t>
  </si>
  <si>
    <t>Weight check</t>
  </si>
  <si>
    <t>Spar Height</t>
  </si>
  <si>
    <t>Flange thickness</t>
  </si>
  <si>
    <t>Web thickness</t>
  </si>
  <si>
    <t>Flange width</t>
  </si>
  <si>
    <t xml:space="preserve">Edge to NA </t>
  </si>
  <si>
    <t>Check 
deformation</t>
  </si>
  <si>
    <t>P_rib</t>
  </si>
  <si>
    <t>Skin</t>
  </si>
  <si>
    <t>Al</t>
  </si>
  <si>
    <t>kg/m^3</t>
  </si>
  <si>
    <t>Total</t>
  </si>
  <si>
    <t>g</t>
  </si>
  <si>
    <t>0,9,15</t>
  </si>
  <si>
    <t>W_rib</t>
  </si>
  <si>
    <t>W_skin</t>
  </si>
  <si>
    <t>P_rib No.</t>
  </si>
  <si>
    <t>Weight vs No. of ribs</t>
  </si>
  <si>
    <t>ts/t2 =</t>
  </si>
  <si>
    <t>Mean stress by skin and stringer</t>
  </si>
  <si>
    <t>F</t>
  </si>
  <si>
    <t>FARRAR factor read from chart</t>
  </si>
  <si>
    <t>Euler Buckling = Local Buckling</t>
  </si>
  <si>
    <t>Critical Buckling Stress</t>
  </si>
  <si>
    <t>sig_cr/Sig_0</t>
  </si>
  <si>
    <t>W_save</t>
  </si>
  <si>
    <t>No. of</t>
  </si>
  <si>
    <t>FARRAR Factor diagram</t>
  </si>
  <si>
    <t xml:space="preserve">Change L to make critical stress equal </t>
  </si>
  <si>
    <t>L match</t>
  </si>
  <si>
    <t>M</t>
  </si>
  <si>
    <t>Nm</t>
  </si>
  <si>
    <t>c</t>
  </si>
  <si>
    <t>I</t>
  </si>
  <si>
    <t>Bending moment</t>
  </si>
  <si>
    <t>Chord</t>
  </si>
  <si>
    <t>Equivalent panel thickness</t>
  </si>
  <si>
    <t>Rib spacing</t>
  </si>
  <si>
    <t>s or L</t>
  </si>
  <si>
    <t>From free body diagram</t>
    <phoneticPr fontId="1" type="noConversion"/>
  </si>
  <si>
    <t>Hence</t>
    <phoneticPr fontId="1" type="noConversion"/>
  </si>
  <si>
    <t>Because for the wingbox design we have</t>
    <phoneticPr fontId="1" type="noConversion"/>
  </si>
  <si>
    <t>We can have crush force expressed as</t>
    <phoneticPr fontId="1" type="noConversion"/>
  </si>
  <si>
    <t>We have ETB relationship</t>
    <phoneticPr fontId="1" type="noConversion"/>
  </si>
  <si>
    <t>F</t>
    <phoneticPr fontId="1" type="noConversion"/>
  </si>
  <si>
    <t xml:space="preserve">Wingbox depth </t>
    <phoneticPr fontId="1" type="noConversion"/>
  </si>
  <si>
    <t>h_c</t>
    <phoneticPr fontId="1" type="noConversion"/>
  </si>
  <si>
    <t>t_e</t>
    <phoneticPr fontId="1" type="noConversion"/>
  </si>
  <si>
    <t>Second moment of area of skin panel</t>
    <phoneticPr fontId="1" type="noConversion"/>
  </si>
  <si>
    <t>m^4</t>
    <phoneticPr fontId="1" type="noConversion"/>
  </si>
  <si>
    <t>Crush Load</t>
    <phoneticPr fontId="1" type="noConversion"/>
  </si>
  <si>
    <t>Check yield stress</t>
    <phoneticPr fontId="1" type="noConversion"/>
  </si>
  <si>
    <t>Check buckling stress</t>
    <phoneticPr fontId="1" type="noConversion"/>
  </si>
  <si>
    <t>Yield stress</t>
    <phoneticPr fontId="1" type="noConversion"/>
  </si>
  <si>
    <t>sigma_y</t>
    <phoneticPr fontId="1" type="noConversion"/>
  </si>
  <si>
    <t>Buckling stress</t>
    <phoneticPr fontId="1" type="noConversion"/>
  </si>
  <si>
    <t>sigma_b</t>
    <phoneticPr fontId="1" type="noConversion"/>
  </si>
  <si>
    <t>Design rib thickness</t>
    <phoneticPr fontId="1" type="noConversion"/>
  </si>
  <si>
    <t>t_r</t>
    <phoneticPr fontId="1" type="noConversion"/>
  </si>
  <si>
    <t>Tensile yield stress</t>
  </si>
  <si>
    <t>Mpa</t>
  </si>
  <si>
    <t>Shear yield stress</t>
  </si>
  <si>
    <t>Compressive yield stress</t>
    <phoneticPr fontId="1" type="noConversion"/>
  </si>
  <si>
    <t>Mpa</t>
    <phoneticPr fontId="1" type="noConversion"/>
  </si>
  <si>
    <t>Mpa</t>
    <phoneticPr fontId="1" type="noConversion"/>
  </si>
  <si>
    <t>Yielding criteria</t>
    <phoneticPr fontId="1" type="noConversion"/>
  </si>
  <si>
    <t>t_e</t>
    <phoneticPr fontId="1" type="noConversion"/>
  </si>
  <si>
    <t>Panel clamped in torque</t>
    <phoneticPr fontId="1" type="noConversion"/>
  </si>
  <si>
    <t>sigma_c</t>
    <phoneticPr fontId="1" type="noConversion"/>
  </si>
  <si>
    <t>Crush stress</t>
    <phoneticPr fontId="1" type="noConversion"/>
  </si>
  <si>
    <t>Shear criteria: let shear stress = rib crush stress</t>
  </si>
  <si>
    <t>Optional stress check</t>
  </si>
  <si>
    <t>Effective area</t>
  </si>
  <si>
    <t>Panel clamped in shear stess = panel buckling stress</t>
  </si>
  <si>
    <t>b2</t>
  </si>
  <si>
    <t>Shear flow by Torque</t>
  </si>
  <si>
    <t>Shear flow at front spar</t>
  </si>
  <si>
    <t>Shear flow at rear spar</t>
  </si>
  <si>
    <t>q_FS</t>
  </si>
  <si>
    <t>q_RS</t>
  </si>
  <si>
    <t>Front web thickness</t>
  </si>
  <si>
    <t>Rear web thickness</t>
  </si>
  <si>
    <t>t_FS</t>
  </si>
  <si>
    <t>t_RS</t>
  </si>
  <si>
    <t>Combined loading - chapter 3, part 1.3</t>
  </si>
  <si>
    <t>How about shear flow in the skin?</t>
  </si>
  <si>
    <t>sigma_cr</t>
  </si>
  <si>
    <t>sigma_f</t>
  </si>
  <si>
    <t>sigma_0</t>
  </si>
  <si>
    <t>sigma_cr - sigma_f = 0</t>
  </si>
  <si>
    <t>Chapter 3, part1.1</t>
  </si>
  <si>
    <t>Chapter 3, part1.2</t>
  </si>
  <si>
    <t>From Chapter 7, part 7.4 / 7.5</t>
  </si>
  <si>
    <t>a&gt;b</t>
  </si>
  <si>
    <t>b&gt;a</t>
  </si>
  <si>
    <t>Equal to Tresca shear yielding stress</t>
  </si>
  <si>
    <t>18,31,35</t>
  </si>
  <si>
    <t>Skin thickness</t>
  </si>
  <si>
    <t>Material properties</t>
  </si>
  <si>
    <t>Al 2024</t>
  </si>
  <si>
    <t>Al 7075</t>
  </si>
  <si>
    <t>Shear flow in the skin</t>
  </si>
  <si>
    <t>Shear stress in the skin</t>
  </si>
  <si>
    <t>Compressive stress</t>
  </si>
  <si>
    <t>Critical Compressive stress</t>
  </si>
  <si>
    <t>tau_0</t>
  </si>
  <si>
    <t>Critical shear buckling stress</t>
  </si>
  <si>
    <t>R_c</t>
  </si>
  <si>
    <t>R_s</t>
  </si>
  <si>
    <t>Compressive stress ratio</t>
  </si>
  <si>
    <t>Shear stress ratio</t>
  </si>
  <si>
    <t>R_s^2+R_c =</t>
  </si>
  <si>
    <t>b1</t>
  </si>
  <si>
    <t>Skin panel width=stringer pitch</t>
  </si>
  <si>
    <t>Rs</t>
  </si>
  <si>
    <t>Rc</t>
  </si>
  <si>
    <t>b (b1)</t>
  </si>
  <si>
    <t>1. Initial Buckling of simple panel (No stringer)</t>
  </si>
  <si>
    <t>Stringer</t>
  </si>
  <si>
    <t>Example of stringer-skin geometry and weight saving results</t>
  </si>
  <si>
    <t>No. of panels</t>
  </si>
  <si>
    <t>mm^2</t>
  </si>
  <si>
    <t>t_e or T</t>
  </si>
  <si>
    <t>n*b*T</t>
  </si>
  <si>
    <t>4. FARRAR efficiency factor, stringer local buckling</t>
  </si>
  <si>
    <t>Critical Buckling stress</t>
  </si>
  <si>
    <t xml:space="preserve"> </t>
  </si>
  <si>
    <t>2. Design panel size and stringer size</t>
  </si>
  <si>
    <t>3. Use initial buckling of panel to find skin thickness</t>
  </si>
  <si>
    <t>Stringer thickness</t>
  </si>
  <si>
    <t>Panel width</t>
  </si>
  <si>
    <t>Flange width of stringer</t>
  </si>
  <si>
    <t>Stringer web height</t>
  </si>
  <si>
    <t>Stringer flange and web ratio</t>
  </si>
  <si>
    <t>Panel effective thickness</t>
  </si>
  <si>
    <t>Panel effective area</t>
  </si>
  <si>
    <t>Simple panel</t>
  </si>
  <si>
    <t xml:space="preserve">Simple Panel Area </t>
  </si>
  <si>
    <t>c*t2</t>
  </si>
  <si>
    <t>Stringer panel</t>
  </si>
  <si>
    <t>Section Area Check</t>
  </si>
  <si>
    <t>Area Save</t>
  </si>
  <si>
    <t>Panel</t>
  </si>
  <si>
    <t>Str h</t>
  </si>
  <si>
    <t>ts</t>
  </si>
  <si>
    <t>As</t>
  </si>
  <si>
    <t>£/kg</t>
  </si>
  <si>
    <t>Stringer mounting</t>
  </si>
  <si>
    <t>£/m</t>
  </si>
  <si>
    <t>Spar mounting</t>
  </si>
  <si>
    <t>Rib mounting</t>
  </si>
  <si>
    <t>£ each</t>
  </si>
  <si>
    <t>AL7075</t>
  </si>
  <si>
    <t>AL2024</t>
  </si>
  <si>
    <t>Material and Manufacturing Cost</t>
  </si>
  <si>
    <t>Design aim for minimum weight and cost</t>
  </si>
  <si>
    <t>Buckling criteria: lst buckling stress = rib crush stress</t>
  </si>
  <si>
    <t>Reference:</t>
    <phoneticPr fontId="2" type="noConversion"/>
  </si>
  <si>
    <t>http://www.matweb.com/</t>
  </si>
  <si>
    <t>Volume</t>
  </si>
  <si>
    <t>Weight</t>
  </si>
  <si>
    <t>mm^3</t>
  </si>
  <si>
    <t>gram</t>
  </si>
  <si>
    <t>Desity</t>
  </si>
  <si>
    <t>Density AL2024</t>
  </si>
  <si>
    <t>Density AL7075</t>
  </si>
  <si>
    <t>£</t>
  </si>
  <si>
    <t>Cost Material</t>
  </si>
  <si>
    <t>Cost Assembly</t>
  </si>
  <si>
    <t>Total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</si>
</sst>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"/>
    <numFmt numFmtId="166" formatCode="0.0%"/>
    <numFmt numFmtId="167" formatCode="0.0000"/>
  </numFmts>
  <fonts count="22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Arial Unicode MS"/>
      <family val="2"/>
      <charset val="134"/>
    </font>
    <font>
      <b/>
      <sz val="14"/>
      <color theme="1"/>
      <name val="Arial Unicode MS"/>
      <family val="2"/>
      <charset val="134"/>
    </font>
    <font>
      <b/>
      <sz val="11"/>
      <color theme="1"/>
      <name val="Arial Unicode MS"/>
      <family val="2"/>
      <charset val="134"/>
    </font>
    <font>
      <sz val="11"/>
      <color rgb="FFFF0000"/>
      <name val="Arial Unicode MS"/>
      <family val="2"/>
      <charset val="134"/>
    </font>
    <font>
      <b/>
      <sz val="16"/>
      <color theme="1"/>
      <name val="Calibri"/>
      <family val="3"/>
      <charset val="134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 Unicode MS"/>
      <family val="2"/>
      <charset val="134"/>
    </font>
    <font>
      <b/>
      <sz val="11"/>
      <color rgb="FFFF0000"/>
      <name val="Arial Unicode MS"/>
      <family val="2"/>
      <charset val="134"/>
    </font>
    <font>
      <b/>
      <sz val="11"/>
      <color theme="1"/>
      <name val="Calibri"/>
      <family val="2"/>
      <scheme val="minor"/>
    </font>
    <font>
      <b/>
      <sz val="11"/>
      <color theme="1"/>
      <name val="Arial Unicode MS"/>
    </font>
    <font>
      <sz val="11"/>
      <color theme="1"/>
      <name val="Arial Unicode MS"/>
    </font>
    <font>
      <b/>
      <sz val="11"/>
      <color rgb="FF00B0F0"/>
      <name val="Arial Unicode MS"/>
      <family val="2"/>
      <charset val="134"/>
    </font>
    <font>
      <sz val="11"/>
      <color rgb="FF00B0F0"/>
      <name val="Arial Unicode MS"/>
      <family val="2"/>
      <charset val="134"/>
    </font>
    <font>
      <b/>
      <sz val="11"/>
      <color rgb="FF00B0F0"/>
      <name val="Arial Unicode MS"/>
    </font>
    <font>
      <b/>
      <sz val="11"/>
      <color rgb="FF00B0F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9" fillId="0" borderId="0" applyFont="0" applyFill="0" applyBorder="0" applyAlignment="0" applyProtection="0"/>
    <xf numFmtId="0" fontId="21" fillId="0" borderId="0" applyNumberFormat="0" applyFill="0" applyBorder="0" applyAlignment="0" applyProtection="0"/>
  </cellStyleXfs>
  <cellXfs count="118">
    <xf numFmtId="0" fontId="0" fillId="0" borderId="0" xfId="0"/>
    <xf numFmtId="0" fontId="0" fillId="0" borderId="1" xfId="0" applyBorder="1"/>
    <xf numFmtId="2" fontId="0" fillId="3" borderId="1" xfId="0" applyNumberFormat="1" applyFill="1" applyBorder="1"/>
    <xf numFmtId="0" fontId="0" fillId="0" borderId="1" xfId="0" applyBorder="1" applyAlignment="1">
      <alignment horizontal="center"/>
    </xf>
    <xf numFmtId="0" fontId="4" fillId="0" borderId="0" xfId="0" applyFont="1"/>
    <xf numFmtId="0" fontId="4" fillId="0" borderId="1" xfId="0" applyFont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4" fillId="0" borderId="1" xfId="0" applyFont="1" applyBorder="1"/>
    <xf numFmtId="11" fontId="4" fillId="0" borderId="1" xfId="0" applyNumberFormat="1" applyFont="1" applyBorder="1" applyAlignment="1">
      <alignment horizontal="center"/>
    </xf>
    <xf numFmtId="165" fontId="6" fillId="3" borderId="1" xfId="0" applyNumberFormat="1" applyFont="1" applyFill="1" applyBorder="1"/>
    <xf numFmtId="0" fontId="4" fillId="0" borderId="0" xfId="0" applyFont="1" applyAlignment="1">
      <alignment horizontal="center"/>
    </xf>
    <xf numFmtId="0" fontId="4" fillId="0" borderId="3" xfId="0" applyFont="1" applyBorder="1"/>
    <xf numFmtId="0" fontId="4" fillId="0" borderId="2" xfId="0" applyFont="1" applyBorder="1"/>
    <xf numFmtId="0" fontId="4" fillId="0" borderId="0" xfId="0" applyFont="1" applyAlignment="1">
      <alignment horizontal="right"/>
    </xf>
    <xf numFmtId="0" fontId="4" fillId="0" borderId="4" xfId="0" applyFont="1" applyBorder="1"/>
    <xf numFmtId="1" fontId="4" fillId="0" borderId="1" xfId="0" applyNumberFormat="1" applyFont="1" applyBorder="1" applyAlignment="1">
      <alignment horizontal="center"/>
    </xf>
    <xf numFmtId="11" fontId="4" fillId="0" borderId="3" xfId="0" applyNumberFormat="1" applyFont="1" applyBorder="1"/>
    <xf numFmtId="11" fontId="4" fillId="0" borderId="0" xfId="0" applyNumberFormat="1" applyFont="1"/>
    <xf numFmtId="11" fontId="4" fillId="0" borderId="2" xfId="0" applyNumberFormat="1" applyFont="1" applyBorder="1"/>
    <xf numFmtId="2" fontId="4" fillId="0" borderId="4" xfId="0" applyNumberFormat="1" applyFont="1" applyBorder="1"/>
    <xf numFmtId="0" fontId="4" fillId="0" borderId="1" xfId="0" applyFont="1" applyBorder="1" applyAlignment="1">
      <alignment horizontal="right"/>
    </xf>
    <xf numFmtId="2" fontId="6" fillId="3" borderId="1" xfId="0" applyNumberFormat="1" applyFont="1" applyFill="1" applyBorder="1"/>
    <xf numFmtId="0" fontId="7" fillId="0" borderId="0" xfId="0" applyFont="1"/>
    <xf numFmtId="0" fontId="4" fillId="0" borderId="5" xfId="0" applyFont="1" applyBorder="1"/>
    <xf numFmtId="11" fontId="4" fillId="0" borderId="1" xfId="0" applyNumberFormat="1" applyFont="1" applyBorder="1"/>
    <xf numFmtId="0" fontId="6" fillId="0" borderId="1" xfId="0" applyFont="1" applyBorder="1" applyAlignment="1">
      <alignment horizontal="center"/>
    </xf>
    <xf numFmtId="0" fontId="6" fillId="0" borderId="0" xfId="0" applyFont="1"/>
    <xf numFmtId="0" fontId="4" fillId="2" borderId="1" xfId="0" applyFont="1" applyFill="1" applyBorder="1"/>
    <xf numFmtId="0" fontId="0" fillId="4" borderId="0" xfId="0" applyFill="1"/>
    <xf numFmtId="0" fontId="0" fillId="2" borderId="1" xfId="0" applyFill="1" applyBorder="1"/>
    <xf numFmtId="0" fontId="0" fillId="4" borderId="1" xfId="0" applyFill="1" applyBorder="1"/>
    <xf numFmtId="0" fontId="4" fillId="4" borderId="1" xfId="0" applyFont="1" applyFill="1" applyBorder="1"/>
    <xf numFmtId="2" fontId="4" fillId="3" borderId="1" xfId="0" applyNumberFormat="1" applyFont="1" applyFill="1" applyBorder="1"/>
    <xf numFmtId="165" fontId="4" fillId="3" borderId="1" xfId="0" applyNumberFormat="1" applyFont="1" applyFill="1" applyBorder="1"/>
    <xf numFmtId="166" fontId="4" fillId="0" borderId="1" xfId="1" applyNumberFormat="1" applyFont="1" applyBorder="1"/>
    <xf numFmtId="165" fontId="0" fillId="0" borderId="1" xfId="0" applyNumberFormat="1" applyBorder="1"/>
    <xf numFmtId="2" fontId="0" fillId="0" borderId="1" xfId="0" applyNumberFormat="1" applyBorder="1"/>
    <xf numFmtId="0" fontId="12" fillId="0" borderId="1" xfId="0" applyFont="1" applyBorder="1" applyAlignment="1">
      <alignment horizontal="center"/>
    </xf>
    <xf numFmtId="0" fontId="12" fillId="0" borderId="1" xfId="0" applyFont="1" applyBorder="1"/>
    <xf numFmtId="0" fontId="10" fillId="0" borderId="8" xfId="0" applyFont="1" applyBorder="1"/>
    <xf numFmtId="2" fontId="0" fillId="0" borderId="12" xfId="0" applyNumberFormat="1" applyBorder="1"/>
    <xf numFmtId="0" fontId="0" fillId="2" borderId="7" xfId="0" applyFill="1" applyBorder="1"/>
    <xf numFmtId="165" fontId="0" fillId="0" borderId="11" xfId="0" applyNumberFormat="1" applyBorder="1"/>
    <xf numFmtId="164" fontId="0" fillId="0" borderId="1" xfId="0" applyNumberFormat="1" applyBorder="1" applyAlignment="1">
      <alignment horizontal="center"/>
    </xf>
    <xf numFmtId="0" fontId="4" fillId="0" borderId="10" xfId="0" applyFont="1" applyBorder="1" applyAlignment="1">
      <alignment horizontal="right"/>
    </xf>
    <xf numFmtId="0" fontId="4" fillId="0" borderId="7" xfId="0" applyFont="1" applyBorder="1"/>
    <xf numFmtId="0" fontId="4" fillId="0" borderId="10" xfId="0" applyFont="1" applyBorder="1" applyAlignment="1">
      <alignment horizontal="center"/>
    </xf>
    <xf numFmtId="0" fontId="4" fillId="2" borderId="8" xfId="0" applyFont="1" applyFill="1" applyBorder="1"/>
    <xf numFmtId="0" fontId="12" fillId="0" borderId="9" xfId="0" applyFont="1" applyBorder="1"/>
    <xf numFmtId="0" fontId="13" fillId="0" borderId="8" xfId="0" applyFont="1" applyBorder="1"/>
    <xf numFmtId="0" fontId="13" fillId="0" borderId="1" xfId="0" applyFont="1" applyBorder="1"/>
    <xf numFmtId="11" fontId="0" fillId="0" borderId="1" xfId="0" applyNumberFormat="1" applyBorder="1"/>
    <xf numFmtId="164" fontId="4" fillId="3" borderId="1" xfId="0" applyNumberFormat="1" applyFont="1" applyFill="1" applyBorder="1"/>
    <xf numFmtId="0" fontId="0" fillId="0" borderId="0" xfId="0" applyAlignment="1">
      <alignment horizontal="center"/>
    </xf>
    <xf numFmtId="164" fontId="4" fillId="2" borderId="1" xfId="0" applyNumberFormat="1" applyFont="1" applyFill="1" applyBorder="1"/>
    <xf numFmtId="0" fontId="6" fillId="0" borderId="0" xfId="0" applyFont="1" applyAlignment="1">
      <alignment horizontal="center"/>
    </xf>
    <xf numFmtId="2" fontId="0" fillId="0" borderId="0" xfId="0" applyNumberFormat="1"/>
    <xf numFmtId="165" fontId="0" fillId="0" borderId="0" xfId="0" applyNumberFormat="1"/>
    <xf numFmtId="167" fontId="0" fillId="3" borderId="1" xfId="0" applyNumberFormat="1" applyFill="1" applyBorder="1"/>
    <xf numFmtId="2" fontId="4" fillId="3" borderId="1" xfId="0" applyNumberFormat="1" applyFont="1" applyFill="1" applyBorder="1" applyAlignment="1">
      <alignment horizontal="center"/>
    </xf>
    <xf numFmtId="2" fontId="0" fillId="3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  <xf numFmtId="0" fontId="14" fillId="0" borderId="0" xfId="0" applyFont="1"/>
    <xf numFmtId="0" fontId="0" fillId="0" borderId="7" xfId="0" applyBorder="1"/>
    <xf numFmtId="0" fontId="0" fillId="0" borderId="13" xfId="0" applyBorder="1"/>
    <xf numFmtId="0" fontId="0" fillId="0" borderId="14" xfId="0" applyBorder="1"/>
    <xf numFmtId="0" fontId="0" fillId="0" borderId="8" xfId="0" applyBorder="1"/>
    <xf numFmtId="165" fontId="0" fillId="3" borderId="1" xfId="0" applyNumberFormat="1" applyFill="1" applyBorder="1"/>
    <xf numFmtId="2" fontId="4" fillId="6" borderId="17" xfId="0" applyNumberFormat="1" applyFont="1" applyFill="1" applyBorder="1"/>
    <xf numFmtId="164" fontId="0" fillId="0" borderId="1" xfId="0" applyNumberFormat="1" applyBorder="1"/>
    <xf numFmtId="0" fontId="0" fillId="0" borderId="1" xfId="0" applyBorder="1" applyAlignment="1">
      <alignment horizontal="right"/>
    </xf>
    <xf numFmtId="165" fontId="4" fillId="4" borderId="7" xfId="0" applyNumberFormat="1" applyFont="1" applyFill="1" applyBorder="1"/>
    <xf numFmtId="0" fontId="0" fillId="5" borderId="1" xfId="0" applyFill="1" applyBorder="1"/>
    <xf numFmtId="0" fontId="0" fillId="5" borderId="1" xfId="0" applyFill="1" applyBorder="1" applyAlignment="1">
      <alignment horizontal="center"/>
    </xf>
    <xf numFmtId="164" fontId="0" fillId="0" borderId="0" xfId="0" applyNumberFormat="1"/>
    <xf numFmtId="0" fontId="17" fillId="2" borderId="1" xfId="0" applyFont="1" applyFill="1" applyBorder="1" applyAlignment="1">
      <alignment horizontal="center"/>
    </xf>
    <xf numFmtId="0" fontId="19" fillId="2" borderId="1" xfId="0" applyFont="1" applyFill="1" applyBorder="1" applyAlignment="1">
      <alignment horizontal="center"/>
    </xf>
    <xf numFmtId="2" fontId="4" fillId="0" borderId="1" xfId="0" applyNumberFormat="1" applyFont="1" applyBorder="1"/>
    <xf numFmtId="166" fontId="4" fillId="3" borderId="1" xfId="1" applyNumberFormat="1" applyFont="1" applyFill="1" applyBorder="1"/>
    <xf numFmtId="0" fontId="4" fillId="0" borderId="3" xfId="0" applyFont="1" applyBorder="1" applyAlignment="1">
      <alignment horizontal="center"/>
    </xf>
    <xf numFmtId="0" fontId="16" fillId="0" borderId="0" xfId="0" applyFont="1"/>
    <xf numFmtId="1" fontId="4" fillId="3" borderId="1" xfId="0" applyNumberFormat="1" applyFont="1" applyFill="1" applyBorder="1"/>
    <xf numFmtId="1" fontId="4" fillId="0" borderId="1" xfId="0" applyNumberFormat="1" applyFont="1" applyBorder="1"/>
    <xf numFmtId="0" fontId="18" fillId="0" borderId="0" xfId="0" applyFont="1"/>
    <xf numFmtId="167" fontId="17" fillId="2" borderId="9" xfId="0" applyNumberFormat="1" applyFont="1" applyFill="1" applyBorder="1"/>
    <xf numFmtId="0" fontId="15" fillId="0" borderId="0" xfId="0" applyFont="1"/>
    <xf numFmtId="0" fontId="4" fillId="8" borderId="1" xfId="0" applyFont="1" applyFill="1" applyBorder="1" applyAlignment="1">
      <alignment horizontal="center"/>
    </xf>
    <xf numFmtId="0" fontId="4" fillId="8" borderId="1" xfId="0" applyFont="1" applyFill="1" applyBorder="1"/>
    <xf numFmtId="0" fontId="20" fillId="2" borderId="1" xfId="0" applyFont="1" applyFill="1" applyBorder="1" applyAlignment="1">
      <alignment horizontal="center"/>
    </xf>
    <xf numFmtId="0" fontId="21" fillId="0" borderId="0" xfId="2"/>
    <xf numFmtId="11" fontId="0" fillId="0" borderId="1" xfId="0" applyNumberFormat="1" applyBorder="1" applyAlignment="1">
      <alignment horizontal="center"/>
    </xf>
    <xf numFmtId="0" fontId="4" fillId="0" borderId="1" xfId="0" applyFont="1" applyBorder="1" applyAlignment="1">
      <alignment horizontal="left"/>
    </xf>
    <xf numFmtId="165" fontId="4" fillId="0" borderId="1" xfId="0" applyNumberFormat="1" applyFont="1" applyBorder="1"/>
    <xf numFmtId="0" fontId="4" fillId="0" borderId="10" xfId="0" applyFont="1" applyBorder="1" applyAlignment="1">
      <alignment horizontal="center"/>
    </xf>
    <xf numFmtId="0" fontId="4" fillId="0" borderId="18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7" borderId="1" xfId="0" applyFont="1" applyFill="1" applyBorder="1" applyAlignment="1">
      <alignment horizontal="center" wrapText="1"/>
    </xf>
    <xf numFmtId="0" fontId="4" fillId="7" borderId="10" xfId="0" applyFont="1" applyFill="1" applyBorder="1" applyAlignment="1">
      <alignment horizontal="center"/>
    </xf>
    <xf numFmtId="0" fontId="4" fillId="7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16" fillId="7" borderId="1" xfId="0" applyFont="1" applyFill="1" applyBorder="1" applyAlignment="1">
      <alignment horizontal="center"/>
    </xf>
    <xf numFmtId="0" fontId="7" fillId="0" borderId="0" xfId="0" applyFont="1" applyAlignment="1">
      <alignment horizontal="center" vertical="center" wrapText="1"/>
    </xf>
    <xf numFmtId="0" fontId="4" fillId="0" borderId="1" xfId="0" applyFont="1" applyBorder="1" applyAlignment="1">
      <alignment horizontal="center"/>
    </xf>
    <xf numFmtId="0" fontId="4" fillId="7" borderId="7" xfId="0" applyFont="1" applyFill="1" applyBorder="1" applyAlignment="1">
      <alignment horizontal="center" vertical="center"/>
    </xf>
    <xf numFmtId="0" fontId="4" fillId="7" borderId="8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/>
    </xf>
    <xf numFmtId="0" fontId="8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2" fontId="0" fillId="3" borderId="1" xfId="0" applyNumberForma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4" fillId="0" borderId="7" xfId="0" applyFont="1" applyBorder="1" applyAlignment="1">
      <alignment horizontal="center" wrapText="1"/>
    </xf>
    <xf numFmtId="0" fontId="4" fillId="0" borderId="8" xfId="0" applyFont="1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</cellXfs>
  <cellStyles count="3">
    <cellStyle name="Hyperlink" xfId="2" builtinId="8"/>
    <cellStyle name="Normal" xfId="0" builtinId="0"/>
    <cellStyle name="Per cent" xfId="1" builtinId="5"/>
  </cellStyles>
  <dxfs count="1"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Shear</a:t>
            </a:r>
            <a:r>
              <a:rPr lang="en-GB" baseline="0"/>
              <a:t> and Compression</a:t>
            </a:r>
            <a:endParaRPr lang="en-GB"/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20"/>
      <c:rotY val="4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1"/>
        <c:ser>
          <c:idx val="0"/>
          <c:order val="0"/>
          <c:tx>
            <c:strRef>
              <c:f>'Spar web'!$F$70</c:f>
              <c:strCache>
                <c:ptCount val="1"/>
                <c:pt idx="0">
                  <c:v>0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'Spar web'!$F$70:$F$80</c:f>
              <c:numCache>
                <c:formatCode>General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</c:numCache>
            </c:numRef>
          </c:cat>
          <c:val>
            <c:numRef>
              <c:f>'Spar web'!$G$69:$G$80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1.0000000000000002E-2</c:v>
                </c:pt>
                <c:pt idx="3">
                  <c:v>4.0000000000000008E-2</c:v>
                </c:pt>
                <c:pt idx="4">
                  <c:v>0.09</c:v>
                </c:pt>
                <c:pt idx="5">
                  <c:v>0.16000000000000003</c:v>
                </c:pt>
                <c:pt idx="6">
                  <c:v>0.25</c:v>
                </c:pt>
                <c:pt idx="7">
                  <c:v>0.36</c:v>
                </c:pt>
                <c:pt idx="8">
                  <c:v>0.48999999999999994</c:v>
                </c:pt>
                <c:pt idx="9">
                  <c:v>0.64000000000000012</c:v>
                </c:pt>
                <c:pt idx="10">
                  <c:v>0.81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3F-41C7-8291-1ADA0A4D459F}"/>
            </c:ext>
          </c:extLst>
        </c:ser>
        <c:ser>
          <c:idx val="1"/>
          <c:order val="1"/>
          <c:tx>
            <c:strRef>
              <c:f>'Spar web'!$F$71</c:f>
              <c:strCache>
                <c:ptCount val="1"/>
                <c:pt idx="0">
                  <c:v>0.1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'Spar web'!$F$70:$F$80</c:f>
              <c:numCache>
                <c:formatCode>General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</c:numCache>
            </c:numRef>
          </c:cat>
          <c:val>
            <c:numRef>
              <c:f>'Spar web'!$H$69:$H$80</c:f>
              <c:numCache>
                <c:formatCode>General</c:formatCode>
                <c:ptCount val="12"/>
                <c:pt idx="0">
                  <c:v>0.1</c:v>
                </c:pt>
                <c:pt idx="1">
                  <c:v>0.1</c:v>
                </c:pt>
                <c:pt idx="2">
                  <c:v>0.11000000000000001</c:v>
                </c:pt>
                <c:pt idx="3">
                  <c:v>0.14000000000000001</c:v>
                </c:pt>
                <c:pt idx="4">
                  <c:v>0.19</c:v>
                </c:pt>
                <c:pt idx="5">
                  <c:v>0.26</c:v>
                </c:pt>
                <c:pt idx="6">
                  <c:v>0.35</c:v>
                </c:pt>
                <c:pt idx="7">
                  <c:v>0.45999999999999996</c:v>
                </c:pt>
                <c:pt idx="8">
                  <c:v>0.59</c:v>
                </c:pt>
                <c:pt idx="9">
                  <c:v>0.7400000000000001</c:v>
                </c:pt>
                <c:pt idx="10">
                  <c:v>0.91</c:v>
                </c:pt>
                <c:pt idx="11">
                  <c:v>1.1000000000000001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3F-41C7-8291-1ADA0A4D459F}"/>
            </c:ext>
          </c:extLst>
        </c:ser>
        <c:ser>
          <c:idx val="2"/>
          <c:order val="2"/>
          <c:tx>
            <c:strRef>
              <c:f>'Spar web'!$F$72</c:f>
              <c:strCache>
                <c:ptCount val="1"/>
                <c:pt idx="0">
                  <c:v>0.2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'Spar web'!$F$70:$F$80</c:f>
              <c:numCache>
                <c:formatCode>General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</c:numCache>
            </c:numRef>
          </c:cat>
          <c:val>
            <c:numRef>
              <c:f>'Spar web'!$I$69:$I$80</c:f>
              <c:numCache>
                <c:formatCode>General</c:formatCode>
                <c:ptCount val="12"/>
                <c:pt idx="0">
                  <c:v>0.2</c:v>
                </c:pt>
                <c:pt idx="1">
                  <c:v>0.2</c:v>
                </c:pt>
                <c:pt idx="2">
                  <c:v>0.21000000000000002</c:v>
                </c:pt>
                <c:pt idx="3">
                  <c:v>0.24000000000000002</c:v>
                </c:pt>
                <c:pt idx="4">
                  <c:v>0.29000000000000004</c:v>
                </c:pt>
                <c:pt idx="5">
                  <c:v>0.36000000000000004</c:v>
                </c:pt>
                <c:pt idx="6">
                  <c:v>0.45</c:v>
                </c:pt>
                <c:pt idx="7">
                  <c:v>0.56000000000000005</c:v>
                </c:pt>
                <c:pt idx="8">
                  <c:v>0.69</c:v>
                </c:pt>
                <c:pt idx="9">
                  <c:v>0.84000000000000008</c:v>
                </c:pt>
                <c:pt idx="10">
                  <c:v>1.01</c:v>
                </c:pt>
                <c:pt idx="11">
                  <c:v>1.2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3F-41C7-8291-1ADA0A4D459F}"/>
            </c:ext>
          </c:extLst>
        </c:ser>
        <c:ser>
          <c:idx val="3"/>
          <c:order val="3"/>
          <c:tx>
            <c:strRef>
              <c:f>'Spar web'!$F$73</c:f>
              <c:strCache>
                <c:ptCount val="1"/>
                <c:pt idx="0">
                  <c:v>0.3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'Spar web'!$F$70:$F$80</c:f>
              <c:numCache>
                <c:formatCode>General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</c:numCache>
            </c:numRef>
          </c:cat>
          <c:val>
            <c:numRef>
              <c:f>'Spar web'!$J$69:$J$80</c:f>
              <c:numCache>
                <c:formatCode>General</c:formatCode>
                <c:ptCount val="12"/>
                <c:pt idx="0">
                  <c:v>0.3</c:v>
                </c:pt>
                <c:pt idx="1">
                  <c:v>0.3</c:v>
                </c:pt>
                <c:pt idx="2">
                  <c:v>0.31</c:v>
                </c:pt>
                <c:pt idx="3">
                  <c:v>0.33999999999999997</c:v>
                </c:pt>
                <c:pt idx="4">
                  <c:v>0.39</c:v>
                </c:pt>
                <c:pt idx="5">
                  <c:v>0.46</c:v>
                </c:pt>
                <c:pt idx="6">
                  <c:v>0.55000000000000004</c:v>
                </c:pt>
                <c:pt idx="7">
                  <c:v>0.65999999999999992</c:v>
                </c:pt>
                <c:pt idx="8">
                  <c:v>0.78999999999999992</c:v>
                </c:pt>
                <c:pt idx="9">
                  <c:v>0.94000000000000017</c:v>
                </c:pt>
                <c:pt idx="10">
                  <c:v>1.1100000000000001</c:v>
                </c:pt>
                <c:pt idx="11">
                  <c:v>1.3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3F-41C7-8291-1ADA0A4D459F}"/>
            </c:ext>
          </c:extLst>
        </c:ser>
        <c:ser>
          <c:idx val="4"/>
          <c:order val="4"/>
          <c:tx>
            <c:strRef>
              <c:f>'Spar web'!$F$74</c:f>
              <c:strCache>
                <c:ptCount val="1"/>
                <c:pt idx="0">
                  <c:v>0.4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cat>
            <c:numRef>
              <c:f>'Spar web'!$F$70:$F$80</c:f>
              <c:numCache>
                <c:formatCode>General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</c:numCache>
            </c:numRef>
          </c:cat>
          <c:val>
            <c:numRef>
              <c:f>'Spar web'!$K$69:$K$80</c:f>
              <c:numCache>
                <c:formatCode>General</c:formatCode>
                <c:ptCount val="12"/>
                <c:pt idx="0">
                  <c:v>0.4</c:v>
                </c:pt>
                <c:pt idx="1">
                  <c:v>0.4</c:v>
                </c:pt>
                <c:pt idx="2">
                  <c:v>0.41000000000000003</c:v>
                </c:pt>
                <c:pt idx="3">
                  <c:v>0.44000000000000006</c:v>
                </c:pt>
                <c:pt idx="4">
                  <c:v>0.49</c:v>
                </c:pt>
                <c:pt idx="5">
                  <c:v>0.56000000000000005</c:v>
                </c:pt>
                <c:pt idx="6">
                  <c:v>0.65</c:v>
                </c:pt>
                <c:pt idx="7">
                  <c:v>0.76</c:v>
                </c:pt>
                <c:pt idx="8">
                  <c:v>0.8899999999999999</c:v>
                </c:pt>
                <c:pt idx="9">
                  <c:v>1.04</c:v>
                </c:pt>
                <c:pt idx="10">
                  <c:v>1.21</c:v>
                </c:pt>
                <c:pt idx="11">
                  <c:v>1.4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43F-41C7-8291-1ADA0A4D459F}"/>
            </c:ext>
          </c:extLst>
        </c:ser>
        <c:ser>
          <c:idx val="5"/>
          <c:order val="5"/>
          <c:tx>
            <c:strRef>
              <c:f>'Spar web'!$F$75</c:f>
              <c:strCache>
                <c:ptCount val="1"/>
                <c:pt idx="0">
                  <c:v>0.5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cat>
            <c:numRef>
              <c:f>'Spar web'!$F$70:$F$80</c:f>
              <c:numCache>
                <c:formatCode>General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</c:numCache>
            </c:numRef>
          </c:cat>
          <c:val>
            <c:numRef>
              <c:f>'Spar web'!$L$69:$L$80</c:f>
              <c:numCache>
                <c:formatCode>General</c:formatCode>
                <c:ptCount val="12"/>
                <c:pt idx="0">
                  <c:v>0.5</c:v>
                </c:pt>
                <c:pt idx="1">
                  <c:v>0.5</c:v>
                </c:pt>
                <c:pt idx="2">
                  <c:v>0.51</c:v>
                </c:pt>
                <c:pt idx="3">
                  <c:v>0.54</c:v>
                </c:pt>
                <c:pt idx="4">
                  <c:v>0.59</c:v>
                </c:pt>
                <c:pt idx="5">
                  <c:v>0.66</c:v>
                </c:pt>
                <c:pt idx="6">
                  <c:v>0.75</c:v>
                </c:pt>
                <c:pt idx="7">
                  <c:v>0.86</c:v>
                </c:pt>
                <c:pt idx="8">
                  <c:v>0.99</c:v>
                </c:pt>
                <c:pt idx="9">
                  <c:v>1.1400000000000001</c:v>
                </c:pt>
                <c:pt idx="10">
                  <c:v>1.31</c:v>
                </c:pt>
                <c:pt idx="11">
                  <c:v>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43F-41C7-8291-1ADA0A4D459F}"/>
            </c:ext>
          </c:extLst>
        </c:ser>
        <c:ser>
          <c:idx val="6"/>
          <c:order val="6"/>
          <c:tx>
            <c:strRef>
              <c:f>'Spar web'!$F$76</c:f>
              <c:strCache>
                <c:ptCount val="1"/>
                <c:pt idx="0">
                  <c:v>0.6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cat>
            <c:numRef>
              <c:f>'Spar web'!$F$70:$F$80</c:f>
              <c:numCache>
                <c:formatCode>General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</c:numCache>
            </c:numRef>
          </c:cat>
          <c:val>
            <c:numRef>
              <c:f>'Spar web'!$M$69:$M$80</c:f>
              <c:numCache>
                <c:formatCode>General</c:formatCode>
                <c:ptCount val="12"/>
                <c:pt idx="0">
                  <c:v>0.6</c:v>
                </c:pt>
                <c:pt idx="1">
                  <c:v>0.6</c:v>
                </c:pt>
                <c:pt idx="2">
                  <c:v>0.61</c:v>
                </c:pt>
                <c:pt idx="3">
                  <c:v>0.64</c:v>
                </c:pt>
                <c:pt idx="4">
                  <c:v>0.69</c:v>
                </c:pt>
                <c:pt idx="5">
                  <c:v>0.76</c:v>
                </c:pt>
                <c:pt idx="6">
                  <c:v>0.85</c:v>
                </c:pt>
                <c:pt idx="7">
                  <c:v>0.96</c:v>
                </c:pt>
                <c:pt idx="8">
                  <c:v>1.0899999999999999</c:v>
                </c:pt>
                <c:pt idx="9">
                  <c:v>1.2400000000000002</c:v>
                </c:pt>
                <c:pt idx="10">
                  <c:v>1.4100000000000001</c:v>
                </c:pt>
                <c:pt idx="11">
                  <c:v>1.6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43F-41C7-8291-1ADA0A4D459F}"/>
            </c:ext>
          </c:extLst>
        </c:ser>
        <c:ser>
          <c:idx val="7"/>
          <c:order val="7"/>
          <c:tx>
            <c:strRef>
              <c:f>'Spar web'!$F$77</c:f>
              <c:strCache>
                <c:ptCount val="1"/>
                <c:pt idx="0">
                  <c:v>0.7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cat>
            <c:numRef>
              <c:f>'Spar web'!$F$70:$F$80</c:f>
              <c:numCache>
                <c:formatCode>General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</c:numCache>
            </c:numRef>
          </c:cat>
          <c:val>
            <c:numRef>
              <c:f>'Spar web'!$N$69:$N$80</c:f>
              <c:numCache>
                <c:formatCode>General</c:formatCode>
                <c:ptCount val="12"/>
                <c:pt idx="0">
                  <c:v>0.7</c:v>
                </c:pt>
                <c:pt idx="1">
                  <c:v>0.7</c:v>
                </c:pt>
                <c:pt idx="2">
                  <c:v>0.71</c:v>
                </c:pt>
                <c:pt idx="3">
                  <c:v>0.74</c:v>
                </c:pt>
                <c:pt idx="4">
                  <c:v>0.78999999999999992</c:v>
                </c:pt>
                <c:pt idx="5">
                  <c:v>0.86</c:v>
                </c:pt>
                <c:pt idx="6">
                  <c:v>0.95</c:v>
                </c:pt>
                <c:pt idx="7">
                  <c:v>1.06</c:v>
                </c:pt>
                <c:pt idx="8">
                  <c:v>1.19</c:v>
                </c:pt>
                <c:pt idx="9">
                  <c:v>1.34</c:v>
                </c:pt>
                <c:pt idx="10">
                  <c:v>1.51</c:v>
                </c:pt>
                <c:pt idx="11">
                  <c:v>1.7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43F-41C7-8291-1ADA0A4D459F}"/>
            </c:ext>
          </c:extLst>
        </c:ser>
        <c:ser>
          <c:idx val="8"/>
          <c:order val="8"/>
          <c:tx>
            <c:strRef>
              <c:f>'Spar web'!$F$78</c:f>
              <c:strCache>
                <c:ptCount val="1"/>
                <c:pt idx="0">
                  <c:v>0.8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cat>
            <c:numRef>
              <c:f>'Spar web'!$F$70:$F$80</c:f>
              <c:numCache>
                <c:formatCode>General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</c:numCache>
            </c:numRef>
          </c:cat>
          <c:val>
            <c:numRef>
              <c:f>'Spar web'!$O$69:$O$80</c:f>
              <c:numCache>
                <c:formatCode>General</c:formatCode>
                <c:ptCount val="12"/>
                <c:pt idx="0">
                  <c:v>0.8</c:v>
                </c:pt>
                <c:pt idx="1">
                  <c:v>0.8</c:v>
                </c:pt>
                <c:pt idx="2">
                  <c:v>0.81</c:v>
                </c:pt>
                <c:pt idx="3">
                  <c:v>0.84000000000000008</c:v>
                </c:pt>
                <c:pt idx="4">
                  <c:v>0.89</c:v>
                </c:pt>
                <c:pt idx="5">
                  <c:v>0.96000000000000008</c:v>
                </c:pt>
                <c:pt idx="6">
                  <c:v>1.05</c:v>
                </c:pt>
                <c:pt idx="7">
                  <c:v>1.1600000000000001</c:v>
                </c:pt>
                <c:pt idx="8">
                  <c:v>1.29</c:v>
                </c:pt>
                <c:pt idx="9">
                  <c:v>1.4400000000000002</c:v>
                </c:pt>
                <c:pt idx="10">
                  <c:v>1.61</c:v>
                </c:pt>
                <c:pt idx="11">
                  <c:v>1.8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43F-41C7-8291-1ADA0A4D459F}"/>
            </c:ext>
          </c:extLst>
        </c:ser>
        <c:ser>
          <c:idx val="9"/>
          <c:order val="9"/>
          <c:tx>
            <c:strRef>
              <c:f>'Spar web'!$F$79</c:f>
              <c:strCache>
                <c:ptCount val="1"/>
                <c:pt idx="0">
                  <c:v>0.9</c:v>
                </c:pt>
              </c:strCache>
            </c:strRef>
          </c:tx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cat>
            <c:numRef>
              <c:f>'Spar web'!$F$70:$F$80</c:f>
              <c:numCache>
                <c:formatCode>General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</c:numCache>
            </c:numRef>
          </c:cat>
          <c:val>
            <c:numRef>
              <c:f>'Spar web'!$P$69:$P$80</c:f>
              <c:numCache>
                <c:formatCode>General</c:formatCode>
                <c:ptCount val="12"/>
                <c:pt idx="0">
                  <c:v>0.9</c:v>
                </c:pt>
                <c:pt idx="1">
                  <c:v>0.9</c:v>
                </c:pt>
                <c:pt idx="2">
                  <c:v>0.91</c:v>
                </c:pt>
                <c:pt idx="3">
                  <c:v>0.94000000000000006</c:v>
                </c:pt>
                <c:pt idx="4">
                  <c:v>0.99</c:v>
                </c:pt>
                <c:pt idx="5">
                  <c:v>1.06</c:v>
                </c:pt>
                <c:pt idx="6">
                  <c:v>1.1499999999999999</c:v>
                </c:pt>
                <c:pt idx="7">
                  <c:v>1.26</c:v>
                </c:pt>
                <c:pt idx="8">
                  <c:v>1.39</c:v>
                </c:pt>
                <c:pt idx="9">
                  <c:v>1.54</c:v>
                </c:pt>
                <c:pt idx="10">
                  <c:v>1.71</c:v>
                </c:pt>
                <c:pt idx="11">
                  <c:v>1.9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43F-41C7-8291-1ADA0A4D459F}"/>
            </c:ext>
          </c:extLst>
        </c:ser>
        <c:ser>
          <c:idx val="10"/>
          <c:order val="10"/>
          <c:tx>
            <c:strRef>
              <c:f>'Spar web'!$F$80</c:f>
              <c:strCache>
                <c:ptCount val="1"/>
                <c:pt idx="0">
                  <c:v>1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cat>
            <c:numRef>
              <c:f>'Spar web'!$F$70:$F$80</c:f>
              <c:numCache>
                <c:formatCode>General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</c:numCache>
            </c:numRef>
          </c:cat>
          <c:val>
            <c:numRef>
              <c:f>'Spar web'!$Q$69:$Q$80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1.01</c:v>
                </c:pt>
                <c:pt idx="3">
                  <c:v>1.04</c:v>
                </c:pt>
                <c:pt idx="4">
                  <c:v>1.0900000000000001</c:v>
                </c:pt>
                <c:pt idx="5">
                  <c:v>1.1600000000000001</c:v>
                </c:pt>
                <c:pt idx="6">
                  <c:v>1.25</c:v>
                </c:pt>
                <c:pt idx="7">
                  <c:v>1.3599999999999999</c:v>
                </c:pt>
                <c:pt idx="8">
                  <c:v>1.49</c:v>
                </c:pt>
                <c:pt idx="9">
                  <c:v>1.6400000000000001</c:v>
                </c:pt>
                <c:pt idx="10">
                  <c:v>1.81</c:v>
                </c:pt>
                <c:pt idx="1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43F-41C7-8291-1ADA0A4D459F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1126340880"/>
        <c:axId val="1126323824"/>
        <c:axId val="1035050400"/>
      </c:surface3DChart>
      <c:catAx>
        <c:axId val="1126340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323824"/>
        <c:crosses val="autoZero"/>
        <c:auto val="1"/>
        <c:lblAlgn val="ctr"/>
        <c:lblOffset val="100"/>
        <c:noMultiLvlLbl val="0"/>
      </c:catAx>
      <c:valAx>
        <c:axId val="112632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340880"/>
        <c:crosses val="autoZero"/>
        <c:crossBetween val="midCat"/>
      </c:valAx>
      <c:serAx>
        <c:axId val="103505040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323824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 vs No.</a:t>
            </a:r>
            <a:r>
              <a:rPr lang="en-GB" baseline="0"/>
              <a:t> of Ribs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'D section'!$E$46</c:f>
              <c:strCache>
                <c:ptCount val="1"/>
                <c:pt idx="0">
                  <c:v>W_skin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 section'!$F$44:$H$44</c:f>
              <c:numCache>
                <c:formatCode>General</c:formatCode>
                <c:ptCount val="3"/>
                <c:pt idx="0">
                  <c:v>0</c:v>
                </c:pt>
                <c:pt idx="1">
                  <c:v>9</c:v>
                </c:pt>
                <c:pt idx="2">
                  <c:v>15</c:v>
                </c:pt>
              </c:numCache>
            </c:numRef>
          </c:xVal>
          <c:yVal>
            <c:numRef>
              <c:f>'D section'!$F$46:$H$46</c:f>
              <c:numCache>
                <c:formatCode>0.0</c:formatCode>
                <c:ptCount val="3"/>
                <c:pt idx="0">
                  <c:v>13.446321855011931</c:v>
                </c:pt>
                <c:pt idx="1">
                  <c:v>10.978875820670998</c:v>
                </c:pt>
                <c:pt idx="2" formatCode="0.00">
                  <c:v>8.8026839599044564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2D-4743-940F-910AE06795D2}"/>
            </c:ext>
          </c:extLst>
        </c:ser>
        <c:ser>
          <c:idx val="2"/>
          <c:order val="2"/>
          <c:tx>
            <c:strRef>
              <c:f>'D section'!$E$47</c:f>
              <c:strCache>
                <c:ptCount val="1"/>
                <c:pt idx="0">
                  <c:v>Total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 section'!$F$44:$H$44</c:f>
              <c:numCache>
                <c:formatCode>General</c:formatCode>
                <c:ptCount val="3"/>
                <c:pt idx="0">
                  <c:v>0</c:v>
                </c:pt>
                <c:pt idx="1">
                  <c:v>9</c:v>
                </c:pt>
                <c:pt idx="2">
                  <c:v>15</c:v>
                </c:pt>
              </c:numCache>
            </c:numRef>
          </c:xVal>
          <c:yVal>
            <c:numRef>
              <c:f>'D section'!$F$47:$H$47</c:f>
              <c:numCache>
                <c:formatCode>0.0</c:formatCode>
                <c:ptCount val="3"/>
                <c:pt idx="0">
                  <c:v>13.446321855011931</c:v>
                </c:pt>
                <c:pt idx="1">
                  <c:v>11.112525820670998</c:v>
                </c:pt>
                <c:pt idx="2" formatCode="0.00">
                  <c:v>9.025433959904456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E2D-4743-940F-910AE0679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694912"/>
        <c:axId val="274697216"/>
      </c:scatterChart>
      <c:scatterChart>
        <c:scatterStyle val="lineMarker"/>
        <c:varyColors val="0"/>
        <c:ser>
          <c:idx val="0"/>
          <c:order val="0"/>
          <c:tx>
            <c:strRef>
              <c:f>'D section'!$E$45</c:f>
              <c:strCache>
                <c:ptCount val="1"/>
                <c:pt idx="0">
                  <c:v>W_rib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 section'!$F$44:$H$44</c:f>
              <c:numCache>
                <c:formatCode>General</c:formatCode>
                <c:ptCount val="3"/>
                <c:pt idx="0">
                  <c:v>0</c:v>
                </c:pt>
                <c:pt idx="1">
                  <c:v>9</c:v>
                </c:pt>
                <c:pt idx="2">
                  <c:v>15</c:v>
                </c:pt>
              </c:numCache>
            </c:numRef>
          </c:xVal>
          <c:yVal>
            <c:numRef>
              <c:f>'D section'!$F$45:$H$45</c:f>
              <c:numCache>
                <c:formatCode>0.0</c:formatCode>
                <c:ptCount val="3"/>
                <c:pt idx="0" formatCode="General">
                  <c:v>0</c:v>
                </c:pt>
                <c:pt idx="1">
                  <c:v>0.13364999999999999</c:v>
                </c:pt>
                <c:pt idx="2" formatCode="0.00">
                  <c:v>0.22275000000000003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2D-4743-940F-910AE0679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705408"/>
        <c:axId val="274703488"/>
      </c:scatterChart>
      <c:valAx>
        <c:axId val="274694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No. of Ribs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97216"/>
        <c:crosses val="autoZero"/>
        <c:crossBetween val="midCat"/>
      </c:valAx>
      <c:valAx>
        <c:axId val="27469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Skin and Total weight, 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94912"/>
        <c:crosses val="autoZero"/>
        <c:crossBetween val="midCat"/>
      </c:valAx>
      <c:valAx>
        <c:axId val="27470348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Rib weight,g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705408"/>
        <c:crosses val="max"/>
        <c:crossBetween val="midCat"/>
      </c:valAx>
      <c:valAx>
        <c:axId val="27470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74703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emf"/><Relationship Id="rId13" Type="http://schemas.openxmlformats.org/officeDocument/2006/relationships/image" Target="../media/image17.png"/><Relationship Id="rId3" Type="http://schemas.openxmlformats.org/officeDocument/2006/relationships/image" Target="../media/image7.emf"/><Relationship Id="rId7" Type="http://schemas.openxmlformats.org/officeDocument/2006/relationships/image" Target="../media/image11.emf"/><Relationship Id="rId12" Type="http://schemas.openxmlformats.org/officeDocument/2006/relationships/image" Target="../media/image16.emf"/><Relationship Id="rId2" Type="http://schemas.openxmlformats.org/officeDocument/2006/relationships/image" Target="../media/image6.emf"/><Relationship Id="rId16" Type="http://schemas.openxmlformats.org/officeDocument/2006/relationships/image" Target="../media/image20.emf"/><Relationship Id="rId1" Type="http://schemas.openxmlformats.org/officeDocument/2006/relationships/image" Target="../media/image5.emf"/><Relationship Id="rId6" Type="http://schemas.openxmlformats.org/officeDocument/2006/relationships/image" Target="../media/image10.emf"/><Relationship Id="rId11" Type="http://schemas.openxmlformats.org/officeDocument/2006/relationships/image" Target="../media/image15.emf"/><Relationship Id="rId5" Type="http://schemas.openxmlformats.org/officeDocument/2006/relationships/image" Target="../media/image9.emf"/><Relationship Id="rId15" Type="http://schemas.openxmlformats.org/officeDocument/2006/relationships/image" Target="../media/image19.emf"/><Relationship Id="rId10" Type="http://schemas.openxmlformats.org/officeDocument/2006/relationships/image" Target="../media/image14.emf"/><Relationship Id="rId4" Type="http://schemas.openxmlformats.org/officeDocument/2006/relationships/image" Target="../media/image8.emf"/><Relationship Id="rId9" Type="http://schemas.openxmlformats.org/officeDocument/2006/relationships/image" Target="../media/image13.emf"/><Relationship Id="rId14" Type="http://schemas.openxmlformats.org/officeDocument/2006/relationships/image" Target="../media/image18.emf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emf"/><Relationship Id="rId3" Type="http://schemas.openxmlformats.org/officeDocument/2006/relationships/image" Target="../media/image23.emf"/><Relationship Id="rId7" Type="http://schemas.openxmlformats.org/officeDocument/2006/relationships/image" Target="../media/image27.jpeg"/><Relationship Id="rId12" Type="http://schemas.openxmlformats.org/officeDocument/2006/relationships/chart" Target="../charts/chart1.xml"/><Relationship Id="rId2" Type="http://schemas.openxmlformats.org/officeDocument/2006/relationships/image" Target="../media/image22.emf"/><Relationship Id="rId1" Type="http://schemas.openxmlformats.org/officeDocument/2006/relationships/image" Target="../media/image21.emf"/><Relationship Id="rId6" Type="http://schemas.openxmlformats.org/officeDocument/2006/relationships/image" Target="../media/image26.jpeg"/><Relationship Id="rId11" Type="http://schemas.openxmlformats.org/officeDocument/2006/relationships/image" Target="../media/image30.png"/><Relationship Id="rId5" Type="http://schemas.openxmlformats.org/officeDocument/2006/relationships/image" Target="../media/image25.emf"/><Relationship Id="rId10" Type="http://schemas.openxmlformats.org/officeDocument/2006/relationships/image" Target="../media/image29.png"/><Relationship Id="rId4" Type="http://schemas.openxmlformats.org/officeDocument/2006/relationships/image" Target="../media/image24.emf"/><Relationship Id="rId9" Type="http://schemas.openxmlformats.org/officeDocument/2006/relationships/image" Target="../media/image2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emf"/><Relationship Id="rId2" Type="http://schemas.openxmlformats.org/officeDocument/2006/relationships/image" Target="../media/image32.emf"/><Relationship Id="rId1" Type="http://schemas.openxmlformats.org/officeDocument/2006/relationships/image" Target="../media/image31.emf"/><Relationship Id="rId6" Type="http://schemas.openxmlformats.org/officeDocument/2006/relationships/chart" Target="../charts/chart2.xml"/><Relationship Id="rId5" Type="http://schemas.openxmlformats.org/officeDocument/2006/relationships/image" Target="../media/image16.emf"/><Relationship Id="rId4" Type="http://schemas.openxmlformats.org/officeDocument/2006/relationships/image" Target="../media/image34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emf"/><Relationship Id="rId2" Type="http://schemas.openxmlformats.org/officeDocument/2006/relationships/image" Target="../media/image36.emf"/><Relationship Id="rId1" Type="http://schemas.openxmlformats.org/officeDocument/2006/relationships/image" Target="../media/image35.emf"/><Relationship Id="rId6" Type="http://schemas.openxmlformats.org/officeDocument/2006/relationships/image" Target="../media/image40.emf"/><Relationship Id="rId5" Type="http://schemas.openxmlformats.org/officeDocument/2006/relationships/image" Target="../media/image39.emf"/><Relationship Id="rId4" Type="http://schemas.openxmlformats.org/officeDocument/2006/relationships/image" Target="../media/image38.emf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emf"/><Relationship Id="rId3" Type="http://schemas.openxmlformats.org/officeDocument/2006/relationships/image" Target="../media/image43.emf"/><Relationship Id="rId7" Type="http://schemas.openxmlformats.org/officeDocument/2006/relationships/image" Target="../media/image47.emf"/><Relationship Id="rId2" Type="http://schemas.openxmlformats.org/officeDocument/2006/relationships/image" Target="../media/image42.emf"/><Relationship Id="rId1" Type="http://schemas.openxmlformats.org/officeDocument/2006/relationships/image" Target="../media/image41.emf"/><Relationship Id="rId6" Type="http://schemas.openxmlformats.org/officeDocument/2006/relationships/image" Target="../media/image46.emf"/><Relationship Id="rId5" Type="http://schemas.openxmlformats.org/officeDocument/2006/relationships/image" Target="../media/image45.emf"/><Relationship Id="rId4" Type="http://schemas.openxmlformats.org/officeDocument/2006/relationships/image" Target="../media/image44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638175</xdr:colOff>
      <xdr:row>22</xdr:row>
      <xdr:rowOff>123279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865"/>
        <a:stretch/>
      </xdr:blipFill>
      <xdr:spPr>
        <a:xfrm>
          <a:off x="0" y="0"/>
          <a:ext cx="8867775" cy="41047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162451</xdr:rowOff>
    </xdr:from>
    <xdr:to>
      <xdr:col>12</xdr:col>
      <xdr:colOff>676274</xdr:colOff>
      <xdr:row>46</xdr:row>
      <xdr:rowOff>85725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43901"/>
          <a:ext cx="8905874" cy="42666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161923</xdr:colOff>
      <xdr:row>1</xdr:row>
      <xdr:rowOff>19050</xdr:rowOff>
    </xdr:from>
    <xdr:to>
      <xdr:col>15</xdr:col>
      <xdr:colOff>180975</xdr:colOff>
      <xdr:row>30</xdr:row>
      <xdr:rowOff>142875</xdr:rowOff>
    </xdr:to>
    <xdr:grpSp>
      <xdr:nvGrpSpPr>
        <xdr:cNvPr id="46" name="Group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GrpSpPr/>
      </xdr:nvGrpSpPr>
      <xdr:grpSpPr>
        <a:xfrm>
          <a:off x="826942" y="209056"/>
          <a:ext cx="9329306" cy="5633975"/>
          <a:chOff x="8296273" y="628650"/>
          <a:chExt cx="9620252" cy="5372100"/>
        </a:xfrm>
      </xdr:grpSpPr>
      <xdr:grpSp>
        <xdr:nvGrpSpPr>
          <xdr:cNvPr id="27" name="Group 26">
            <a:extLst>
              <a:ext uri="{FF2B5EF4-FFF2-40B4-BE49-F238E27FC236}">
                <a16:creationId xmlns:a16="http://schemas.microsoft.com/office/drawing/2014/main" id="{00000000-0008-0000-0200-00001B000000}"/>
              </a:ext>
            </a:extLst>
          </xdr:cNvPr>
          <xdr:cNvGrpSpPr/>
        </xdr:nvGrpSpPr>
        <xdr:grpSpPr>
          <a:xfrm>
            <a:off x="8296273" y="3381371"/>
            <a:ext cx="6267452" cy="2619379"/>
            <a:chOff x="9277348" y="1028696"/>
            <a:chExt cx="6267452" cy="2619379"/>
          </a:xfrm>
        </xdr:grpSpPr>
        <xdr:grpSp>
          <xdr:nvGrpSpPr>
            <xdr:cNvPr id="7" name="Group 6">
              <a:extLst>
                <a:ext uri="{FF2B5EF4-FFF2-40B4-BE49-F238E27FC236}">
                  <a16:creationId xmlns:a16="http://schemas.microsoft.com/office/drawing/2014/main" id="{00000000-0008-0000-0200-000007000000}"/>
                </a:ext>
              </a:extLst>
            </xdr:cNvPr>
            <xdr:cNvGrpSpPr/>
          </xdr:nvGrpSpPr>
          <xdr:grpSpPr>
            <a:xfrm>
              <a:off x="9277348" y="1028696"/>
              <a:ext cx="6267452" cy="2619379"/>
              <a:chOff x="7486648" y="1752596"/>
              <a:chExt cx="6267452" cy="2619379"/>
            </a:xfrm>
          </xdr:grpSpPr>
          <xdr:sp macro="" textlink="">
            <xdr:nvSpPr>
              <xdr:cNvPr id="6" name="Flowchart: Delay 5">
                <a:extLst>
                  <a:ext uri="{FF2B5EF4-FFF2-40B4-BE49-F238E27FC236}">
                    <a16:creationId xmlns:a16="http://schemas.microsoft.com/office/drawing/2014/main" id="{00000000-0008-0000-0200-000006000000}"/>
                  </a:ext>
                </a:extLst>
              </xdr:cNvPr>
              <xdr:cNvSpPr/>
            </xdr:nvSpPr>
            <xdr:spPr>
              <a:xfrm rot="10800000">
                <a:off x="7486648" y="1752596"/>
                <a:ext cx="3657602" cy="2619375"/>
              </a:xfrm>
              <a:prstGeom prst="flowChartDelay">
                <a:avLst/>
              </a:prstGeom>
              <a:noFill/>
              <a:ln w="63500">
                <a:solidFill>
                  <a:schemeClr val="accent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5" name="Rectangle 4">
                <a:extLst>
                  <a:ext uri="{FF2B5EF4-FFF2-40B4-BE49-F238E27FC236}">
                    <a16:creationId xmlns:a16="http://schemas.microsoft.com/office/drawing/2014/main" id="{00000000-0008-0000-0200-000005000000}"/>
                  </a:ext>
                </a:extLst>
              </xdr:cNvPr>
              <xdr:cNvSpPr/>
            </xdr:nvSpPr>
            <xdr:spPr>
              <a:xfrm>
                <a:off x="9648825" y="1752600"/>
                <a:ext cx="4105275" cy="2619375"/>
              </a:xfrm>
              <a:prstGeom prst="rect">
                <a:avLst/>
              </a:prstGeom>
              <a:solidFill>
                <a:schemeClr val="bg1"/>
              </a:solidFill>
              <a:ln w="63500">
                <a:solidFill>
                  <a:schemeClr val="accent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</xdr:grpSp>
        <xdr:grpSp>
          <xdr:nvGrpSpPr>
            <xdr:cNvPr id="20" name="Group 19">
              <a:extLst>
                <a:ext uri="{FF2B5EF4-FFF2-40B4-BE49-F238E27FC236}">
                  <a16:creationId xmlns:a16="http://schemas.microsoft.com/office/drawing/2014/main" id="{00000000-0008-0000-0200-000014000000}"/>
                </a:ext>
              </a:extLst>
            </xdr:cNvPr>
            <xdr:cNvGrpSpPr/>
          </xdr:nvGrpSpPr>
          <xdr:grpSpPr>
            <a:xfrm>
              <a:off x="11887201" y="3352801"/>
              <a:ext cx="3200400" cy="238125"/>
              <a:chOff x="11887201" y="3352801"/>
              <a:chExt cx="3200400" cy="238125"/>
            </a:xfrm>
          </xdr:grpSpPr>
          <xdr:cxnSp macro="">
            <xdr:nvCxnSpPr>
              <xdr:cNvPr id="9" name="Elbow Connector 8">
                <a:extLst>
                  <a:ext uri="{FF2B5EF4-FFF2-40B4-BE49-F238E27FC236}">
                    <a16:creationId xmlns:a16="http://schemas.microsoft.com/office/drawing/2014/main" id="{00000000-0008-0000-0200-000009000000}"/>
                  </a:ext>
                </a:extLst>
              </xdr:cNvPr>
              <xdr:cNvCxnSpPr/>
            </xdr:nvCxnSpPr>
            <xdr:spPr>
              <a:xfrm rot="10800000">
                <a:off x="11887201" y="3352801"/>
                <a:ext cx="314325" cy="238125"/>
              </a:xfrm>
              <a:prstGeom prst="bentConnector3">
                <a:avLst/>
              </a:prstGeom>
              <a:ln w="50800">
                <a:solidFill>
                  <a:schemeClr val="accent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1" name="Elbow Connector 10">
                <a:extLst>
                  <a:ext uri="{FF2B5EF4-FFF2-40B4-BE49-F238E27FC236}">
                    <a16:creationId xmlns:a16="http://schemas.microsoft.com/office/drawing/2014/main" id="{00000000-0008-0000-0200-00000B000000}"/>
                  </a:ext>
                </a:extLst>
              </xdr:cNvPr>
              <xdr:cNvCxnSpPr/>
            </xdr:nvCxnSpPr>
            <xdr:spPr>
              <a:xfrm rot="10800000">
                <a:off x="12649201" y="3352801"/>
                <a:ext cx="314325" cy="238125"/>
              </a:xfrm>
              <a:prstGeom prst="bentConnector3">
                <a:avLst/>
              </a:prstGeom>
              <a:ln w="50800">
                <a:solidFill>
                  <a:schemeClr val="accent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2" name="Elbow Connector 11">
                <a:extLst>
                  <a:ext uri="{FF2B5EF4-FFF2-40B4-BE49-F238E27FC236}">
                    <a16:creationId xmlns:a16="http://schemas.microsoft.com/office/drawing/2014/main" id="{00000000-0008-0000-0200-00000C000000}"/>
                  </a:ext>
                </a:extLst>
              </xdr:cNvPr>
              <xdr:cNvCxnSpPr/>
            </xdr:nvCxnSpPr>
            <xdr:spPr>
              <a:xfrm rot="10800000">
                <a:off x="13411201" y="3352801"/>
                <a:ext cx="314325" cy="238125"/>
              </a:xfrm>
              <a:prstGeom prst="bentConnector3">
                <a:avLst/>
              </a:prstGeom>
              <a:ln w="50800">
                <a:solidFill>
                  <a:schemeClr val="accent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3" name="Elbow Connector 12">
                <a:extLst>
                  <a:ext uri="{FF2B5EF4-FFF2-40B4-BE49-F238E27FC236}">
                    <a16:creationId xmlns:a16="http://schemas.microsoft.com/office/drawing/2014/main" id="{00000000-0008-0000-0200-00000D000000}"/>
                  </a:ext>
                </a:extLst>
              </xdr:cNvPr>
              <xdr:cNvCxnSpPr/>
            </xdr:nvCxnSpPr>
            <xdr:spPr>
              <a:xfrm rot="10800000">
                <a:off x="14773276" y="3352801"/>
                <a:ext cx="314325" cy="238125"/>
              </a:xfrm>
              <a:prstGeom prst="bentConnector3">
                <a:avLst/>
              </a:prstGeom>
              <a:ln w="50800">
                <a:solidFill>
                  <a:schemeClr val="accent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4" name="Elbow Connector 13">
                <a:extLst>
                  <a:ext uri="{FF2B5EF4-FFF2-40B4-BE49-F238E27FC236}">
                    <a16:creationId xmlns:a16="http://schemas.microsoft.com/office/drawing/2014/main" id="{00000000-0008-0000-0200-00000E000000}"/>
                  </a:ext>
                </a:extLst>
              </xdr:cNvPr>
              <xdr:cNvCxnSpPr/>
            </xdr:nvCxnSpPr>
            <xdr:spPr>
              <a:xfrm rot="10800000">
                <a:off x="14125576" y="3352801"/>
                <a:ext cx="314325" cy="238125"/>
              </a:xfrm>
              <a:prstGeom prst="bentConnector3">
                <a:avLst/>
              </a:prstGeom>
              <a:ln w="50800">
                <a:solidFill>
                  <a:schemeClr val="accent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1" name="Group 20">
              <a:extLst>
                <a:ext uri="{FF2B5EF4-FFF2-40B4-BE49-F238E27FC236}">
                  <a16:creationId xmlns:a16="http://schemas.microsoft.com/office/drawing/2014/main" id="{00000000-0008-0000-0200-000015000000}"/>
                </a:ext>
              </a:extLst>
            </xdr:cNvPr>
            <xdr:cNvGrpSpPr/>
          </xdr:nvGrpSpPr>
          <xdr:grpSpPr>
            <a:xfrm>
              <a:off x="11839576" y="1085851"/>
              <a:ext cx="3200400" cy="238125"/>
              <a:chOff x="11887201" y="3352801"/>
              <a:chExt cx="3200400" cy="238125"/>
            </a:xfrm>
          </xdr:grpSpPr>
          <xdr:cxnSp macro="">
            <xdr:nvCxnSpPr>
              <xdr:cNvPr id="22" name="Elbow Connector 21">
                <a:extLst>
                  <a:ext uri="{FF2B5EF4-FFF2-40B4-BE49-F238E27FC236}">
                    <a16:creationId xmlns:a16="http://schemas.microsoft.com/office/drawing/2014/main" id="{00000000-0008-0000-0200-000016000000}"/>
                  </a:ext>
                </a:extLst>
              </xdr:cNvPr>
              <xdr:cNvCxnSpPr/>
            </xdr:nvCxnSpPr>
            <xdr:spPr>
              <a:xfrm rot="10800000">
                <a:off x="11887201" y="3352801"/>
                <a:ext cx="314325" cy="238125"/>
              </a:xfrm>
              <a:prstGeom prst="bentConnector3">
                <a:avLst/>
              </a:prstGeom>
              <a:ln w="50800">
                <a:solidFill>
                  <a:schemeClr val="accent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3" name="Elbow Connector 22">
                <a:extLst>
                  <a:ext uri="{FF2B5EF4-FFF2-40B4-BE49-F238E27FC236}">
                    <a16:creationId xmlns:a16="http://schemas.microsoft.com/office/drawing/2014/main" id="{00000000-0008-0000-0200-000017000000}"/>
                  </a:ext>
                </a:extLst>
              </xdr:cNvPr>
              <xdr:cNvCxnSpPr/>
            </xdr:nvCxnSpPr>
            <xdr:spPr>
              <a:xfrm rot="10800000">
                <a:off x="12649201" y="3352801"/>
                <a:ext cx="314325" cy="238125"/>
              </a:xfrm>
              <a:prstGeom prst="bentConnector3">
                <a:avLst/>
              </a:prstGeom>
              <a:ln w="50800">
                <a:solidFill>
                  <a:schemeClr val="accent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4" name="Elbow Connector 23">
                <a:extLst>
                  <a:ext uri="{FF2B5EF4-FFF2-40B4-BE49-F238E27FC236}">
                    <a16:creationId xmlns:a16="http://schemas.microsoft.com/office/drawing/2014/main" id="{00000000-0008-0000-0200-000018000000}"/>
                  </a:ext>
                </a:extLst>
              </xdr:cNvPr>
              <xdr:cNvCxnSpPr/>
            </xdr:nvCxnSpPr>
            <xdr:spPr>
              <a:xfrm rot="10800000">
                <a:off x="13411201" y="3352801"/>
                <a:ext cx="314325" cy="238125"/>
              </a:xfrm>
              <a:prstGeom prst="bentConnector3">
                <a:avLst/>
              </a:prstGeom>
              <a:ln w="50800">
                <a:solidFill>
                  <a:schemeClr val="accent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" name="Elbow Connector 24">
                <a:extLst>
                  <a:ext uri="{FF2B5EF4-FFF2-40B4-BE49-F238E27FC236}">
                    <a16:creationId xmlns:a16="http://schemas.microsoft.com/office/drawing/2014/main" id="{00000000-0008-0000-0200-000019000000}"/>
                  </a:ext>
                </a:extLst>
              </xdr:cNvPr>
              <xdr:cNvCxnSpPr/>
            </xdr:nvCxnSpPr>
            <xdr:spPr>
              <a:xfrm rot="10800000">
                <a:off x="14773276" y="3352801"/>
                <a:ext cx="314325" cy="238125"/>
              </a:xfrm>
              <a:prstGeom prst="bentConnector3">
                <a:avLst/>
              </a:prstGeom>
              <a:ln w="50800">
                <a:solidFill>
                  <a:schemeClr val="accent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6" name="Elbow Connector 25">
                <a:extLst>
                  <a:ext uri="{FF2B5EF4-FFF2-40B4-BE49-F238E27FC236}">
                    <a16:creationId xmlns:a16="http://schemas.microsoft.com/office/drawing/2014/main" id="{00000000-0008-0000-0200-00001A000000}"/>
                  </a:ext>
                </a:extLst>
              </xdr:cNvPr>
              <xdr:cNvCxnSpPr/>
            </xdr:nvCxnSpPr>
            <xdr:spPr>
              <a:xfrm rot="10800000">
                <a:off x="14125576" y="3352801"/>
                <a:ext cx="314325" cy="238125"/>
              </a:xfrm>
              <a:prstGeom prst="bentConnector3">
                <a:avLst/>
              </a:prstGeom>
              <a:ln w="50800">
                <a:solidFill>
                  <a:schemeClr val="accent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00000000-0008-0000-0200-00001D000000}"/>
              </a:ext>
            </a:extLst>
          </xdr:cNvPr>
          <xdr:cNvCxnSpPr/>
        </xdr:nvCxnSpPr>
        <xdr:spPr>
          <a:xfrm flipV="1">
            <a:off x="10448925" y="628650"/>
            <a:ext cx="3352800" cy="2752725"/>
          </a:xfrm>
          <a:prstGeom prst="line">
            <a:avLst/>
          </a:prstGeom>
          <a:ln w="635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00000000-0008-0000-0200-00001F000000}"/>
              </a:ext>
            </a:extLst>
          </xdr:cNvPr>
          <xdr:cNvCxnSpPr/>
        </xdr:nvCxnSpPr>
        <xdr:spPr>
          <a:xfrm flipV="1">
            <a:off x="14535150" y="657225"/>
            <a:ext cx="3352800" cy="2752725"/>
          </a:xfrm>
          <a:prstGeom prst="line">
            <a:avLst/>
          </a:prstGeom>
          <a:ln w="635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" name="Straight Connector 31">
            <a:extLst>
              <a:ext uri="{FF2B5EF4-FFF2-40B4-BE49-F238E27FC236}">
                <a16:creationId xmlns:a16="http://schemas.microsoft.com/office/drawing/2014/main" id="{00000000-0008-0000-0200-000020000000}"/>
              </a:ext>
            </a:extLst>
          </xdr:cNvPr>
          <xdr:cNvCxnSpPr/>
        </xdr:nvCxnSpPr>
        <xdr:spPr>
          <a:xfrm flipV="1">
            <a:off x="14563725" y="3248025"/>
            <a:ext cx="3352800" cy="2752725"/>
          </a:xfrm>
          <a:prstGeom prst="line">
            <a:avLst/>
          </a:prstGeom>
          <a:ln w="635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" name="Straight Connector 32">
            <a:extLst>
              <a:ext uri="{FF2B5EF4-FFF2-40B4-BE49-F238E27FC236}">
                <a16:creationId xmlns:a16="http://schemas.microsoft.com/office/drawing/2014/main" id="{00000000-0008-0000-0200-000021000000}"/>
              </a:ext>
            </a:extLst>
          </xdr:cNvPr>
          <xdr:cNvCxnSpPr/>
        </xdr:nvCxnSpPr>
        <xdr:spPr>
          <a:xfrm flipH="1">
            <a:off x="13782676" y="638175"/>
            <a:ext cx="4124324" cy="9526"/>
          </a:xfrm>
          <a:prstGeom prst="line">
            <a:avLst/>
          </a:prstGeom>
          <a:ln w="635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00000000-0008-0000-0200-000028000000}"/>
              </a:ext>
            </a:extLst>
          </xdr:cNvPr>
          <xdr:cNvCxnSpPr/>
        </xdr:nvCxnSpPr>
        <xdr:spPr>
          <a:xfrm>
            <a:off x="17887951" y="647700"/>
            <a:ext cx="9524" cy="2628900"/>
          </a:xfrm>
          <a:prstGeom prst="line">
            <a:avLst/>
          </a:prstGeom>
          <a:ln w="635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00000000-0008-0000-0200-00002B000000}"/>
              </a:ext>
            </a:extLst>
          </xdr:cNvPr>
          <xdr:cNvCxnSpPr>
            <a:endCxn id="44" idx="2"/>
          </xdr:cNvCxnSpPr>
        </xdr:nvCxnSpPr>
        <xdr:spPr>
          <a:xfrm flipV="1">
            <a:off x="8667750" y="1130999"/>
            <a:ext cx="3331535" cy="2755202"/>
          </a:xfrm>
          <a:prstGeom prst="line">
            <a:avLst/>
          </a:prstGeom>
          <a:ln w="635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4" name="Arc 43">
            <a:extLst>
              <a:ext uri="{FF2B5EF4-FFF2-40B4-BE49-F238E27FC236}">
                <a16:creationId xmlns:a16="http://schemas.microsoft.com/office/drawing/2014/main" id="{00000000-0008-0000-0200-00002C000000}"/>
              </a:ext>
            </a:extLst>
          </xdr:cNvPr>
          <xdr:cNvSpPr/>
        </xdr:nvSpPr>
        <xdr:spPr>
          <a:xfrm flipH="1">
            <a:off x="11887200" y="647700"/>
            <a:ext cx="3838574" cy="1457325"/>
          </a:xfrm>
          <a:prstGeom prst="arc">
            <a:avLst>
              <a:gd name="adj1" fmla="val 16200000"/>
              <a:gd name="adj2" fmla="val 21136094"/>
            </a:avLst>
          </a:prstGeom>
          <a:ln w="635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00000000-0008-0000-0200-00002F000000}"/>
              </a:ext>
            </a:extLst>
          </xdr:cNvPr>
          <xdr:cNvCxnSpPr/>
        </xdr:nvCxnSpPr>
        <xdr:spPr>
          <a:xfrm>
            <a:off x="16363951" y="1885950"/>
            <a:ext cx="9524" cy="2628900"/>
          </a:xfrm>
          <a:prstGeom prst="line">
            <a:avLst/>
          </a:prstGeom>
          <a:ln w="635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428626</xdr:colOff>
      <xdr:row>23</xdr:row>
      <xdr:rowOff>38100</xdr:rowOff>
    </xdr:from>
    <xdr:to>
      <xdr:col>13</xdr:col>
      <xdr:colOff>295276</xdr:colOff>
      <xdr:row>24</xdr:row>
      <xdr:rowOff>171450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 txBox="1"/>
      </xdr:nvSpPr>
      <xdr:spPr>
        <a:xfrm>
          <a:off x="13839826" y="4610100"/>
          <a:ext cx="476250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4.0m</a:t>
          </a:r>
          <a:endParaRPr lang="zh-CN" altLang="en-US" sz="1100"/>
        </a:p>
      </xdr:txBody>
    </xdr:sp>
    <xdr:clientData/>
  </xdr:twoCellAnchor>
  <xdr:twoCellAnchor>
    <xdr:from>
      <xdr:col>2</xdr:col>
      <xdr:colOff>219075</xdr:colOff>
      <xdr:row>31</xdr:row>
      <xdr:rowOff>161925</xdr:rowOff>
    </xdr:from>
    <xdr:to>
      <xdr:col>3</xdr:col>
      <xdr:colOff>419100</xdr:colOff>
      <xdr:row>33</xdr:row>
      <xdr:rowOff>104775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 txBox="1"/>
      </xdr:nvSpPr>
      <xdr:spPr>
        <a:xfrm>
          <a:off x="7534275" y="6257925"/>
          <a:ext cx="809625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b=0.25m</a:t>
          </a:r>
          <a:endParaRPr lang="zh-CN" altLang="en-US" sz="1100"/>
        </a:p>
      </xdr:txBody>
    </xdr:sp>
    <xdr:clientData/>
  </xdr:twoCellAnchor>
  <xdr:twoCellAnchor>
    <xdr:from>
      <xdr:col>6</xdr:col>
      <xdr:colOff>542925</xdr:colOff>
      <xdr:row>31</xdr:row>
      <xdr:rowOff>142875</xdr:rowOff>
    </xdr:from>
    <xdr:to>
      <xdr:col>8</xdr:col>
      <xdr:colOff>447674</xdr:colOff>
      <xdr:row>33</xdr:row>
      <xdr:rowOff>85725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 txBox="1"/>
      </xdr:nvSpPr>
      <xdr:spPr>
        <a:xfrm>
          <a:off x="11515725" y="5934075"/>
          <a:ext cx="1276349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c=1.0m</a:t>
          </a:r>
          <a:endParaRPr lang="zh-CN" altLang="en-US" sz="1100"/>
        </a:p>
      </xdr:txBody>
    </xdr:sp>
    <xdr:clientData/>
  </xdr:twoCellAnchor>
  <xdr:twoCellAnchor>
    <xdr:from>
      <xdr:col>5</xdr:col>
      <xdr:colOff>495301</xdr:colOff>
      <xdr:row>23</xdr:row>
      <xdr:rowOff>38100</xdr:rowOff>
    </xdr:from>
    <xdr:to>
      <xdr:col>7</xdr:col>
      <xdr:colOff>123825</xdr:colOff>
      <xdr:row>24</xdr:row>
      <xdr:rowOff>171450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 txBox="1"/>
      </xdr:nvSpPr>
      <xdr:spPr>
        <a:xfrm>
          <a:off x="9639301" y="4610100"/>
          <a:ext cx="847724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b2=0.2m</a:t>
          </a:r>
          <a:endParaRPr lang="zh-CN" altLang="en-US" sz="1100"/>
        </a:p>
      </xdr:txBody>
    </xdr:sp>
    <xdr:clientData/>
  </xdr:twoCellAnchor>
  <xdr:twoCellAnchor>
    <xdr:from>
      <xdr:col>1</xdr:col>
      <xdr:colOff>152400</xdr:colOff>
      <xdr:row>23</xdr:row>
      <xdr:rowOff>142875</xdr:rowOff>
    </xdr:from>
    <xdr:to>
      <xdr:col>1</xdr:col>
      <xdr:colOff>152400</xdr:colOff>
      <xdr:row>33</xdr:row>
      <xdr:rowOff>152400</xdr:rowOff>
    </xdr:to>
    <xdr:cxnSp macro="">
      <xdr:nvCxnSpPr>
        <xdr:cNvPr id="53" name="Straight Connector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CxnSpPr/>
      </xdr:nvCxnSpPr>
      <xdr:spPr>
        <a:xfrm>
          <a:off x="7696200" y="4486275"/>
          <a:ext cx="0" cy="18192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276225</xdr:colOff>
      <xdr:row>30</xdr:row>
      <xdr:rowOff>171450</xdr:rowOff>
    </xdr:from>
    <xdr:to>
      <xdr:col>4</xdr:col>
      <xdr:colOff>276225</xdr:colOff>
      <xdr:row>34</xdr:row>
      <xdr:rowOff>9525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CxnSpPr/>
      </xdr:nvCxnSpPr>
      <xdr:spPr>
        <a:xfrm>
          <a:off x="9877425" y="5781675"/>
          <a:ext cx="0" cy="5619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257175</xdr:colOff>
      <xdr:row>30</xdr:row>
      <xdr:rowOff>152400</xdr:rowOff>
    </xdr:from>
    <xdr:to>
      <xdr:col>10</xdr:col>
      <xdr:colOff>257175</xdr:colOff>
      <xdr:row>33</xdr:row>
      <xdr:rowOff>171450</xdr:rowOff>
    </xdr:to>
    <xdr:cxnSp macro="">
      <xdr:nvCxnSpPr>
        <xdr:cNvPr id="57" name="Straight Connector 56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CxnSpPr/>
      </xdr:nvCxnSpPr>
      <xdr:spPr>
        <a:xfrm>
          <a:off x="13973175" y="5762625"/>
          <a:ext cx="0" cy="5619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276225</xdr:colOff>
      <xdr:row>33</xdr:row>
      <xdr:rowOff>66675</xdr:rowOff>
    </xdr:from>
    <xdr:to>
      <xdr:col>10</xdr:col>
      <xdr:colOff>247650</xdr:colOff>
      <xdr:row>33</xdr:row>
      <xdr:rowOff>66675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CxnSpPr/>
      </xdr:nvCxnSpPr>
      <xdr:spPr>
        <a:xfrm>
          <a:off x="9877425" y="6219825"/>
          <a:ext cx="4086225" cy="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161925</xdr:colOff>
      <xdr:row>33</xdr:row>
      <xdr:rowOff>66675</xdr:rowOff>
    </xdr:from>
    <xdr:to>
      <xdr:col>4</xdr:col>
      <xdr:colOff>257175</xdr:colOff>
      <xdr:row>33</xdr:row>
      <xdr:rowOff>66675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CxnSpPr/>
      </xdr:nvCxnSpPr>
      <xdr:spPr>
        <a:xfrm>
          <a:off x="7705725" y="6219825"/>
          <a:ext cx="2152650" cy="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171450</xdr:colOff>
      <xdr:row>15</xdr:row>
      <xdr:rowOff>133350</xdr:rowOff>
    </xdr:from>
    <xdr:to>
      <xdr:col>15</xdr:col>
      <xdr:colOff>171450</xdr:colOff>
      <xdr:row>18</xdr:row>
      <xdr:rowOff>152400</xdr:rowOff>
    </xdr:to>
    <xdr:cxnSp macro="">
      <xdr:nvCxnSpPr>
        <xdr:cNvPr id="63" name="Straight Connector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CxnSpPr/>
      </xdr:nvCxnSpPr>
      <xdr:spPr>
        <a:xfrm>
          <a:off x="17316450" y="3028950"/>
          <a:ext cx="0" cy="5619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266700</xdr:colOff>
      <xdr:row>18</xdr:row>
      <xdr:rowOff>66675</xdr:rowOff>
    </xdr:from>
    <xdr:to>
      <xdr:col>15</xdr:col>
      <xdr:colOff>152400</xdr:colOff>
      <xdr:row>33</xdr:row>
      <xdr:rowOff>38100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CxnSpPr/>
      </xdr:nvCxnSpPr>
      <xdr:spPr>
        <a:xfrm flipV="1">
          <a:off x="13982700" y="3505200"/>
          <a:ext cx="3314700" cy="26860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16</xdr:row>
      <xdr:rowOff>85725</xdr:rowOff>
    </xdr:from>
    <xdr:to>
      <xdr:col>5</xdr:col>
      <xdr:colOff>495300</xdr:colOff>
      <xdr:row>30</xdr:row>
      <xdr:rowOff>114300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CxnSpPr/>
      </xdr:nvCxnSpPr>
      <xdr:spPr>
        <a:xfrm>
          <a:off x="9639300" y="3324225"/>
          <a:ext cx="0" cy="26955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352425</xdr:colOff>
      <xdr:row>17</xdr:row>
      <xdr:rowOff>133350</xdr:rowOff>
    </xdr:from>
    <xdr:to>
      <xdr:col>3</xdr:col>
      <xdr:colOff>142875</xdr:colOff>
      <xdr:row>25</xdr:row>
      <xdr:rowOff>57150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CxnSpPr/>
      </xdr:nvCxnSpPr>
      <xdr:spPr>
        <a:xfrm flipH="1" flipV="1">
          <a:off x="7667625" y="3562350"/>
          <a:ext cx="400050" cy="144780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571500</xdr:colOff>
      <xdr:row>21</xdr:row>
      <xdr:rowOff>114300</xdr:rowOff>
    </xdr:from>
    <xdr:to>
      <xdr:col>2</xdr:col>
      <xdr:colOff>581026</xdr:colOff>
      <xdr:row>23</xdr:row>
      <xdr:rowOff>47625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 txBox="1"/>
      </xdr:nvSpPr>
      <xdr:spPr>
        <a:xfrm>
          <a:off x="7277100" y="4305300"/>
          <a:ext cx="619126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R1=1m</a:t>
          </a:r>
          <a:endParaRPr lang="zh-CN" altLang="en-US" sz="1100"/>
        </a:p>
      </xdr:txBody>
    </xdr:sp>
    <xdr:clientData/>
  </xdr:twoCellAnchor>
  <xdr:twoCellAnchor>
    <xdr:from>
      <xdr:col>2</xdr:col>
      <xdr:colOff>190500</xdr:colOff>
      <xdr:row>21</xdr:row>
      <xdr:rowOff>95250</xdr:rowOff>
    </xdr:from>
    <xdr:to>
      <xdr:col>3</xdr:col>
      <xdr:colOff>371476</xdr:colOff>
      <xdr:row>28</xdr:row>
      <xdr:rowOff>161925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CxnSpPr/>
      </xdr:nvCxnSpPr>
      <xdr:spPr>
        <a:xfrm flipH="1">
          <a:off x="7505700" y="4286250"/>
          <a:ext cx="790576" cy="1400175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419099</xdr:colOff>
      <xdr:row>26</xdr:row>
      <xdr:rowOff>85725</xdr:rowOff>
    </xdr:from>
    <xdr:to>
      <xdr:col>3</xdr:col>
      <xdr:colOff>600074</xdr:colOff>
      <xdr:row>28</xdr:row>
      <xdr:rowOff>19050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 txBox="1"/>
      </xdr:nvSpPr>
      <xdr:spPr>
        <a:xfrm>
          <a:off x="7734299" y="5229225"/>
          <a:ext cx="790575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R2=1.2m</a:t>
          </a:r>
          <a:endParaRPr lang="zh-CN" altLang="en-US" sz="1100"/>
        </a:p>
      </xdr:txBody>
    </xdr:sp>
    <xdr:clientData/>
  </xdr:twoCellAnchor>
  <xdr:twoCellAnchor>
    <xdr:from>
      <xdr:col>3</xdr:col>
      <xdr:colOff>323850</xdr:colOff>
      <xdr:row>14</xdr:row>
      <xdr:rowOff>133350</xdr:rowOff>
    </xdr:from>
    <xdr:to>
      <xdr:col>4</xdr:col>
      <xdr:colOff>66675</xdr:colOff>
      <xdr:row>16</xdr:row>
      <xdr:rowOff>28575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 txBox="1"/>
      </xdr:nvSpPr>
      <xdr:spPr>
        <a:xfrm>
          <a:off x="8248650" y="2990850"/>
          <a:ext cx="35242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t1</a:t>
          </a:r>
          <a:endParaRPr lang="zh-CN" altLang="en-US" sz="1100"/>
        </a:p>
      </xdr:txBody>
    </xdr:sp>
    <xdr:clientData/>
  </xdr:twoCellAnchor>
  <xdr:twoCellAnchor>
    <xdr:from>
      <xdr:col>5</xdr:col>
      <xdr:colOff>38100</xdr:colOff>
      <xdr:row>17</xdr:row>
      <xdr:rowOff>171450</xdr:rowOff>
    </xdr:from>
    <xdr:to>
      <xdr:col>5</xdr:col>
      <xdr:colOff>390525</xdr:colOff>
      <xdr:row>19</xdr:row>
      <xdr:rowOff>66675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 txBox="1"/>
      </xdr:nvSpPr>
      <xdr:spPr>
        <a:xfrm>
          <a:off x="9182100" y="3600450"/>
          <a:ext cx="35242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ts</a:t>
          </a:r>
          <a:endParaRPr lang="zh-CN" altLang="en-US" sz="1100"/>
        </a:p>
      </xdr:txBody>
    </xdr:sp>
    <xdr:clientData/>
  </xdr:twoCellAnchor>
  <xdr:twoCellAnchor>
    <xdr:from>
      <xdr:col>4</xdr:col>
      <xdr:colOff>257175</xdr:colOff>
      <xdr:row>23</xdr:row>
      <xdr:rowOff>57150</xdr:rowOff>
    </xdr:from>
    <xdr:to>
      <xdr:col>5</xdr:col>
      <xdr:colOff>247650</xdr:colOff>
      <xdr:row>24</xdr:row>
      <xdr:rowOff>142875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 txBox="1"/>
      </xdr:nvSpPr>
      <xdr:spPr>
        <a:xfrm>
          <a:off x="8791575" y="4629150"/>
          <a:ext cx="60007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t_F</a:t>
          </a:r>
          <a:endParaRPr lang="zh-CN" altLang="en-US" sz="1100"/>
        </a:p>
      </xdr:txBody>
    </xdr:sp>
    <xdr:clientData/>
  </xdr:twoCellAnchor>
  <xdr:twoCellAnchor>
    <xdr:from>
      <xdr:col>11</xdr:col>
      <xdr:colOff>333375</xdr:colOff>
      <xdr:row>24</xdr:row>
      <xdr:rowOff>95250</xdr:rowOff>
    </xdr:from>
    <xdr:to>
      <xdr:col>12</xdr:col>
      <xdr:colOff>76200</xdr:colOff>
      <xdr:row>25</xdr:row>
      <xdr:rowOff>180975</xdr:rowOff>
    </xdr:to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 txBox="1"/>
      </xdr:nvSpPr>
      <xdr:spPr>
        <a:xfrm>
          <a:off x="13134975" y="4857750"/>
          <a:ext cx="35242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a</a:t>
          </a:r>
          <a:endParaRPr lang="zh-CN" altLang="en-US" sz="1100"/>
        </a:p>
      </xdr:txBody>
    </xdr:sp>
    <xdr:clientData/>
  </xdr:twoCellAnchor>
  <xdr:twoCellAnchor>
    <xdr:from>
      <xdr:col>9</xdr:col>
      <xdr:colOff>485775</xdr:colOff>
      <xdr:row>22</xdr:row>
      <xdr:rowOff>152400</xdr:rowOff>
    </xdr:from>
    <xdr:to>
      <xdr:col>10</xdr:col>
      <xdr:colOff>476250</xdr:colOff>
      <xdr:row>24</xdr:row>
      <xdr:rowOff>47625</xdr:rowOff>
    </xdr:to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/>
      </xdr:nvSpPr>
      <xdr:spPr>
        <a:xfrm>
          <a:off x="12068175" y="4533900"/>
          <a:ext cx="60007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t_R</a:t>
          </a:r>
          <a:endParaRPr lang="zh-CN" altLang="en-US" sz="1100"/>
        </a:p>
      </xdr:txBody>
    </xdr:sp>
    <xdr:clientData/>
  </xdr:twoCellAnchor>
  <xdr:twoCellAnchor>
    <xdr:from>
      <xdr:col>7</xdr:col>
      <xdr:colOff>28575</xdr:colOff>
      <xdr:row>14</xdr:row>
      <xdr:rowOff>142875</xdr:rowOff>
    </xdr:from>
    <xdr:to>
      <xdr:col>7</xdr:col>
      <xdr:colOff>381000</xdr:colOff>
      <xdr:row>16</xdr:row>
      <xdr:rowOff>38100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 txBox="1"/>
      </xdr:nvSpPr>
      <xdr:spPr>
        <a:xfrm>
          <a:off x="10391775" y="3000375"/>
          <a:ext cx="35242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t2</a:t>
          </a:r>
          <a:endParaRPr lang="zh-CN" altLang="en-US" sz="1100"/>
        </a:p>
      </xdr:txBody>
    </xdr:sp>
    <xdr:clientData/>
  </xdr:twoCellAnchor>
  <xdr:twoCellAnchor>
    <xdr:from>
      <xdr:col>6</xdr:col>
      <xdr:colOff>390525</xdr:colOff>
      <xdr:row>16</xdr:row>
      <xdr:rowOff>104775</xdr:rowOff>
    </xdr:from>
    <xdr:to>
      <xdr:col>7</xdr:col>
      <xdr:colOff>133350</xdr:colOff>
      <xdr:row>18</xdr:row>
      <xdr:rowOff>0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 txBox="1"/>
      </xdr:nvSpPr>
      <xdr:spPr>
        <a:xfrm>
          <a:off x="10144125" y="3343275"/>
          <a:ext cx="35242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b1</a:t>
          </a:r>
          <a:endParaRPr lang="zh-CN" altLang="en-US" sz="1100"/>
        </a:p>
      </xdr:txBody>
    </xdr:sp>
    <xdr:clientData/>
  </xdr:twoCellAnchor>
  <xdr:twoCellAnchor editAs="oneCell">
    <xdr:from>
      <xdr:col>17</xdr:col>
      <xdr:colOff>0</xdr:colOff>
      <xdr:row>0</xdr:row>
      <xdr:rowOff>8275</xdr:rowOff>
    </xdr:from>
    <xdr:to>
      <xdr:col>30</xdr:col>
      <xdr:colOff>412507</xdr:colOff>
      <xdr:row>35</xdr:row>
      <xdr:rowOff>148431</xdr:rowOff>
    </xdr:to>
    <xdr:pic>
      <xdr:nvPicPr>
        <xdr:cNvPr id="67" name="图片 7" descr="照片 046.jpg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4161" b="3437"/>
        <a:stretch/>
      </xdr:blipFill>
      <xdr:spPr>
        <a:xfrm>
          <a:off x="10419522" y="8275"/>
          <a:ext cx="9823174" cy="68076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157370</xdr:rowOff>
    </xdr:from>
    <xdr:to>
      <xdr:col>16</xdr:col>
      <xdr:colOff>49695</xdr:colOff>
      <xdr:row>62</xdr:row>
      <xdr:rowOff>11195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824870"/>
          <a:ext cx="9856304" cy="515189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608426</xdr:colOff>
      <xdr:row>29</xdr:row>
      <xdr:rowOff>8161</xdr:rowOff>
    </xdr:from>
    <xdr:to>
      <xdr:col>20</xdr:col>
      <xdr:colOff>248169</xdr:colOff>
      <xdr:row>57</xdr:row>
      <xdr:rowOff>169568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8881" y="5030434"/>
          <a:ext cx="7688888" cy="51277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</xdr:colOff>
      <xdr:row>48</xdr:row>
      <xdr:rowOff>151123</xdr:rowOff>
    </xdr:from>
    <xdr:to>
      <xdr:col>0</xdr:col>
      <xdr:colOff>1767840</xdr:colOff>
      <xdr:row>52</xdr:row>
      <xdr:rowOff>96372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10285723"/>
          <a:ext cx="1743075" cy="7682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55420</xdr:colOff>
      <xdr:row>68</xdr:row>
      <xdr:rowOff>133985</xdr:rowOff>
    </xdr:from>
    <xdr:to>
      <xdr:col>3</xdr:col>
      <xdr:colOff>472552</xdr:colOff>
      <xdr:row>74</xdr:row>
      <xdr:rowOff>15651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2714" y="12438044"/>
          <a:ext cx="1436867" cy="9440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514350</xdr:colOff>
      <xdr:row>8</xdr:row>
      <xdr:rowOff>85725</xdr:rowOff>
    </xdr:from>
    <xdr:to>
      <xdr:col>8</xdr:col>
      <xdr:colOff>355562</xdr:colOff>
      <xdr:row>13</xdr:row>
      <xdr:rowOff>60511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24275" y="1457325"/>
          <a:ext cx="3248025" cy="832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142875</xdr:colOff>
      <xdr:row>11</xdr:row>
      <xdr:rowOff>9525</xdr:rowOff>
    </xdr:from>
    <xdr:to>
      <xdr:col>2</xdr:col>
      <xdr:colOff>73959</xdr:colOff>
      <xdr:row>13</xdr:row>
      <xdr:rowOff>129540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2314575"/>
          <a:ext cx="3076575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9525</xdr:rowOff>
    </xdr:from>
    <xdr:to>
      <xdr:col>2</xdr:col>
      <xdr:colOff>321609</xdr:colOff>
      <xdr:row>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"/>
          <a:ext cx="3457575" cy="1533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523875</xdr:colOff>
      <xdr:row>0</xdr:row>
      <xdr:rowOff>0</xdr:rowOff>
    </xdr:from>
    <xdr:to>
      <xdr:col>13</xdr:col>
      <xdr:colOff>513245</xdr:colOff>
      <xdr:row>7</xdr:row>
      <xdr:rowOff>136712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0"/>
          <a:ext cx="6400800" cy="1346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190500</xdr:colOff>
      <xdr:row>8</xdr:row>
      <xdr:rowOff>72277</xdr:rowOff>
    </xdr:from>
    <xdr:to>
      <xdr:col>14</xdr:col>
      <xdr:colOff>93376</xdr:colOff>
      <xdr:row>21</xdr:row>
      <xdr:rowOff>155649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0" y="1443877"/>
          <a:ext cx="2878790" cy="2295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617392</xdr:colOff>
      <xdr:row>60</xdr:row>
      <xdr:rowOff>101312</xdr:rowOff>
    </xdr:from>
    <xdr:to>
      <xdr:col>14</xdr:col>
      <xdr:colOff>591701</xdr:colOff>
      <xdr:row>94</xdr:row>
      <xdr:rowOff>136528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7847" y="10613448"/>
          <a:ext cx="4271296" cy="60132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412936</xdr:colOff>
      <xdr:row>22</xdr:row>
      <xdr:rowOff>68357</xdr:rowOff>
    </xdr:from>
    <xdr:to>
      <xdr:col>14</xdr:col>
      <xdr:colOff>133046</xdr:colOff>
      <xdr:row>27</xdr:row>
      <xdr:rowOff>22084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6686" y="3840257"/>
          <a:ext cx="2711264" cy="8281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441624</xdr:colOff>
      <xdr:row>27</xdr:row>
      <xdr:rowOff>13223</xdr:rowOff>
    </xdr:from>
    <xdr:to>
      <xdr:col>7</xdr:col>
      <xdr:colOff>246838</xdr:colOff>
      <xdr:row>31</xdr:row>
      <xdr:rowOff>73933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04977" y="4854164"/>
          <a:ext cx="2078439" cy="7679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25</xdr:col>
      <xdr:colOff>57148</xdr:colOff>
      <xdr:row>25</xdr:row>
      <xdr:rowOff>19264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63300" y="0"/>
          <a:ext cx="6057900" cy="42928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19050</xdr:colOff>
      <xdr:row>49</xdr:row>
      <xdr:rowOff>152400</xdr:rowOff>
    </xdr:from>
    <xdr:to>
      <xdr:col>4</xdr:col>
      <xdr:colOff>590550</xdr:colOff>
      <xdr:row>62</xdr:row>
      <xdr:rowOff>133348</xdr:rowOff>
    </xdr:to>
    <xdr:sp macro="" textlink="">
      <xdr:nvSpPr>
        <xdr:cNvPr id="17" name="Curved Left Arrow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 rot="10800000" flipH="1">
          <a:off x="4638675" y="8648700"/>
          <a:ext cx="571500" cy="2247898"/>
        </a:xfrm>
        <a:prstGeom prst="curvedLef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371475</xdr:colOff>
      <xdr:row>6</xdr:row>
      <xdr:rowOff>161925</xdr:rowOff>
    </xdr:from>
    <xdr:to>
      <xdr:col>2</xdr:col>
      <xdr:colOff>342900</xdr:colOff>
      <xdr:row>9</xdr:row>
      <xdr:rowOff>9525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2800350" y="1419225"/>
          <a:ext cx="571500" cy="4762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259206</xdr:colOff>
      <xdr:row>8</xdr:row>
      <xdr:rowOff>149330</xdr:rowOff>
    </xdr:from>
    <xdr:to>
      <xdr:col>2</xdr:col>
      <xdr:colOff>438150</xdr:colOff>
      <xdr:row>9</xdr:row>
      <xdr:rowOff>190500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CxnSpPr>
          <a:stCxn id="9" idx="5"/>
        </xdr:cNvCxnSpPr>
      </xdr:nvCxnSpPr>
      <xdr:spPr>
        <a:xfrm>
          <a:off x="3288156" y="1825730"/>
          <a:ext cx="178944" cy="25072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76200</xdr:colOff>
      <xdr:row>65</xdr:row>
      <xdr:rowOff>57150</xdr:rowOff>
    </xdr:from>
    <xdr:to>
      <xdr:col>3</xdr:col>
      <xdr:colOff>437814</xdr:colOff>
      <xdr:row>67</xdr:row>
      <xdr:rowOff>94531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" y="13706475"/>
          <a:ext cx="4505325" cy="443147"/>
        </a:xfrm>
        <a:prstGeom prst="rect">
          <a:avLst/>
        </a:prstGeom>
      </xdr:spPr>
    </xdr:pic>
    <xdr:clientData/>
  </xdr:twoCellAnchor>
  <xdr:twoCellAnchor editAs="oneCell">
    <xdr:from>
      <xdr:col>14</xdr:col>
      <xdr:colOff>201410</xdr:colOff>
      <xdr:row>58</xdr:row>
      <xdr:rowOff>8658</xdr:rowOff>
    </xdr:from>
    <xdr:to>
      <xdr:col>17</xdr:col>
      <xdr:colOff>284661</xdr:colOff>
      <xdr:row>62</xdr:row>
      <xdr:rowOff>54421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14092" y="10174431"/>
          <a:ext cx="1968855" cy="7289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646834</xdr:colOff>
      <xdr:row>91</xdr:row>
      <xdr:rowOff>67368</xdr:rowOff>
    </xdr:from>
    <xdr:to>
      <xdr:col>8</xdr:col>
      <xdr:colOff>553152</xdr:colOff>
      <xdr:row>97</xdr:row>
      <xdr:rowOff>18749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4016" y="15982777"/>
          <a:ext cx="2188152" cy="990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383674</xdr:colOff>
      <xdr:row>28</xdr:row>
      <xdr:rowOff>135621</xdr:rowOff>
    </xdr:from>
    <xdr:to>
      <xdr:col>29</xdr:col>
      <xdr:colOff>18402</xdr:colOff>
      <xdr:row>61</xdr:row>
      <xdr:rowOff>22359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37083" y="4984712"/>
          <a:ext cx="5259153" cy="5734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491265</xdr:colOff>
      <xdr:row>68</xdr:row>
      <xdr:rowOff>101077</xdr:rowOff>
    </xdr:from>
    <xdr:ext cx="1933575" cy="10016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TextBox 22">
              <a:extLst>
                <a:ext uri="{FF2B5EF4-FFF2-40B4-BE49-F238E27FC236}">
                  <a16:creationId xmlns:a16="http://schemas.microsoft.com/office/drawing/2014/main" id="{00000000-0008-0000-0300-000017000000}"/>
                </a:ext>
              </a:extLst>
            </xdr:cNvPr>
            <xdr:cNvSpPr txBox="1"/>
          </xdr:nvSpPr>
          <xdr:spPr>
            <a:xfrm>
              <a:off x="491265" y="12405136"/>
              <a:ext cx="1933575" cy="10016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2000" b="0" i="1">
                        <a:latin typeface="Cambria Math"/>
                        <a:ea typeface="Cambria Math"/>
                      </a:rPr>
                      <m:t>𝜎</m:t>
                    </m:r>
                    <m:r>
                      <a:rPr lang="en-US" sz="2000" b="0" i="1">
                        <a:latin typeface="Cambria Math"/>
                      </a:rPr>
                      <m:t>=</m:t>
                    </m:r>
                    <m:r>
                      <a:rPr lang="en-US" sz="2000" b="0" i="1">
                        <a:latin typeface="Cambria Math"/>
                      </a:rPr>
                      <m:t>𝐹</m:t>
                    </m:r>
                    <m:rad>
                      <m:radPr>
                        <m:degHide m:val="on"/>
                        <m:ctrlPr>
                          <a:rPr lang="en-GB" sz="20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en-GB" sz="20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US" sz="2000" b="0" i="1">
                                <a:latin typeface="Cambria Math"/>
                              </a:rPr>
                              <m:t>𝑁</m:t>
                            </m:r>
                            <m:sSub>
                              <m:sSubPr>
                                <m:ctrlPr>
                                  <a:rPr lang="en-US" sz="20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sz="2000" b="0" i="1">
                                    <a:latin typeface="Cambria Math"/>
                                  </a:rPr>
                                  <m:t>𝐸</m:t>
                                </m:r>
                              </m:e>
                              <m:sub>
                                <m:r>
                                  <a:rPr lang="en-US" sz="2000" b="0" i="1">
                                    <a:latin typeface="Cambria Math"/>
                                  </a:rPr>
                                  <m:t>𝑡</m:t>
                                </m:r>
                              </m:sub>
                            </m:sSub>
                          </m:num>
                          <m:den>
                            <m:r>
                              <a:rPr lang="en-US" sz="2000" b="0" i="1">
                                <a:latin typeface="Cambria Math"/>
                              </a:rPr>
                              <m:t>𝐿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en-GB" sz="2000"/>
            </a:p>
          </xdr:txBody>
        </xdr:sp>
      </mc:Choice>
      <mc:Fallback xmlns="">
        <xdr:sp macro="" textlink="">
          <xdr:nvSpPr>
            <xdr:cNvPr id="23" name="TextBox 22">
              <a:extLst>
                <a:ext uri="{FF2B5EF4-FFF2-40B4-BE49-F238E27FC236}">
                  <a16:creationId xmlns:a16="http://schemas.microsoft.com/office/drawing/2014/main" id="{00000000-0008-0000-0300-000017000000}"/>
                </a:ext>
              </a:extLst>
            </xdr:cNvPr>
            <xdr:cNvSpPr txBox="1"/>
          </xdr:nvSpPr>
          <xdr:spPr>
            <a:xfrm>
              <a:off x="491265" y="12405136"/>
              <a:ext cx="1933575" cy="10016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en-US" sz="2000" b="0" i="0">
                  <a:latin typeface="Cambria Math"/>
                  <a:ea typeface="Cambria Math"/>
                </a:rPr>
                <a:t>𝜎</a:t>
              </a:r>
              <a:r>
                <a:rPr lang="en-US" sz="2000" b="0" i="0">
                  <a:latin typeface="Cambria Math"/>
                </a:rPr>
                <a:t>=𝐹</a:t>
              </a:r>
              <a:r>
                <a:rPr lang="en-GB" sz="2000" i="0">
                  <a:latin typeface="Cambria Math" panose="02040503050406030204" pitchFamily="18" charset="0"/>
                </a:rPr>
                <a:t>√((</a:t>
              </a:r>
              <a:r>
                <a:rPr lang="en-US" sz="2000" b="0" i="0">
                  <a:latin typeface="Cambria Math"/>
                </a:rPr>
                <a:t>𝑁𝐸</a:t>
              </a:r>
              <a:r>
                <a:rPr lang="en-US" sz="2000" b="0" i="0">
                  <a:latin typeface="Cambria Math" panose="02040503050406030204" pitchFamily="18" charset="0"/>
                </a:rPr>
                <a:t>_</a:t>
              </a:r>
              <a:r>
                <a:rPr lang="en-US" sz="2000" b="0" i="0">
                  <a:latin typeface="Cambria Math"/>
                </a:rPr>
                <a:t>𝑡</a:t>
              </a:r>
              <a:r>
                <a:rPr lang="en-GB" sz="2000" b="0" i="0">
                  <a:latin typeface="Cambria Math" panose="02040503050406030204" pitchFamily="18" charset="0"/>
                </a:rPr>
                <a:t>)/</a:t>
              </a:r>
              <a:r>
                <a:rPr lang="en-US" sz="2000" b="0" i="0">
                  <a:latin typeface="Cambria Math"/>
                </a:rPr>
                <a:t>𝐿</a:t>
              </a:r>
              <a:r>
                <a:rPr lang="en-GB" sz="2000" b="0" i="0">
                  <a:latin typeface="Cambria Math" panose="02040503050406030204" pitchFamily="18" charset="0"/>
                </a:rPr>
                <a:t>)</a:t>
              </a:r>
              <a:endParaRPr lang="en-GB" sz="20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1</xdr:row>
      <xdr:rowOff>38100</xdr:rowOff>
    </xdr:from>
    <xdr:to>
      <xdr:col>3</xdr:col>
      <xdr:colOff>359148</xdr:colOff>
      <xdr:row>9</xdr:row>
      <xdr:rowOff>170542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228600"/>
          <a:ext cx="3676650" cy="16602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19050</xdr:colOff>
      <xdr:row>22</xdr:row>
      <xdr:rowOff>114300</xdr:rowOff>
    </xdr:from>
    <xdr:to>
      <xdr:col>21</xdr:col>
      <xdr:colOff>552450</xdr:colOff>
      <xdr:row>51</xdr:row>
      <xdr:rowOff>92112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10550" y="4305300"/>
          <a:ext cx="6619875" cy="557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28575</xdr:colOff>
      <xdr:row>14</xdr:row>
      <xdr:rowOff>28575</xdr:rowOff>
    </xdr:from>
    <xdr:to>
      <xdr:col>8</xdr:col>
      <xdr:colOff>548640</xdr:colOff>
      <xdr:row>18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5775" y="2695575"/>
          <a:ext cx="2352675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133350</xdr:colOff>
      <xdr:row>0</xdr:row>
      <xdr:rowOff>114300</xdr:rowOff>
    </xdr:from>
    <xdr:to>
      <xdr:col>10</xdr:col>
      <xdr:colOff>476250</xdr:colOff>
      <xdr:row>10</xdr:row>
      <xdr:rowOff>98742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14300"/>
          <a:ext cx="3990975" cy="18932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6</xdr:col>
      <xdr:colOff>478155</xdr:colOff>
      <xdr:row>24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3975" y="4029075"/>
          <a:ext cx="1171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19050</xdr:colOff>
      <xdr:row>20</xdr:row>
      <xdr:rowOff>9525</xdr:rowOff>
    </xdr:from>
    <xdr:to>
      <xdr:col>28</xdr:col>
      <xdr:colOff>304800</xdr:colOff>
      <xdr:row>36</xdr:row>
      <xdr:rowOff>53340</xdr:rowOff>
    </xdr:to>
    <xdr:pic>
      <xdr:nvPicPr>
        <xdr:cNvPr id="10" name="Picture 9" descr="查看源图像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16150" y="3952875"/>
          <a:ext cx="3943350" cy="3286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590550</xdr:colOff>
      <xdr:row>2</xdr:row>
      <xdr:rowOff>133350</xdr:rowOff>
    </xdr:from>
    <xdr:to>
      <xdr:col>28</xdr:col>
      <xdr:colOff>135255</xdr:colOff>
      <xdr:row>19</xdr:row>
      <xdr:rowOff>91979</xdr:rowOff>
    </xdr:to>
    <xdr:pic>
      <xdr:nvPicPr>
        <xdr:cNvPr id="11" name="Picture 10" descr="查看源图像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78050" y="514350"/>
          <a:ext cx="3819525" cy="33038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76200</xdr:colOff>
      <xdr:row>0</xdr:row>
      <xdr:rowOff>28575</xdr:rowOff>
    </xdr:from>
    <xdr:to>
      <xdr:col>21</xdr:col>
      <xdr:colOff>38100</xdr:colOff>
      <xdr:row>22</xdr:row>
      <xdr:rowOff>130426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pSpPr/>
      </xdr:nvGrpSpPr>
      <xdr:grpSpPr>
        <a:xfrm>
          <a:off x="9208324" y="28575"/>
          <a:ext cx="6612083" cy="4281965"/>
          <a:chOff x="8267700" y="28575"/>
          <a:chExt cx="6057900" cy="4464301"/>
        </a:xfrm>
      </xdr:grpSpPr>
      <xdr:pic>
        <xdr:nvPicPr>
          <xdr:cNvPr id="8" name="Picture 7">
            <a:extLst>
              <a:ext uri="{FF2B5EF4-FFF2-40B4-BE49-F238E27FC236}">
                <a16:creationId xmlns:a16="http://schemas.microsoft.com/office/drawing/2014/main" id="{00000000-0008-0000-0400-000008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267700" y="28575"/>
            <a:ext cx="6057900" cy="446430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" name="Circular Arrow 1">
            <a:extLst>
              <a:ext uri="{FF2B5EF4-FFF2-40B4-BE49-F238E27FC236}">
                <a16:creationId xmlns:a16="http://schemas.microsoft.com/office/drawing/2014/main" id="{00000000-0008-0000-0400-000002000000}"/>
              </a:ext>
            </a:extLst>
          </xdr:cNvPr>
          <xdr:cNvSpPr/>
        </xdr:nvSpPr>
        <xdr:spPr>
          <a:xfrm rot="16200000">
            <a:off x="10563227" y="990599"/>
            <a:ext cx="1657352" cy="2095503"/>
          </a:xfrm>
          <a:prstGeom prst="circularArrow">
            <a:avLst>
              <a:gd name="adj1" fmla="val 7001"/>
              <a:gd name="adj2" fmla="val 1142319"/>
              <a:gd name="adj3" fmla="val 20457680"/>
              <a:gd name="adj4" fmla="val 10800000"/>
              <a:gd name="adj5" fmla="val 12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>
              <a:solidFill>
                <a:schemeClr val="tx1"/>
              </a:solidFill>
            </a:endParaRPr>
          </a:p>
        </xdr:txBody>
      </xdr:sp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00000000-0008-0000-0400-000003000000}"/>
              </a:ext>
            </a:extLst>
          </xdr:cNvPr>
          <xdr:cNvSpPr txBox="1"/>
        </xdr:nvSpPr>
        <xdr:spPr>
          <a:xfrm>
            <a:off x="11353800" y="1133475"/>
            <a:ext cx="1200150" cy="6000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100"/>
              <a:t>Pitch up torque is +ve</a:t>
            </a:r>
          </a:p>
        </xdr:txBody>
      </xdr:sp>
    </xdr:grpSp>
    <xdr:clientData/>
  </xdr:twoCellAnchor>
  <xdr:twoCellAnchor editAs="oneCell">
    <xdr:from>
      <xdr:col>0</xdr:col>
      <xdr:colOff>107576</xdr:colOff>
      <xdr:row>51</xdr:row>
      <xdr:rowOff>33616</xdr:rowOff>
    </xdr:from>
    <xdr:to>
      <xdr:col>3</xdr:col>
      <xdr:colOff>363396</xdr:colOff>
      <xdr:row>66</xdr:row>
      <xdr:rowOff>135778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7576" y="9428628"/>
          <a:ext cx="3743091" cy="2801099"/>
        </a:xfrm>
        <a:prstGeom prst="rect">
          <a:avLst/>
        </a:prstGeom>
      </xdr:spPr>
    </xdr:pic>
    <xdr:clientData/>
  </xdr:twoCellAnchor>
  <xdr:twoCellAnchor editAs="oneCell">
    <xdr:from>
      <xdr:col>3</xdr:col>
      <xdr:colOff>356908</xdr:colOff>
      <xdr:row>49</xdr:row>
      <xdr:rowOff>108136</xdr:rowOff>
    </xdr:from>
    <xdr:to>
      <xdr:col>10</xdr:col>
      <xdr:colOff>57823</xdr:colOff>
      <xdr:row>66</xdr:row>
      <xdr:rowOff>116745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44179" y="9144560"/>
          <a:ext cx="3952875" cy="3056609"/>
        </a:xfrm>
        <a:prstGeom prst="rect">
          <a:avLst/>
        </a:prstGeom>
      </xdr:spPr>
    </xdr:pic>
    <xdr:clientData/>
  </xdr:twoCellAnchor>
  <xdr:twoCellAnchor editAs="oneCell">
    <xdr:from>
      <xdr:col>10</xdr:col>
      <xdr:colOff>609598</xdr:colOff>
      <xdr:row>52</xdr:row>
      <xdr:rowOff>26893</xdr:rowOff>
    </xdr:from>
    <xdr:to>
      <xdr:col>23</xdr:col>
      <xdr:colOff>510761</xdr:colOff>
      <xdr:row>66</xdr:row>
      <xdr:rowOff>131201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364069" y="9601199"/>
          <a:ext cx="7816438" cy="260871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</xdr:row>
      <xdr:rowOff>165847</xdr:rowOff>
    </xdr:from>
    <xdr:to>
      <xdr:col>4</xdr:col>
      <xdr:colOff>573741</xdr:colOff>
      <xdr:row>86</xdr:row>
      <xdr:rowOff>89647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74CEE5D-1DFB-4E68-994A-B2B3A5B199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171451</xdr:rowOff>
    </xdr:from>
    <xdr:to>
      <xdr:col>3</xdr:col>
      <xdr:colOff>552450</xdr:colOff>
      <xdr:row>46</xdr:row>
      <xdr:rowOff>169121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0026"/>
          <a:ext cx="4029075" cy="4946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104775</xdr:colOff>
      <xdr:row>2</xdr:row>
      <xdr:rowOff>57150</xdr:rowOff>
    </xdr:from>
    <xdr:to>
      <xdr:col>7</xdr:col>
      <xdr:colOff>93732</xdr:colOff>
      <xdr:row>5</xdr:row>
      <xdr:rowOff>80554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0125" y="457200"/>
          <a:ext cx="1394847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42583</xdr:colOff>
      <xdr:row>52</xdr:row>
      <xdr:rowOff>161925</xdr:rowOff>
    </xdr:from>
    <xdr:to>
      <xdr:col>20</xdr:col>
      <xdr:colOff>555027</xdr:colOff>
      <xdr:row>82</xdr:row>
      <xdr:rowOff>95919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7233" y="10096500"/>
          <a:ext cx="7839074" cy="56356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30254</xdr:colOff>
      <xdr:row>23</xdr:row>
      <xdr:rowOff>9525</xdr:rowOff>
    </xdr:from>
    <xdr:to>
      <xdr:col>20</xdr:col>
      <xdr:colOff>549535</xdr:colOff>
      <xdr:row>52</xdr:row>
      <xdr:rowOff>112134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4904" y="4419600"/>
          <a:ext cx="7830671" cy="56271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19050</xdr:colOff>
      <xdr:row>5</xdr:row>
      <xdr:rowOff>152399</xdr:rowOff>
    </xdr:from>
    <xdr:to>
      <xdr:col>4</xdr:col>
      <xdr:colOff>590550</xdr:colOff>
      <xdr:row>16</xdr:row>
      <xdr:rowOff>171447</xdr:rowOff>
    </xdr:to>
    <xdr:sp macro="" textlink="">
      <xdr:nvSpPr>
        <xdr:cNvPr id="10" name="Curved Left Arrow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>
        <a:xfrm rot="10800000" flipH="1">
          <a:off x="4114800" y="1104899"/>
          <a:ext cx="571500" cy="2143123"/>
        </a:xfrm>
        <a:prstGeom prst="curvedLef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1095375</xdr:colOff>
      <xdr:row>25</xdr:row>
      <xdr:rowOff>133351</xdr:rowOff>
    </xdr:from>
    <xdr:to>
      <xdr:col>0</xdr:col>
      <xdr:colOff>1495425</xdr:colOff>
      <xdr:row>27</xdr:row>
      <xdr:rowOff>123825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 txBox="1"/>
      </xdr:nvSpPr>
      <xdr:spPr>
        <a:xfrm>
          <a:off x="1095375" y="4924426"/>
          <a:ext cx="400050" cy="3714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a</a:t>
          </a:r>
        </a:p>
      </xdr:txBody>
    </xdr:sp>
    <xdr:clientData/>
  </xdr:twoCellAnchor>
  <xdr:twoCellAnchor editAs="oneCell">
    <xdr:from>
      <xdr:col>8</xdr:col>
      <xdr:colOff>447676</xdr:colOff>
      <xdr:row>0</xdr:row>
      <xdr:rowOff>38100</xdr:rowOff>
    </xdr:from>
    <xdr:to>
      <xdr:col>18</xdr:col>
      <xdr:colOff>401956</xdr:colOff>
      <xdr:row>22</xdr:row>
      <xdr:rowOff>2518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2326" y="38100"/>
          <a:ext cx="6057900" cy="4350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2114550</xdr:colOff>
      <xdr:row>47</xdr:row>
      <xdr:rowOff>38100</xdr:rowOff>
    </xdr:from>
    <xdr:to>
      <xdr:col>7</xdr:col>
      <xdr:colOff>571500</xdr:colOff>
      <xdr:row>61</xdr:row>
      <xdr:rowOff>114300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66675</xdr:colOff>
      <xdr:row>37</xdr:row>
      <xdr:rowOff>76200</xdr:rowOff>
    </xdr:from>
    <xdr:to>
      <xdr:col>9</xdr:col>
      <xdr:colOff>285750</xdr:colOff>
      <xdr:row>41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6850" y="8286750"/>
          <a:ext cx="22764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57150</xdr:colOff>
      <xdr:row>31</xdr:row>
      <xdr:rowOff>95250</xdr:rowOff>
    </xdr:from>
    <xdr:to>
      <xdr:col>11</xdr:col>
      <xdr:colOff>200025</xdr:colOff>
      <xdr:row>35</xdr:row>
      <xdr:rowOff>9525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67325" y="6162675"/>
          <a:ext cx="3571875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47625</xdr:colOff>
      <xdr:row>23</xdr:row>
      <xdr:rowOff>47625</xdr:rowOff>
    </xdr:from>
    <xdr:to>
      <xdr:col>21</xdr:col>
      <xdr:colOff>190500</xdr:colOff>
      <xdr:row>33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0" y="4724400"/>
          <a:ext cx="63150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47625</xdr:colOff>
      <xdr:row>0</xdr:row>
      <xdr:rowOff>0</xdr:rowOff>
    </xdr:from>
    <xdr:to>
      <xdr:col>18</xdr:col>
      <xdr:colOff>266700</xdr:colOff>
      <xdr:row>21</xdr:row>
      <xdr:rowOff>19050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0"/>
          <a:ext cx="4333875" cy="427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276226</xdr:colOff>
      <xdr:row>7</xdr:row>
      <xdr:rowOff>46512</xdr:rowOff>
    </xdr:from>
    <xdr:ext cx="1971674" cy="67738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00000000-0008-0000-0600-000008000000}"/>
                </a:ext>
              </a:extLst>
            </xdr:cNvPr>
            <xdr:cNvSpPr txBox="1"/>
          </xdr:nvSpPr>
          <xdr:spPr>
            <a:xfrm>
              <a:off x="5410201" y="1456212"/>
              <a:ext cx="1971674" cy="677388"/>
            </a:xfrm>
            <a:prstGeom prst="rect">
              <a:avLst/>
            </a:prstGeom>
            <a:solidFill>
              <a:schemeClr val="bg1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GB" altLang="zh-CN" sz="18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zh-CN" altLang="en-GB" sz="1800" i="1">
                            <a:latin typeface="Cambria Math"/>
                          </a:rPr>
                          <m:t>𝜎</m:t>
                        </m:r>
                      </m:num>
                      <m:den>
                        <m:r>
                          <a:rPr lang="en-US" altLang="zh-CN" sz="1800" b="0" i="1">
                            <a:latin typeface="Cambria Math"/>
                          </a:rPr>
                          <m:t>𝑦</m:t>
                        </m:r>
                      </m:den>
                    </m:f>
                    <m:r>
                      <a:rPr lang="en-GB" altLang="zh-CN" sz="1800" i="1">
                        <a:latin typeface="Cambria Math"/>
                      </a:rPr>
                      <m:t>=</m:t>
                    </m:r>
                    <m:f>
                      <m:fPr>
                        <m:ctrlPr>
                          <a:rPr lang="en-GB" altLang="zh-CN" sz="18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altLang="zh-CN" sz="1800" b="0" i="1">
                            <a:latin typeface="Cambria Math"/>
                          </a:rPr>
                          <m:t>𝐸</m:t>
                        </m:r>
                      </m:num>
                      <m:den>
                        <m:r>
                          <a:rPr lang="en-US" altLang="zh-CN" sz="1800" b="0" i="1">
                            <a:latin typeface="Cambria Math"/>
                          </a:rPr>
                          <m:t>𝑅</m:t>
                        </m:r>
                      </m:den>
                    </m:f>
                    <m:r>
                      <a:rPr lang="en-US" altLang="zh-CN" sz="1800" b="0" i="1">
                        <a:latin typeface="Cambria Math"/>
                      </a:rPr>
                      <m:t>=</m:t>
                    </m:r>
                    <m:f>
                      <m:fPr>
                        <m:ctrlPr>
                          <a:rPr lang="en-US" altLang="zh-CN" sz="18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altLang="zh-CN" sz="1800" b="0" i="1">
                            <a:latin typeface="Cambria Math"/>
                          </a:rPr>
                          <m:t>𝑀</m:t>
                        </m:r>
                      </m:num>
                      <m:den>
                        <m:r>
                          <a:rPr lang="en-US" altLang="zh-CN" sz="1800" b="0" i="1">
                            <a:latin typeface="Cambria Math"/>
                          </a:rPr>
                          <m:t>𝐼</m:t>
                        </m:r>
                      </m:den>
                    </m:f>
                  </m:oMath>
                </m:oMathPara>
              </a14:m>
              <a:endParaRPr lang="zh-CN" altLang="en-US" sz="1800"/>
            </a:p>
          </xdr:txBody>
        </xdr:sp>
      </mc:Choice>
      <mc:Fallback xmlns="">
        <xdr:sp macro="" textlink="">
          <xdr:nvSpPr>
            <xdr:cNvPr id="8" name="TextBox 7"/>
            <xdr:cNvSpPr txBox="1"/>
          </xdr:nvSpPr>
          <xdr:spPr>
            <a:xfrm>
              <a:off x="5410201" y="1456212"/>
              <a:ext cx="1971674" cy="677388"/>
            </a:xfrm>
            <a:prstGeom prst="rect">
              <a:avLst/>
            </a:prstGeom>
            <a:solidFill>
              <a:schemeClr val="bg1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zh-CN" altLang="en-GB" sz="1800" i="0">
                  <a:latin typeface="Cambria Math"/>
                </a:rPr>
                <a:t>𝜎</a:t>
              </a:r>
              <a:r>
                <a:rPr lang="en-GB" altLang="zh-CN" sz="1800" i="0">
                  <a:latin typeface="Cambria Math"/>
                </a:rPr>
                <a:t>/</a:t>
              </a:r>
              <a:r>
                <a:rPr lang="en-US" altLang="zh-CN" sz="1800" b="0" i="0">
                  <a:latin typeface="Cambria Math"/>
                </a:rPr>
                <a:t>𝑦</a:t>
              </a:r>
              <a:r>
                <a:rPr lang="en-GB" altLang="zh-CN" sz="1800" i="0">
                  <a:latin typeface="Cambria Math"/>
                </a:rPr>
                <a:t>=</a:t>
              </a:r>
              <a:r>
                <a:rPr lang="en-US" altLang="zh-CN" sz="1800" b="0" i="0">
                  <a:latin typeface="Cambria Math"/>
                </a:rPr>
                <a:t>𝐸</a:t>
              </a:r>
              <a:r>
                <a:rPr lang="en-GB" altLang="zh-CN" sz="1800" b="0" i="0">
                  <a:latin typeface="Cambria Math"/>
                </a:rPr>
                <a:t>/</a:t>
              </a:r>
              <a:r>
                <a:rPr lang="en-US" altLang="zh-CN" sz="1800" b="0" i="0">
                  <a:latin typeface="Cambria Math"/>
                </a:rPr>
                <a:t>𝑅=𝑀/𝐼</a:t>
              </a:r>
              <a:endParaRPr lang="zh-CN" altLang="en-US" sz="1800"/>
            </a:p>
          </xdr:txBody>
        </xdr:sp>
      </mc:Fallback>
    </mc:AlternateContent>
    <xdr:clientData/>
  </xdr:oneCellAnchor>
  <xdr:oneCellAnchor>
    <xdr:from>
      <xdr:col>6</xdr:col>
      <xdr:colOff>19051</xdr:colOff>
      <xdr:row>1</xdr:row>
      <xdr:rowOff>65562</xdr:rowOff>
    </xdr:from>
    <xdr:ext cx="3409949" cy="838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00000000-0008-0000-0600-000009000000}"/>
                </a:ext>
              </a:extLst>
            </xdr:cNvPr>
            <xdr:cNvSpPr txBox="1"/>
          </xdr:nvSpPr>
          <xdr:spPr>
            <a:xfrm>
              <a:off x="5153026" y="246537"/>
              <a:ext cx="3409949" cy="838628"/>
            </a:xfrm>
            <a:prstGeom prst="rect">
              <a:avLst/>
            </a:prstGeom>
            <a:solidFill>
              <a:schemeClr val="bg1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800" b="0" i="1">
                        <a:latin typeface="Cambria Math"/>
                      </a:rPr>
                      <m:t>𝐹</m:t>
                    </m:r>
                    <m:r>
                      <a:rPr lang="en-GB" altLang="zh-CN" sz="1800" i="1">
                        <a:latin typeface="Cambria Math"/>
                      </a:rPr>
                      <m:t>=</m:t>
                    </m:r>
                    <m:nary>
                      <m:naryPr>
                        <m:chr m:val="∬"/>
                        <m:limLoc m:val="undOvr"/>
                        <m:subHide m:val="on"/>
                        <m:supHide m:val="on"/>
                        <m:ctrlPr>
                          <a:rPr lang="en-GB" altLang="zh-CN" sz="180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r>
                          <a:rPr lang="zh-CN" altLang="en-GB" sz="1800" i="1">
                            <a:latin typeface="Cambria Math"/>
                          </a:rPr>
                          <m:t>𝜎</m:t>
                        </m:r>
                        <m:r>
                          <a:rPr lang="en-US" altLang="zh-CN" sz="1800" b="0" i="1">
                            <a:latin typeface="Cambria Math"/>
                          </a:rPr>
                          <m:t>𝑑𝐴</m:t>
                        </m:r>
                        <m:r>
                          <a:rPr lang="en-US" altLang="zh-CN" sz="1800" b="0" i="1">
                            <a:latin typeface="Cambria Math"/>
                            <a:ea typeface="Cambria Math"/>
                          </a:rPr>
                          <m:t>∙</m:t>
                        </m:r>
                        <m:f>
                          <m:fPr>
                            <m:ctrlPr>
                              <a:rPr lang="en-US" altLang="zh-CN" sz="1800" b="0" i="1">
                                <a:latin typeface="Cambria Math" panose="02040503050406030204" pitchFamily="18" charset="0"/>
                                <a:ea typeface="Cambria Math"/>
                              </a:rPr>
                            </m:ctrlPr>
                          </m:fPr>
                          <m:num>
                            <m:r>
                              <a:rPr lang="en-US" altLang="zh-CN" sz="1800" b="0" i="1">
                                <a:latin typeface="Cambria Math"/>
                                <a:ea typeface="Cambria Math"/>
                              </a:rPr>
                              <m:t>𝑑𝑠</m:t>
                            </m:r>
                          </m:num>
                          <m:den>
                            <m:r>
                              <a:rPr lang="en-US" altLang="zh-CN" sz="1800" b="0" i="1">
                                <a:latin typeface="Cambria Math"/>
                                <a:ea typeface="Cambria Math"/>
                              </a:rPr>
                              <m:t>𝑅</m:t>
                            </m:r>
                          </m:den>
                        </m:f>
                      </m:e>
                    </m:nary>
                    <m:r>
                      <a:rPr lang="en-US" altLang="zh-CN" sz="1800" b="0" i="1">
                        <a:latin typeface="Cambria Math"/>
                      </a:rPr>
                      <m:t>=</m:t>
                    </m:r>
                    <m:r>
                      <a:rPr lang="zh-CN" altLang="en-US" sz="1800" b="0" i="1">
                        <a:latin typeface="Cambria Math"/>
                      </a:rPr>
                      <m:t>𝜎</m:t>
                    </m:r>
                    <m:r>
                      <a:rPr lang="en-US" altLang="zh-CN" sz="1800" b="0" i="1">
                        <a:latin typeface="Cambria Math"/>
                      </a:rPr>
                      <m:t>𝐴</m:t>
                    </m:r>
                    <m:r>
                      <a:rPr lang="en-US" altLang="zh-CN" sz="1800" b="0" i="1">
                        <a:latin typeface="Cambria Math"/>
                        <a:ea typeface="Cambria Math"/>
                      </a:rPr>
                      <m:t>∙</m:t>
                    </m:r>
                    <m:f>
                      <m:fPr>
                        <m:ctrlPr>
                          <a:rPr lang="en-US" altLang="zh-CN" sz="18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fPr>
                      <m:num>
                        <m:r>
                          <a:rPr lang="en-US" altLang="zh-CN" sz="1800" b="0" i="1">
                            <a:latin typeface="Cambria Math"/>
                            <a:ea typeface="Cambria Math"/>
                          </a:rPr>
                          <m:t>𝑠</m:t>
                        </m:r>
                      </m:num>
                      <m:den>
                        <m:r>
                          <a:rPr lang="en-US" altLang="zh-CN" sz="1800" b="0" i="1">
                            <a:latin typeface="Cambria Math"/>
                            <a:ea typeface="Cambria Math"/>
                          </a:rPr>
                          <m:t>𝑅</m:t>
                        </m:r>
                      </m:den>
                    </m:f>
                  </m:oMath>
                </m:oMathPara>
              </a14:m>
              <a:endParaRPr lang="zh-CN" altLang="en-US" sz="1800"/>
            </a:p>
          </xdr:txBody>
        </xdr:sp>
      </mc:Choice>
      <mc:Fallback xmlns="">
        <xdr:sp macro="" textlink="">
          <xdr:nvSpPr>
            <xdr:cNvPr id="9" name="TextBox 8"/>
            <xdr:cNvSpPr txBox="1"/>
          </xdr:nvSpPr>
          <xdr:spPr>
            <a:xfrm>
              <a:off x="5153026" y="246537"/>
              <a:ext cx="3409949" cy="838628"/>
            </a:xfrm>
            <a:prstGeom prst="rect">
              <a:avLst/>
            </a:prstGeom>
            <a:solidFill>
              <a:schemeClr val="bg1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en-US" altLang="zh-CN" sz="1800" b="0" i="0">
                  <a:latin typeface="Cambria Math"/>
                </a:rPr>
                <a:t>𝐹</a:t>
              </a:r>
              <a:r>
                <a:rPr lang="en-GB" altLang="zh-CN" sz="1800" i="0">
                  <a:latin typeface="Cambria Math"/>
                </a:rPr>
                <a:t>=∬1▒〖</a:t>
              </a:r>
              <a:r>
                <a:rPr lang="zh-CN" altLang="en-GB" sz="1800" i="0">
                  <a:latin typeface="Cambria Math"/>
                </a:rPr>
                <a:t>𝜎</a:t>
              </a:r>
              <a:r>
                <a:rPr lang="en-US" altLang="zh-CN" sz="1800" b="0" i="0">
                  <a:latin typeface="Cambria Math"/>
                </a:rPr>
                <a:t>𝑑𝐴</a:t>
              </a:r>
              <a:r>
                <a:rPr lang="en-US" altLang="zh-CN" sz="1800" b="0" i="0">
                  <a:latin typeface="Cambria Math"/>
                  <a:ea typeface="Cambria Math"/>
                </a:rPr>
                <a:t>∙𝑑𝑠/𝑅</a:t>
              </a:r>
              <a:r>
                <a:rPr lang="en-GB" altLang="zh-CN" sz="1800" b="0" i="0">
                  <a:latin typeface="Cambria Math"/>
                  <a:ea typeface="Cambria Math"/>
                </a:rPr>
                <a:t>〗</a:t>
              </a:r>
              <a:r>
                <a:rPr lang="en-US" altLang="zh-CN" sz="1800" b="0" i="0">
                  <a:latin typeface="Cambria Math"/>
                </a:rPr>
                <a:t>=</a:t>
              </a:r>
              <a:r>
                <a:rPr lang="zh-CN" altLang="en-US" sz="1800" b="0" i="0">
                  <a:latin typeface="Cambria Math"/>
                </a:rPr>
                <a:t>𝜎</a:t>
              </a:r>
              <a:r>
                <a:rPr lang="en-US" altLang="zh-CN" sz="1800" b="0" i="0">
                  <a:latin typeface="Cambria Math"/>
                </a:rPr>
                <a:t>𝐴</a:t>
              </a:r>
              <a:r>
                <a:rPr lang="en-US" altLang="zh-CN" sz="1800" b="0" i="0">
                  <a:latin typeface="Cambria Math"/>
                  <a:ea typeface="Cambria Math"/>
                </a:rPr>
                <a:t>∙𝑠/𝑅</a:t>
              </a:r>
              <a:endParaRPr lang="zh-CN" altLang="en-US" sz="1800"/>
            </a:p>
          </xdr:txBody>
        </xdr:sp>
      </mc:Fallback>
    </mc:AlternateContent>
    <xdr:clientData/>
  </xdr:oneCellAnchor>
  <xdr:twoCellAnchor editAs="oneCell">
    <xdr:from>
      <xdr:col>6</xdr:col>
      <xdr:colOff>266700</xdr:colOff>
      <xdr:row>18</xdr:row>
      <xdr:rowOff>114300</xdr:rowOff>
    </xdr:from>
    <xdr:to>
      <xdr:col>9</xdr:col>
      <xdr:colOff>295275</xdr:colOff>
      <xdr:row>22</xdr:row>
      <xdr:rowOff>171450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3600450"/>
          <a:ext cx="2085975" cy="83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57151</xdr:colOff>
      <xdr:row>12</xdr:row>
      <xdr:rowOff>103662</xdr:rowOff>
    </xdr:from>
    <xdr:ext cx="3638549" cy="6463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00000000-0008-0000-0600-00000B000000}"/>
                </a:ext>
              </a:extLst>
            </xdr:cNvPr>
            <xdr:cNvSpPr txBox="1"/>
          </xdr:nvSpPr>
          <xdr:spPr>
            <a:xfrm>
              <a:off x="5191126" y="2503962"/>
              <a:ext cx="3638549" cy="646331"/>
            </a:xfrm>
            <a:prstGeom prst="rect">
              <a:avLst/>
            </a:prstGeom>
            <a:solidFill>
              <a:schemeClr val="bg1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800" b="0" i="1">
                        <a:latin typeface="Cambria Math"/>
                      </a:rPr>
                      <m:t>𝐹</m:t>
                    </m:r>
                    <m:r>
                      <a:rPr lang="en-US" altLang="zh-CN" sz="1800" b="0" i="1">
                        <a:latin typeface="Cambria Math"/>
                        <a:ea typeface="Cambria Math"/>
                      </a:rPr>
                      <m:t>=</m:t>
                    </m:r>
                    <m:f>
                      <m:fPr>
                        <m:ctrlPr>
                          <a:rPr lang="en-US" altLang="zh-CN" sz="18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fPr>
                      <m:num>
                        <m:r>
                          <a:rPr lang="en-US" altLang="zh-CN" sz="1800" b="0" i="1">
                            <a:latin typeface="Cambria Math"/>
                            <a:ea typeface="Cambria Math"/>
                          </a:rPr>
                          <m:t>𝑀𝑦</m:t>
                        </m:r>
                      </m:num>
                      <m:den>
                        <m:r>
                          <a:rPr lang="en-US" altLang="zh-CN" sz="1800" b="0" i="1">
                            <a:latin typeface="Cambria Math"/>
                            <a:ea typeface="Cambria Math"/>
                          </a:rPr>
                          <m:t>𝐼</m:t>
                        </m:r>
                      </m:den>
                    </m:f>
                    <m:r>
                      <a:rPr lang="en-US" altLang="zh-CN" sz="1800" b="0" i="1">
                        <a:latin typeface="Cambria Math"/>
                        <a:ea typeface="Cambria Math"/>
                      </a:rPr>
                      <m:t>∙</m:t>
                    </m:r>
                    <m:r>
                      <a:rPr lang="en-US" altLang="zh-CN" sz="1800" b="0" i="1">
                        <a:latin typeface="Cambria Math"/>
                        <a:ea typeface="Cambria Math"/>
                      </a:rPr>
                      <m:t>𝐴</m:t>
                    </m:r>
                    <m:r>
                      <a:rPr lang="en-US" altLang="zh-CN" sz="1800" b="0" i="1">
                        <a:latin typeface="Cambria Math"/>
                        <a:ea typeface="Cambria Math"/>
                      </a:rPr>
                      <m:t>∙</m:t>
                    </m:r>
                    <m:r>
                      <a:rPr lang="en-US" altLang="zh-CN" sz="1800" b="0" i="1">
                        <a:latin typeface="Cambria Math"/>
                        <a:ea typeface="Cambria Math"/>
                      </a:rPr>
                      <m:t>𝑠</m:t>
                    </m:r>
                    <m:r>
                      <a:rPr lang="en-US" altLang="zh-CN" sz="1800" b="0" i="1">
                        <a:latin typeface="Cambria Math"/>
                        <a:ea typeface="Cambria Math"/>
                      </a:rPr>
                      <m:t>∙</m:t>
                    </m:r>
                    <m:f>
                      <m:fPr>
                        <m:ctrlPr>
                          <a:rPr lang="en-US" altLang="zh-CN" sz="18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fPr>
                      <m:num>
                        <m:r>
                          <a:rPr lang="en-US" altLang="zh-CN" sz="1800" b="0" i="1">
                            <a:latin typeface="Cambria Math"/>
                            <a:ea typeface="Cambria Math"/>
                          </a:rPr>
                          <m:t>𝑀</m:t>
                        </m:r>
                      </m:num>
                      <m:den>
                        <m:r>
                          <a:rPr lang="en-US" altLang="zh-CN" sz="1800" b="0" i="1">
                            <a:latin typeface="Cambria Math"/>
                            <a:ea typeface="Cambria Math"/>
                          </a:rPr>
                          <m:t>𝐸𝐼</m:t>
                        </m:r>
                      </m:den>
                    </m:f>
                    <m:r>
                      <a:rPr lang="en-US" altLang="zh-CN" sz="1800" b="0" i="1">
                        <a:latin typeface="Cambria Math"/>
                        <a:ea typeface="Cambria Math"/>
                      </a:rPr>
                      <m:t>=</m:t>
                    </m:r>
                    <m:f>
                      <m:fPr>
                        <m:ctrlPr>
                          <a:rPr lang="en-US" altLang="zh-CN" sz="18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n-US" altLang="zh-CN" sz="1800" b="0" i="1">
                                <a:latin typeface="Cambria Math" panose="02040503050406030204" pitchFamily="18" charset="0"/>
                                <a:ea typeface="Cambria Math"/>
                              </a:rPr>
                            </m:ctrlPr>
                          </m:sSupPr>
                          <m:e>
                            <m:r>
                              <a:rPr lang="en-US" altLang="zh-CN" sz="1800" b="0" i="1">
                                <a:latin typeface="Cambria Math"/>
                                <a:ea typeface="Cambria Math"/>
                              </a:rPr>
                              <m:t>𝑀</m:t>
                            </m:r>
                          </m:e>
                          <m:sup>
                            <m:r>
                              <a:rPr lang="en-US" altLang="zh-CN" sz="1800" b="0" i="1">
                                <a:latin typeface="Cambria Math"/>
                                <a:ea typeface="Cambria Math"/>
                              </a:rPr>
                              <m:t>2</m:t>
                            </m:r>
                          </m:sup>
                        </m:sSup>
                        <m:r>
                          <a:rPr lang="en-US" altLang="zh-CN" sz="1800" b="0" i="1">
                            <a:latin typeface="Cambria Math"/>
                            <a:ea typeface="Cambria Math"/>
                          </a:rPr>
                          <m:t>𝑦𝑠𝐴</m:t>
                        </m:r>
                      </m:num>
                      <m:den>
                        <m:r>
                          <a:rPr lang="en-US" altLang="zh-CN" sz="1800" b="0" i="1">
                            <a:latin typeface="Cambria Math"/>
                            <a:ea typeface="Cambria Math"/>
                          </a:rPr>
                          <m:t>𝐸</m:t>
                        </m:r>
                        <m:sSup>
                          <m:sSupPr>
                            <m:ctrlPr>
                              <a:rPr lang="en-US" altLang="zh-CN" sz="1800" b="0" i="1">
                                <a:latin typeface="Cambria Math" panose="02040503050406030204" pitchFamily="18" charset="0"/>
                                <a:ea typeface="Cambria Math"/>
                              </a:rPr>
                            </m:ctrlPr>
                          </m:sSupPr>
                          <m:e>
                            <m:r>
                              <a:rPr lang="en-US" altLang="zh-CN" sz="1800" b="0" i="1">
                                <a:latin typeface="Cambria Math"/>
                                <a:ea typeface="Cambria Math"/>
                              </a:rPr>
                              <m:t>𝐼</m:t>
                            </m:r>
                          </m:e>
                          <m:sup>
                            <m:r>
                              <a:rPr lang="en-US" altLang="zh-CN" sz="1800" b="0" i="1">
                                <a:latin typeface="Cambria Math"/>
                                <a:ea typeface="Cambria Math"/>
                              </a:rPr>
                              <m:t>2</m:t>
                            </m:r>
                          </m:sup>
                        </m:sSup>
                      </m:den>
                    </m:f>
                  </m:oMath>
                </m:oMathPara>
              </a14:m>
              <a:endParaRPr lang="zh-CN" altLang="en-US" sz="1800"/>
            </a:p>
          </xdr:txBody>
        </xdr:sp>
      </mc:Choice>
      <mc:Fallback xmlns="">
        <xdr:sp macro="" textlink="">
          <xdr:nvSpPr>
            <xdr:cNvPr id="11" name="TextBox 10"/>
            <xdr:cNvSpPr txBox="1"/>
          </xdr:nvSpPr>
          <xdr:spPr>
            <a:xfrm>
              <a:off x="5191126" y="2503962"/>
              <a:ext cx="3638549" cy="646331"/>
            </a:xfrm>
            <a:prstGeom prst="rect">
              <a:avLst/>
            </a:prstGeom>
            <a:solidFill>
              <a:schemeClr val="bg1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en-US" altLang="zh-CN" sz="1800" b="0" i="0">
                  <a:latin typeface="Cambria Math"/>
                </a:rPr>
                <a:t>𝐹</a:t>
              </a:r>
              <a:r>
                <a:rPr lang="en-US" altLang="zh-CN" sz="1800" b="0" i="0">
                  <a:latin typeface="Cambria Math"/>
                  <a:ea typeface="Cambria Math"/>
                </a:rPr>
                <a:t>=𝑀𝑦/𝐼∙𝐴∙𝑠∙𝑀/𝐸𝐼=(𝑀^2 𝑦𝑠𝐴)/(𝐸𝐼^2 )</a:t>
              </a:r>
              <a:endParaRPr lang="zh-CN" altLang="en-US" sz="1800"/>
            </a:p>
          </xdr:txBody>
        </xdr:sp>
      </mc:Fallback>
    </mc:AlternateContent>
    <xdr:clientData/>
  </xdr:oneCellAnchor>
  <xdr:twoCellAnchor editAs="oneCell">
    <xdr:from>
      <xdr:col>6</xdr:col>
      <xdr:colOff>323850</xdr:colOff>
      <xdr:row>25</xdr:row>
      <xdr:rowOff>85725</xdr:rowOff>
    </xdr:from>
    <xdr:to>
      <xdr:col>8</xdr:col>
      <xdr:colOff>504825</xdr:colOff>
      <xdr:row>28</xdr:row>
      <xdr:rowOff>161925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7825" y="4838700"/>
          <a:ext cx="1552575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263303</xdr:colOff>
      <xdr:row>1</xdr:row>
      <xdr:rowOff>44824</xdr:rowOff>
    </xdr:from>
    <xdr:to>
      <xdr:col>11</xdr:col>
      <xdr:colOff>504824</xdr:colOff>
      <xdr:row>17</xdr:row>
      <xdr:rowOff>137912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5538" y="224118"/>
          <a:ext cx="6493844" cy="2961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1487021</xdr:colOff>
      <xdr:row>18</xdr:row>
      <xdr:rowOff>106474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297206" cy="3333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458321</xdr:colOff>
      <xdr:row>2</xdr:row>
      <xdr:rowOff>33618</xdr:rowOff>
    </xdr:from>
    <xdr:to>
      <xdr:col>25</xdr:col>
      <xdr:colOff>6164</xdr:colOff>
      <xdr:row>11</xdr:row>
      <xdr:rowOff>71718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9674" y="392206"/>
          <a:ext cx="2934820" cy="16517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214029</xdr:colOff>
      <xdr:row>0</xdr:row>
      <xdr:rowOff>0</xdr:rowOff>
    </xdr:from>
    <xdr:to>
      <xdr:col>19</xdr:col>
      <xdr:colOff>583264</xdr:colOff>
      <xdr:row>12</xdr:row>
      <xdr:rowOff>141261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93235" y="0"/>
          <a:ext cx="4974292" cy="22927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95250</xdr:colOff>
      <xdr:row>16</xdr:row>
      <xdr:rowOff>161925</xdr:rowOff>
    </xdr:from>
    <xdr:to>
      <xdr:col>23</xdr:col>
      <xdr:colOff>350081</xdr:colOff>
      <xdr:row>21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24975" y="3209925"/>
          <a:ext cx="6760966" cy="79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154640</xdr:colOff>
      <xdr:row>13</xdr:row>
      <xdr:rowOff>117099</xdr:rowOff>
    </xdr:from>
    <xdr:to>
      <xdr:col>24</xdr:col>
      <xdr:colOff>107014</xdr:colOff>
      <xdr:row>16</xdr:row>
      <xdr:rowOff>21850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02434" y="2447923"/>
          <a:ext cx="3370168" cy="4426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252693</xdr:colOff>
      <xdr:row>13</xdr:row>
      <xdr:rowOff>37539</xdr:rowOff>
    </xdr:from>
    <xdr:to>
      <xdr:col>18</xdr:col>
      <xdr:colOff>347943</xdr:colOff>
      <xdr:row>16</xdr:row>
      <xdr:rowOff>57261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1899" y="2368363"/>
          <a:ext cx="3853703" cy="5576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180975</xdr:colOff>
      <xdr:row>32</xdr:row>
      <xdr:rowOff>95250</xdr:rowOff>
    </xdr:from>
    <xdr:to>
      <xdr:col>18</xdr:col>
      <xdr:colOff>428627</xdr:colOff>
      <xdr:row>35</xdr:row>
      <xdr:rowOff>133350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11200" y="8963025"/>
          <a:ext cx="942975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114582</xdr:colOff>
      <xdr:row>0</xdr:row>
      <xdr:rowOff>164321</xdr:rowOff>
    </xdr:from>
    <xdr:to>
      <xdr:col>19</xdr:col>
      <xdr:colOff>590832</xdr:colOff>
      <xdr:row>39</xdr:row>
      <xdr:rowOff>17176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582" y="164321"/>
          <a:ext cx="13148326" cy="73923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hyperlink" Target="http://www.matweb.com/" TargetMode="Externa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P15" sqref="P15"/>
    </sheetView>
  </sheetViews>
  <sheetFormatPr defaultRowHeight="15.05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V50"/>
  <sheetViews>
    <sheetView topLeftCell="A3" zoomScale="70" zoomScaleNormal="70" workbookViewId="0">
      <selection activeCell="V48" sqref="V48"/>
    </sheetView>
  </sheetViews>
  <sheetFormatPr defaultRowHeight="15.05"/>
  <cols>
    <col min="18" max="18" width="27.5546875" bestFit="1" customWidth="1"/>
    <col min="21" max="22" width="10.109375" customWidth="1"/>
  </cols>
  <sheetData>
    <row r="1" spans="2:16"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</row>
    <row r="2" spans="2:16"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</row>
    <row r="3" spans="2:16"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</row>
    <row r="4" spans="2:16"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</row>
    <row r="5" spans="2:16"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</row>
    <row r="6" spans="2:16"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</row>
    <row r="7" spans="2:16"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</row>
    <row r="8" spans="2:16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</row>
    <row r="9" spans="2:16"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</row>
    <row r="10" spans="2:16"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</row>
    <row r="11" spans="2:16"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</row>
    <row r="12" spans="2:16"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</row>
    <row r="13" spans="2:16"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</row>
    <row r="14" spans="2:16"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</row>
    <row r="15" spans="2:16"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</row>
    <row r="16" spans="2:16"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</row>
    <row r="17" spans="2:16"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</row>
    <row r="18" spans="2:16"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</row>
    <row r="19" spans="2:16"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</row>
    <row r="20" spans="2:16"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</row>
    <row r="21" spans="2:16"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</row>
    <row r="22" spans="2:16"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</row>
    <row r="23" spans="2:16"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</row>
    <row r="24" spans="2:16"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</row>
    <row r="25" spans="2:16"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</row>
    <row r="26" spans="2:16"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</row>
    <row r="27" spans="2:16"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</row>
    <row r="28" spans="2:16"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</row>
    <row r="29" spans="2:16"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</row>
    <row r="30" spans="2:16"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</row>
    <row r="31" spans="2:16"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</row>
    <row r="32" spans="2:16"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</row>
    <row r="33" spans="2:22"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</row>
    <row r="34" spans="2:22"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</row>
    <row r="35" spans="2:22"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</row>
    <row r="38" spans="2:22">
      <c r="R38" t="s">
        <v>329</v>
      </c>
    </row>
    <row r="39" spans="2:22">
      <c r="R39" s="90" t="s">
        <v>330</v>
      </c>
    </row>
    <row r="40" spans="2:22">
      <c r="R40" s="94" t="s">
        <v>270</v>
      </c>
      <c r="S40" s="95"/>
      <c r="T40" s="96"/>
      <c r="U40" s="5" t="s">
        <v>271</v>
      </c>
      <c r="V40" s="5" t="s">
        <v>272</v>
      </c>
    </row>
    <row r="41" spans="2:22">
      <c r="R41" s="5" t="s">
        <v>71</v>
      </c>
      <c r="S41" s="5" t="s">
        <v>72</v>
      </c>
      <c r="T41" s="7" t="s">
        <v>133</v>
      </c>
      <c r="U41" s="5">
        <v>70</v>
      </c>
      <c r="V41" s="7">
        <v>73</v>
      </c>
    </row>
    <row r="42" spans="2:22">
      <c r="R42" s="5" t="s">
        <v>73</v>
      </c>
      <c r="S42" s="5" t="s">
        <v>74</v>
      </c>
      <c r="T42" s="5"/>
      <c r="U42" s="5">
        <v>0.3</v>
      </c>
      <c r="V42" s="7">
        <v>0.36</v>
      </c>
    </row>
    <row r="43" spans="2:22">
      <c r="R43" s="5" t="s">
        <v>39</v>
      </c>
      <c r="S43" s="5" t="s">
        <v>36</v>
      </c>
      <c r="T43" s="7" t="s">
        <v>133</v>
      </c>
      <c r="U43" s="15">
        <f>U41/2/(1+U42)</f>
        <v>26.923076923076923</v>
      </c>
      <c r="V43" s="15">
        <f>V41/2/(1+V42)</f>
        <v>26.838235294117649</v>
      </c>
    </row>
    <row r="44" spans="2:22">
      <c r="R44" s="5" t="s">
        <v>75</v>
      </c>
      <c r="S44" s="5" t="s">
        <v>76</v>
      </c>
      <c r="T44" s="7" t="s">
        <v>133</v>
      </c>
      <c r="U44" s="15">
        <f>U41/3/(1-2*U42)</f>
        <v>58.333333333333329</v>
      </c>
      <c r="V44" s="15">
        <f>V41/3/(1-2*V42)</f>
        <v>86.904761904761898</v>
      </c>
    </row>
    <row r="45" spans="2:22">
      <c r="R45" s="5" t="s">
        <v>335</v>
      </c>
      <c r="S45" s="5"/>
      <c r="T45" s="92" t="s">
        <v>182</v>
      </c>
      <c r="U45" s="15">
        <v>2780</v>
      </c>
      <c r="V45" s="15">
        <v>2810</v>
      </c>
    </row>
    <row r="46" spans="2:22">
      <c r="U46" s="4"/>
      <c r="V46" s="4"/>
    </row>
    <row r="47" spans="2:22">
      <c r="R47" s="7" t="s">
        <v>231</v>
      </c>
      <c r="S47" s="7">
        <v>324</v>
      </c>
      <c r="T47" s="7" t="s">
        <v>232</v>
      </c>
      <c r="U47" s="4"/>
      <c r="V47" s="4"/>
    </row>
    <row r="48" spans="2:22">
      <c r="R48" s="7" t="s">
        <v>233</v>
      </c>
      <c r="S48" s="7">
        <v>187.1</v>
      </c>
      <c r="T48" s="7" t="s">
        <v>232</v>
      </c>
      <c r="U48" s="4"/>
      <c r="V48" s="4"/>
    </row>
    <row r="49" spans="18:20">
      <c r="R49" s="7" t="s">
        <v>234</v>
      </c>
      <c r="S49" s="7">
        <v>350</v>
      </c>
      <c r="T49" s="7" t="s">
        <v>235</v>
      </c>
    </row>
    <row r="50" spans="18:20">
      <c r="R50" s="7"/>
      <c r="S50" s="91"/>
      <c r="T50" s="1"/>
    </row>
  </sheetData>
  <mergeCells count="1">
    <mergeCell ref="R40:T40"/>
  </mergeCells>
  <phoneticPr fontId="1" type="noConversion"/>
  <hyperlinks>
    <hyperlink ref="R39" r:id="rId1" xr:uid="{5CB89398-8381-4BFF-9724-78E39D451C00}"/>
  </hyperlinks>
  <pageMargins left="0.7" right="0.7" top="0.75" bottom="0.75" header="0.3" footer="0.3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82"/>
  <sheetViews>
    <sheetView zoomScale="70" zoomScaleNormal="70" workbookViewId="0">
      <selection activeCell="C59" sqref="C59"/>
    </sheetView>
  </sheetViews>
  <sheetFormatPr defaultColWidth="9" defaultRowHeight="13.1"/>
  <cols>
    <col min="1" max="1" width="38.109375" style="4" customWidth="1"/>
    <col min="2" max="2" width="9" style="4"/>
    <col min="3" max="3" width="14.88671875" style="4" bestFit="1" customWidth="1"/>
    <col min="4" max="4" width="9" style="4" bestFit="1" customWidth="1"/>
    <col min="5" max="5" width="9" style="4"/>
    <col min="6" max="6" width="15.21875" style="4" customWidth="1"/>
    <col min="7" max="9" width="9" style="4"/>
    <col min="10" max="10" width="6.5546875" style="4" customWidth="1"/>
    <col min="11" max="11" width="6" style="4" bestFit="1" customWidth="1"/>
    <col min="12" max="12" width="13.109375" style="4" bestFit="1" customWidth="1"/>
    <col min="13" max="13" width="10" style="4" bestFit="1" customWidth="1"/>
    <col min="14" max="14" width="8.88671875" style="4" bestFit="1" customWidth="1"/>
    <col min="15" max="16384" width="9" style="4"/>
  </cols>
  <sheetData>
    <row r="1" spans="1:4">
      <c r="B1" s="26"/>
      <c r="C1" s="26"/>
      <c r="D1" s="26"/>
    </row>
    <row r="2" spans="1:4">
      <c r="A2" s="26"/>
      <c r="B2" s="26"/>
      <c r="C2" s="26"/>
      <c r="D2" s="26"/>
    </row>
    <row r="11" spans="1:4">
      <c r="C11" s="4" t="s">
        <v>244</v>
      </c>
    </row>
    <row r="15" spans="1:4">
      <c r="A15" s="22" t="s">
        <v>137</v>
      </c>
    </row>
    <row r="17" spans="1:9">
      <c r="A17" s="100" t="s">
        <v>289</v>
      </c>
      <c r="B17" s="100"/>
      <c r="C17" s="100"/>
    </row>
    <row r="18" spans="1:9" ht="14.4">
      <c r="A18" s="25" t="s">
        <v>88</v>
      </c>
      <c r="B18" s="25" t="s">
        <v>89</v>
      </c>
      <c r="C18" s="25" t="s">
        <v>90</v>
      </c>
      <c r="D18" s="25" t="s">
        <v>91</v>
      </c>
      <c r="F18" s="81"/>
      <c r="G18" s="81"/>
    </row>
    <row r="19" spans="1:9">
      <c r="A19" s="7" t="s">
        <v>127</v>
      </c>
      <c r="B19" s="5" t="s">
        <v>128</v>
      </c>
      <c r="C19" s="27">
        <v>23286.799999999999</v>
      </c>
      <c r="D19" s="7" t="s">
        <v>68</v>
      </c>
    </row>
    <row r="20" spans="1:9">
      <c r="A20" s="7" t="s">
        <v>131</v>
      </c>
      <c r="B20" s="5" t="s">
        <v>107</v>
      </c>
      <c r="C20" s="27">
        <v>1</v>
      </c>
      <c r="D20" s="7" t="s">
        <v>98</v>
      </c>
    </row>
    <row r="21" spans="1:9">
      <c r="A21" s="7" t="s">
        <v>171</v>
      </c>
      <c r="B21" s="5" t="s">
        <v>100</v>
      </c>
      <c r="C21" s="27">
        <v>0.2</v>
      </c>
      <c r="D21" s="7" t="s">
        <v>98</v>
      </c>
    </row>
    <row r="22" spans="1:9">
      <c r="A22" s="7" t="s">
        <v>126</v>
      </c>
      <c r="B22" s="5" t="s">
        <v>25</v>
      </c>
      <c r="C22" s="31">
        <f>C19/C20/C21</f>
        <v>116433.99999999999</v>
      </c>
      <c r="D22" s="7" t="s">
        <v>129</v>
      </c>
    </row>
    <row r="23" spans="1:9">
      <c r="A23" s="7" t="s">
        <v>130</v>
      </c>
      <c r="B23" s="5" t="s">
        <v>170</v>
      </c>
      <c r="C23" s="32">
        <f>(C22/3.62/('Wing box structural sizing'!E42*10^9)*C20^2)^(1/3)*1000</f>
        <v>7.7165718149299707</v>
      </c>
      <c r="D23" s="7" t="s">
        <v>26</v>
      </c>
    </row>
    <row r="24" spans="1:9">
      <c r="A24" s="7" t="s">
        <v>297</v>
      </c>
      <c r="B24" s="5" t="s">
        <v>134</v>
      </c>
      <c r="C24" s="32">
        <f>C22/C23/1000</f>
        <v>15.08882477769782</v>
      </c>
      <c r="D24" s="7" t="s">
        <v>135</v>
      </c>
    </row>
    <row r="25" spans="1:9">
      <c r="A25" s="7" t="s">
        <v>309</v>
      </c>
      <c r="B25" s="5" t="s">
        <v>310</v>
      </c>
      <c r="C25" s="82">
        <f>C23*C20*1000</f>
        <v>7716.571814929971</v>
      </c>
      <c r="D25" s="7" t="s">
        <v>293</v>
      </c>
    </row>
    <row r="26" spans="1:9">
      <c r="A26" s="100" t="s">
        <v>299</v>
      </c>
      <c r="B26" s="100"/>
      <c r="C26" s="100"/>
    </row>
    <row r="27" spans="1:9">
      <c r="A27" s="25" t="s">
        <v>88</v>
      </c>
      <c r="B27" s="25" t="s">
        <v>89</v>
      </c>
      <c r="C27" s="25" t="s">
        <v>90</v>
      </c>
      <c r="D27" s="25" t="s">
        <v>91</v>
      </c>
      <c r="F27" s="4" t="s">
        <v>139</v>
      </c>
    </row>
    <row r="28" spans="1:9">
      <c r="A28" s="7" t="s">
        <v>292</v>
      </c>
      <c r="B28" s="5" t="s">
        <v>67</v>
      </c>
      <c r="C28" s="76">
        <v>20</v>
      </c>
      <c r="D28" s="7"/>
    </row>
    <row r="29" spans="1:9" ht="14.4">
      <c r="A29" s="7" t="s">
        <v>302</v>
      </c>
      <c r="B29" s="5" t="s">
        <v>288</v>
      </c>
      <c r="C29" s="72">
        <f>C38/(C28)*1000</f>
        <v>50</v>
      </c>
      <c r="D29" s="7" t="s">
        <v>26</v>
      </c>
      <c r="I29" s="86" t="s">
        <v>136</v>
      </c>
    </row>
    <row r="30" spans="1:9" ht="14.4">
      <c r="A30" s="7" t="s">
        <v>301</v>
      </c>
      <c r="B30" s="5" t="s">
        <v>85</v>
      </c>
      <c r="C30" s="77">
        <v>1</v>
      </c>
      <c r="D30" s="7" t="s">
        <v>26</v>
      </c>
    </row>
    <row r="31" spans="1:9" ht="14.4">
      <c r="A31" s="14" t="s">
        <v>304</v>
      </c>
      <c r="B31" s="80" t="s">
        <v>87</v>
      </c>
      <c r="C31" s="77">
        <v>36</v>
      </c>
      <c r="D31" s="12" t="s">
        <v>26</v>
      </c>
    </row>
    <row r="32" spans="1:9" ht="15.05" customHeight="1">
      <c r="A32" s="7" t="s">
        <v>305</v>
      </c>
      <c r="B32" s="7"/>
      <c r="C32" s="77">
        <v>0.3</v>
      </c>
      <c r="D32" s="7"/>
    </row>
    <row r="33" spans="1:7">
      <c r="A33" s="7" t="s">
        <v>303</v>
      </c>
      <c r="B33" s="5" t="s">
        <v>16</v>
      </c>
      <c r="C33" s="31">
        <f>C32*C31</f>
        <v>10.799999999999999</v>
      </c>
      <c r="D33" s="7" t="s">
        <v>26</v>
      </c>
    </row>
    <row r="34" spans="1:7">
      <c r="A34" s="7" t="s">
        <v>86</v>
      </c>
      <c r="B34" s="5" t="s">
        <v>84</v>
      </c>
      <c r="C34" s="31">
        <f>C30*C31+2*C33*C30</f>
        <v>57.599999999999994</v>
      </c>
      <c r="D34" s="7" t="s">
        <v>92</v>
      </c>
    </row>
    <row r="35" spans="1:7">
      <c r="A35" s="100" t="s">
        <v>300</v>
      </c>
      <c r="B35" s="100"/>
      <c r="C35" s="100"/>
    </row>
    <row r="36" spans="1:7" ht="14.4">
      <c r="A36" s="25" t="s">
        <v>88</v>
      </c>
      <c r="B36" s="25" t="s">
        <v>89</v>
      </c>
      <c r="C36" s="25" t="s">
        <v>90</v>
      </c>
      <c r="D36" s="25" t="s">
        <v>91</v>
      </c>
      <c r="F36" s="101" t="s">
        <v>312</v>
      </c>
      <c r="G36" s="101"/>
    </row>
    <row r="37" spans="1:7">
      <c r="A37" s="7" t="s">
        <v>127</v>
      </c>
      <c r="B37" s="5" t="s">
        <v>128</v>
      </c>
      <c r="C37" s="27">
        <v>23286.799999999999</v>
      </c>
      <c r="D37" s="7" t="s">
        <v>68</v>
      </c>
      <c r="F37" s="5" t="s">
        <v>308</v>
      </c>
      <c r="G37" s="83">
        <f>C25</f>
        <v>7716.571814929971</v>
      </c>
    </row>
    <row r="38" spans="1:7">
      <c r="A38" s="7" t="s">
        <v>131</v>
      </c>
      <c r="B38" s="5" t="s">
        <v>107</v>
      </c>
      <c r="C38" s="27">
        <v>1</v>
      </c>
      <c r="D38" s="7" t="s">
        <v>98</v>
      </c>
      <c r="F38" s="5" t="s">
        <v>311</v>
      </c>
      <c r="G38" s="83">
        <f>C44</f>
        <v>2199.2999237082827</v>
      </c>
    </row>
    <row r="39" spans="1:7">
      <c r="A39" s="7" t="s">
        <v>132</v>
      </c>
      <c r="B39" s="5" t="s">
        <v>100</v>
      </c>
      <c r="C39" s="27">
        <v>0.2</v>
      </c>
      <c r="D39" s="7" t="s">
        <v>98</v>
      </c>
      <c r="F39" s="5" t="s">
        <v>313</v>
      </c>
      <c r="G39" s="79">
        <f>(C25-G38)/C25</f>
        <v>0.71499002711889592</v>
      </c>
    </row>
    <row r="40" spans="1:7">
      <c r="A40" s="7" t="s">
        <v>126</v>
      </c>
      <c r="B40" s="5" t="s">
        <v>25</v>
      </c>
      <c r="C40" s="31">
        <f>C37/C38/C39</f>
        <v>116433.99999999999</v>
      </c>
      <c r="D40" s="7" t="s">
        <v>129</v>
      </c>
    </row>
    <row r="41" spans="1:7">
      <c r="A41" s="7" t="s">
        <v>269</v>
      </c>
      <c r="B41" s="5" t="s">
        <v>170</v>
      </c>
      <c r="C41" s="32">
        <f>(C40/3.62/('Wing box structural sizing'!E42*10^9)*(C29/1000)^2)^(1/3)*1000</f>
        <v>1.0472999237082827</v>
      </c>
      <c r="D41" s="7" t="s">
        <v>26</v>
      </c>
    </row>
    <row r="42" spans="1:7">
      <c r="A42" s="7" t="s">
        <v>195</v>
      </c>
      <c r="B42" s="5" t="s">
        <v>260</v>
      </c>
      <c r="C42" s="32">
        <f>C40/C41/1000</f>
        <v>111.17541151700854</v>
      </c>
      <c r="D42" s="7" t="s">
        <v>135</v>
      </c>
    </row>
    <row r="43" spans="1:7">
      <c r="A43" s="7" t="s">
        <v>306</v>
      </c>
      <c r="B43" s="5" t="s">
        <v>294</v>
      </c>
      <c r="C43" s="78">
        <f>C41+C34/C29</f>
        <v>2.1992999237082826</v>
      </c>
      <c r="D43" s="7" t="s">
        <v>26</v>
      </c>
    </row>
    <row r="44" spans="1:7">
      <c r="A44" s="7" t="s">
        <v>307</v>
      </c>
      <c r="B44" s="5" t="s">
        <v>295</v>
      </c>
      <c r="C44" s="82">
        <f>C28*C43*C29</f>
        <v>2199.2999237082827</v>
      </c>
      <c r="D44" s="7" t="s">
        <v>293</v>
      </c>
    </row>
    <row r="46" spans="1:7" ht="13.75" thickBot="1">
      <c r="A46" s="20" t="s">
        <v>190</v>
      </c>
      <c r="B46" s="45">
        <f>C30/C41</f>
        <v>0.95483631513998113</v>
      </c>
    </row>
    <row r="47" spans="1:7" ht="13.75" thickBot="1">
      <c r="A47" s="44" t="s">
        <v>93</v>
      </c>
      <c r="B47" s="48">
        <f>C34/C29/C41</f>
        <v>1.0999714350412582</v>
      </c>
      <c r="G47" s="4" t="s">
        <v>298</v>
      </c>
    </row>
    <row r="48" spans="1:7">
      <c r="A48" s="20" t="s">
        <v>94</v>
      </c>
      <c r="B48" s="49">
        <v>1.2</v>
      </c>
      <c r="C48" s="4" t="s">
        <v>140</v>
      </c>
    </row>
    <row r="51" spans="1:9">
      <c r="A51" s="13" t="s">
        <v>258</v>
      </c>
      <c r="B51" s="10" t="s">
        <v>49</v>
      </c>
      <c r="C51" s="33">
        <f>C42*B48</f>
        <v>133.41049382041024</v>
      </c>
      <c r="D51" s="7" t="s">
        <v>135</v>
      </c>
    </row>
    <row r="55" spans="1:9" ht="15.05" customHeight="1">
      <c r="A55" s="26" t="s">
        <v>296</v>
      </c>
      <c r="F55" s="102" t="s">
        <v>200</v>
      </c>
    </row>
    <row r="56" spans="1:9" ht="15.05" customHeight="1">
      <c r="A56" s="25" t="s">
        <v>88</v>
      </c>
      <c r="B56" s="25" t="s">
        <v>89</v>
      </c>
      <c r="C56" s="25" t="s">
        <v>90</v>
      </c>
      <c r="D56" s="25" t="s">
        <v>91</v>
      </c>
      <c r="F56" s="102"/>
    </row>
    <row r="57" spans="1:9" ht="15.05" customHeight="1" thickBot="1">
      <c r="A57" s="7" t="s">
        <v>95</v>
      </c>
      <c r="B57" s="5" t="s">
        <v>25</v>
      </c>
      <c r="C57" s="45">
        <f>C40</f>
        <v>116433.99999999999</v>
      </c>
      <c r="D57" s="7" t="s">
        <v>99</v>
      </c>
      <c r="F57" s="102"/>
    </row>
    <row r="58" spans="1:9" ht="13.75" thickBot="1">
      <c r="A58" s="7" t="s">
        <v>209</v>
      </c>
      <c r="B58" s="46" t="s">
        <v>65</v>
      </c>
      <c r="C58" s="85">
        <v>0.5</v>
      </c>
      <c r="D58" s="23" t="s">
        <v>98</v>
      </c>
      <c r="F58" s="102"/>
    </row>
    <row r="59" spans="1:9">
      <c r="A59" s="7" t="s">
        <v>97</v>
      </c>
      <c r="B59" s="5" t="s">
        <v>96</v>
      </c>
      <c r="C59" s="47">
        <v>70</v>
      </c>
      <c r="D59" s="7" t="s">
        <v>133</v>
      </c>
      <c r="F59" s="102"/>
    </row>
    <row r="60" spans="1:9" ht="14.4">
      <c r="I60" s="86" t="s">
        <v>199</v>
      </c>
    </row>
    <row r="62" spans="1:9">
      <c r="A62" s="7" t="s">
        <v>193</v>
      </c>
      <c r="B62" s="5" t="s">
        <v>192</v>
      </c>
      <c r="C62" s="50">
        <v>0.92</v>
      </c>
      <c r="D62" s="7"/>
    </row>
    <row r="63" spans="1:9" ht="13.75" thickBot="1">
      <c r="A63" s="7" t="s">
        <v>191</v>
      </c>
      <c r="B63" s="5" t="s">
        <v>259</v>
      </c>
      <c r="C63" s="32">
        <f>C62/SQRT(C58/C57/(C59*10^9))/10^6</f>
        <v>117.46047532680939</v>
      </c>
      <c r="D63" s="45" t="s">
        <v>135</v>
      </c>
    </row>
    <row r="64" spans="1:9" ht="13.75" thickBot="1">
      <c r="A64" s="7" t="s">
        <v>194</v>
      </c>
      <c r="B64" s="7"/>
      <c r="C64" s="20" t="s">
        <v>261</v>
      </c>
      <c r="D64" s="69">
        <f>C51-C63</f>
        <v>15.950018493600851</v>
      </c>
    </row>
    <row r="65" spans="2:35" ht="15.05" customHeight="1">
      <c r="P65" s="106" t="s">
        <v>291</v>
      </c>
      <c r="Q65" s="106"/>
      <c r="R65" s="106"/>
      <c r="S65" s="106"/>
      <c r="T65" s="106"/>
      <c r="U65" s="106"/>
      <c r="V65" s="106"/>
      <c r="W65" s="106"/>
      <c r="X65" s="106"/>
      <c r="Y65" s="106"/>
      <c r="Z65" s="106"/>
      <c r="AA65" s="106"/>
      <c r="AB65" s="104" t="s">
        <v>331</v>
      </c>
      <c r="AC65" s="98" t="s">
        <v>332</v>
      </c>
      <c r="AD65" s="99"/>
      <c r="AE65" s="98" t="s">
        <v>339</v>
      </c>
      <c r="AF65" s="99"/>
      <c r="AG65" s="97" t="s">
        <v>340</v>
      </c>
      <c r="AH65" s="98" t="s">
        <v>341</v>
      </c>
      <c r="AI65" s="99"/>
    </row>
    <row r="66" spans="2:35">
      <c r="P66" s="87" t="s">
        <v>314</v>
      </c>
      <c r="Q66" s="87" t="s">
        <v>170</v>
      </c>
      <c r="R66" s="87" t="s">
        <v>315</v>
      </c>
      <c r="S66" s="87" t="s">
        <v>316</v>
      </c>
      <c r="T66" s="87" t="s">
        <v>317</v>
      </c>
      <c r="U66" s="87" t="s">
        <v>284</v>
      </c>
      <c r="V66" s="87" t="s">
        <v>238</v>
      </c>
      <c r="W66" s="88" t="s">
        <v>196</v>
      </c>
      <c r="X66" s="87" t="s">
        <v>290</v>
      </c>
      <c r="Y66" s="87" t="s">
        <v>192</v>
      </c>
      <c r="Z66" s="88" t="s">
        <v>197</v>
      </c>
      <c r="AA66" s="87" t="s">
        <v>201</v>
      </c>
      <c r="AB66" s="105"/>
      <c r="AC66" s="87">
        <v>7075</v>
      </c>
      <c r="AD66" s="87">
        <v>2024</v>
      </c>
      <c r="AE66" s="87">
        <v>7075</v>
      </c>
      <c r="AF66" s="87">
        <v>2024</v>
      </c>
      <c r="AG66" s="97"/>
      <c r="AH66" s="87">
        <v>7075</v>
      </c>
      <c r="AI66" s="87">
        <v>2024</v>
      </c>
    </row>
    <row r="67" spans="2:35">
      <c r="P67" s="87" t="s">
        <v>198</v>
      </c>
      <c r="Q67" s="87" t="s">
        <v>144</v>
      </c>
      <c r="R67" s="87" t="s">
        <v>144</v>
      </c>
      <c r="S67" s="87" t="s">
        <v>144</v>
      </c>
      <c r="T67" s="87" t="s">
        <v>293</v>
      </c>
      <c r="U67" s="87" t="s">
        <v>144</v>
      </c>
      <c r="V67" s="87" t="s">
        <v>144</v>
      </c>
      <c r="W67" s="87"/>
      <c r="X67" s="87"/>
      <c r="Y67" s="87"/>
      <c r="Z67" s="87"/>
      <c r="AA67" s="87" t="s">
        <v>145</v>
      </c>
      <c r="AB67" s="87" t="s">
        <v>333</v>
      </c>
      <c r="AC67" s="87" t="s">
        <v>334</v>
      </c>
      <c r="AD67" s="87" t="s">
        <v>334</v>
      </c>
      <c r="AE67" s="87" t="s">
        <v>338</v>
      </c>
      <c r="AF67" s="87" t="s">
        <v>338</v>
      </c>
      <c r="AG67" s="87" t="s">
        <v>338</v>
      </c>
      <c r="AH67" s="87" t="s">
        <v>338</v>
      </c>
      <c r="AI67" s="87" t="s">
        <v>338</v>
      </c>
    </row>
    <row r="68" spans="2:35">
      <c r="P68" s="7">
        <v>10</v>
      </c>
      <c r="Q68" s="7">
        <v>1.66</v>
      </c>
      <c r="R68" s="7">
        <v>50</v>
      </c>
      <c r="S68" s="7">
        <v>1</v>
      </c>
      <c r="T68" s="7">
        <v>80</v>
      </c>
      <c r="U68" s="7">
        <f t="shared" ref="U68:U73" si="0">1000/P68</f>
        <v>100</v>
      </c>
      <c r="V68" s="5">
        <v>2.46</v>
      </c>
      <c r="W68" s="7">
        <v>1.07</v>
      </c>
      <c r="X68" s="7">
        <f t="shared" ref="X68:X73" si="1">P68-1</f>
        <v>9</v>
      </c>
      <c r="Y68" s="7">
        <v>0.8</v>
      </c>
      <c r="Z68" s="34">
        <v>0.68100000000000005</v>
      </c>
      <c r="AA68" s="5">
        <v>0.92900000000000005</v>
      </c>
      <c r="AB68" s="7">
        <f>(P68*U68*V68*AA68)*1000</f>
        <v>2285340</v>
      </c>
      <c r="AC68" s="93">
        <f>AB68*$S$82/10^6</f>
        <v>6421.8054000000002</v>
      </c>
      <c r="AD68" s="93">
        <f t="shared" ref="AD68:AD73" si="2">AB68*$S$81/10^6</f>
        <v>6353.2452000000003</v>
      </c>
      <c r="AE68" s="78">
        <f>AC68*$S$76/1000</f>
        <v>333.9338808</v>
      </c>
      <c r="AF68" s="78">
        <f t="shared" ref="AF68:AF73" si="3">AD68*$S$77/1000</f>
        <v>304.9557696</v>
      </c>
      <c r="AG68" s="7">
        <f>X68*$S$78</f>
        <v>45</v>
      </c>
      <c r="AH68" s="78">
        <f>AE68+AG68</f>
        <v>378.9338808</v>
      </c>
      <c r="AI68" s="78">
        <f>AF68+AG68</f>
        <v>349.9557696</v>
      </c>
    </row>
    <row r="69" spans="2:35">
      <c r="P69" s="7">
        <v>10</v>
      </c>
      <c r="Q69" s="7">
        <v>1.66</v>
      </c>
      <c r="R69" s="7">
        <v>70</v>
      </c>
      <c r="S69" s="7">
        <v>1.5</v>
      </c>
      <c r="T69" s="7">
        <v>168</v>
      </c>
      <c r="U69" s="7">
        <f t="shared" si="0"/>
        <v>100</v>
      </c>
      <c r="V69" s="5">
        <v>3.34</v>
      </c>
      <c r="W69" s="7">
        <v>1.18</v>
      </c>
      <c r="X69" s="7">
        <f t="shared" si="1"/>
        <v>9</v>
      </c>
      <c r="Y69" s="7">
        <v>0.9</v>
      </c>
      <c r="Z69" s="34">
        <v>0.56699999999999995</v>
      </c>
      <c r="AA69" s="5">
        <v>0.96599999999999997</v>
      </c>
      <c r="AB69" s="7">
        <f t="shared" ref="AB69:AB73" si="4">(P69*U69*V69*AA69)*1000</f>
        <v>3226440</v>
      </c>
      <c r="AC69" s="93">
        <f t="shared" ref="AC69:AC72" si="5">AB69*$S$82/10^6</f>
        <v>9066.2963999999993</v>
      </c>
      <c r="AD69" s="93">
        <f t="shared" si="2"/>
        <v>8969.5031999999992</v>
      </c>
      <c r="AE69" s="78">
        <f t="shared" ref="AE69:AE73" si="6">AC69*$S$76/1000</f>
        <v>471.44741279999994</v>
      </c>
      <c r="AF69" s="78">
        <f t="shared" si="3"/>
        <v>430.53615359999998</v>
      </c>
      <c r="AG69" s="7">
        <f t="shared" ref="AG69:AG73" si="7">X69*$S$78</f>
        <v>45</v>
      </c>
      <c r="AH69" s="78">
        <f t="shared" ref="AH69:AH73" si="8">AE69+AG69</f>
        <v>516.44741279999994</v>
      </c>
      <c r="AI69" s="78">
        <f t="shared" ref="AI69:AI73" si="9">AF69+AG69</f>
        <v>475.53615359999998</v>
      </c>
    </row>
    <row r="70" spans="2:35">
      <c r="P70" s="7">
        <v>10</v>
      </c>
      <c r="Q70" s="7">
        <v>1.66</v>
      </c>
      <c r="R70" s="7">
        <v>100</v>
      </c>
      <c r="S70" s="7">
        <v>2</v>
      </c>
      <c r="T70" s="7">
        <v>208</v>
      </c>
      <c r="U70" s="7">
        <f t="shared" si="0"/>
        <v>100</v>
      </c>
      <c r="V70" s="5">
        <v>3.74</v>
      </c>
      <c r="W70" s="7">
        <v>1.4</v>
      </c>
      <c r="X70" s="7">
        <f t="shared" si="1"/>
        <v>9</v>
      </c>
      <c r="Y70" s="7">
        <v>0.87</v>
      </c>
      <c r="Z70" s="34">
        <v>0.51500000000000001</v>
      </c>
      <c r="AA70" s="5">
        <v>0.64700000000000002</v>
      </c>
      <c r="AB70" s="7">
        <f t="shared" si="4"/>
        <v>2419780</v>
      </c>
      <c r="AC70" s="93">
        <f t="shared" si="5"/>
        <v>6799.5817999999999</v>
      </c>
      <c r="AD70" s="93">
        <f t="shared" si="2"/>
        <v>6726.9884000000002</v>
      </c>
      <c r="AE70" s="78">
        <f t="shared" si="6"/>
        <v>353.57825359999998</v>
      </c>
      <c r="AF70" s="78">
        <f t="shared" si="3"/>
        <v>322.89544319999999</v>
      </c>
      <c r="AG70" s="7">
        <f t="shared" si="7"/>
        <v>45</v>
      </c>
      <c r="AH70" s="78">
        <f t="shared" si="8"/>
        <v>398.57825359999998</v>
      </c>
      <c r="AI70" s="78">
        <f t="shared" si="9"/>
        <v>367.89544319999999</v>
      </c>
    </row>
    <row r="71" spans="2:35">
      <c r="P71" s="7">
        <v>5</v>
      </c>
      <c r="Q71" s="7">
        <v>2.64</v>
      </c>
      <c r="R71" s="7">
        <v>100</v>
      </c>
      <c r="S71" s="7">
        <v>2</v>
      </c>
      <c r="T71" s="7">
        <v>320</v>
      </c>
      <c r="U71" s="7">
        <f t="shared" si="0"/>
        <v>200</v>
      </c>
      <c r="V71" s="5">
        <v>4.24</v>
      </c>
      <c r="W71" s="7">
        <v>1.18</v>
      </c>
      <c r="X71" s="7">
        <f t="shared" si="1"/>
        <v>4</v>
      </c>
      <c r="Y71" s="7">
        <v>0.77</v>
      </c>
      <c r="Z71" s="34">
        <v>0.45100000000000001</v>
      </c>
      <c r="AA71" s="5">
        <v>1.7829999999999999</v>
      </c>
      <c r="AB71" s="7">
        <f t="shared" si="4"/>
        <v>7559920</v>
      </c>
      <c r="AC71" s="93">
        <f t="shared" si="5"/>
        <v>21243.375199999999</v>
      </c>
      <c r="AD71" s="93">
        <f t="shared" si="2"/>
        <v>21016.577600000001</v>
      </c>
      <c r="AE71" s="78">
        <f t="shared" si="6"/>
        <v>1104.6555104000001</v>
      </c>
      <c r="AF71" s="78">
        <f t="shared" si="3"/>
        <v>1008.7957248</v>
      </c>
      <c r="AG71" s="7">
        <f t="shared" si="7"/>
        <v>20</v>
      </c>
      <c r="AH71" s="78">
        <f t="shared" si="8"/>
        <v>1124.6555104000001</v>
      </c>
      <c r="AI71" s="78">
        <f t="shared" si="9"/>
        <v>1028.7957248</v>
      </c>
    </row>
    <row r="72" spans="2:35">
      <c r="B72" s="84"/>
      <c r="P72" s="7">
        <v>15</v>
      </c>
      <c r="Q72" s="7">
        <v>1.27</v>
      </c>
      <c r="R72" s="7">
        <v>50</v>
      </c>
      <c r="S72" s="7">
        <v>1</v>
      </c>
      <c r="T72" s="7">
        <v>80</v>
      </c>
      <c r="U72" s="78">
        <f t="shared" si="0"/>
        <v>66.666666666666671</v>
      </c>
      <c r="V72" s="5">
        <v>2.4700000000000002</v>
      </c>
      <c r="W72" s="7">
        <v>1</v>
      </c>
      <c r="X72" s="7">
        <f t="shared" si="1"/>
        <v>14</v>
      </c>
      <c r="Y72" s="7">
        <v>0.89</v>
      </c>
      <c r="Z72" s="34">
        <v>0.68</v>
      </c>
      <c r="AA72" s="5">
        <v>0.76700000000000002</v>
      </c>
      <c r="AB72" s="7">
        <f t="shared" si="4"/>
        <v>1894490.0000000005</v>
      </c>
      <c r="AC72" s="93">
        <f t="shared" si="5"/>
        <v>5323.5169000000005</v>
      </c>
      <c r="AD72" s="93">
        <f t="shared" si="2"/>
        <v>5266.6822000000011</v>
      </c>
      <c r="AE72" s="78">
        <f t="shared" si="6"/>
        <v>276.82287880000001</v>
      </c>
      <c r="AF72" s="78">
        <f t="shared" si="3"/>
        <v>252.80074560000006</v>
      </c>
      <c r="AG72" s="7">
        <f t="shared" si="7"/>
        <v>70</v>
      </c>
      <c r="AH72" s="78">
        <f t="shared" si="8"/>
        <v>346.82287880000001</v>
      </c>
      <c r="AI72" s="78">
        <f t="shared" si="9"/>
        <v>322.80074560000003</v>
      </c>
    </row>
    <row r="73" spans="2:35">
      <c r="P73" s="7">
        <v>20</v>
      </c>
      <c r="Q73" s="7">
        <v>1.05</v>
      </c>
      <c r="R73" s="7">
        <v>36</v>
      </c>
      <c r="S73" s="7">
        <v>1</v>
      </c>
      <c r="T73" s="7">
        <v>64</v>
      </c>
      <c r="U73" s="7">
        <f t="shared" si="0"/>
        <v>50</v>
      </c>
      <c r="V73" s="5">
        <v>2.2000000000000002</v>
      </c>
      <c r="W73" s="7">
        <v>1.2</v>
      </c>
      <c r="X73" s="7">
        <f t="shared" si="1"/>
        <v>19</v>
      </c>
      <c r="Y73" s="7">
        <v>0.92</v>
      </c>
      <c r="Z73" s="34">
        <v>0.71499999999999997</v>
      </c>
      <c r="AA73" s="5">
        <v>0.38800000000000001</v>
      </c>
      <c r="AB73" s="7">
        <f t="shared" si="4"/>
        <v>853600</v>
      </c>
      <c r="AC73" s="93">
        <f>AB73*$S$82/10^6</f>
        <v>2398.616</v>
      </c>
      <c r="AD73" s="93">
        <f t="shared" si="2"/>
        <v>2373.0079999999998</v>
      </c>
      <c r="AE73" s="78">
        <f t="shared" si="6"/>
        <v>124.72803200000001</v>
      </c>
      <c r="AF73" s="78">
        <f t="shared" si="3"/>
        <v>113.90438399999999</v>
      </c>
      <c r="AG73" s="7">
        <f t="shared" si="7"/>
        <v>95</v>
      </c>
      <c r="AH73" s="78">
        <f t="shared" si="8"/>
        <v>219.72803200000001</v>
      </c>
      <c r="AI73" s="78">
        <f t="shared" si="9"/>
        <v>208.90438399999999</v>
      </c>
    </row>
    <row r="75" spans="2:35" ht="15.05" customHeight="1">
      <c r="Q75" s="106" t="s">
        <v>326</v>
      </c>
      <c r="R75" s="106"/>
      <c r="S75" s="106"/>
      <c r="T75" s="106"/>
      <c r="V75" s="4" t="s">
        <v>327</v>
      </c>
    </row>
    <row r="76" spans="2:35" ht="15.05" customHeight="1">
      <c r="Q76" s="103" t="s">
        <v>324</v>
      </c>
      <c r="R76" s="103"/>
      <c r="S76" s="7">
        <v>52</v>
      </c>
      <c r="T76" s="7" t="s">
        <v>318</v>
      </c>
    </row>
    <row r="77" spans="2:35" ht="15.05" customHeight="1">
      <c r="Q77" s="103" t="s">
        <v>325</v>
      </c>
      <c r="R77" s="103"/>
      <c r="S77" s="7">
        <v>48</v>
      </c>
      <c r="T77" s="7" t="s">
        <v>318</v>
      </c>
    </row>
    <row r="78" spans="2:35" ht="15.05" customHeight="1">
      <c r="Q78" s="103" t="s">
        <v>319</v>
      </c>
      <c r="R78" s="103"/>
      <c r="S78" s="7">
        <v>5</v>
      </c>
      <c r="T78" s="7" t="s">
        <v>320</v>
      </c>
    </row>
    <row r="79" spans="2:35" ht="15.05" customHeight="1">
      <c r="Q79" s="103" t="s">
        <v>321</v>
      </c>
      <c r="R79" s="103"/>
      <c r="S79" s="7">
        <v>50</v>
      </c>
      <c r="T79" s="7" t="s">
        <v>320</v>
      </c>
    </row>
    <row r="80" spans="2:35" ht="15.05" customHeight="1">
      <c r="Q80" s="103" t="s">
        <v>322</v>
      </c>
      <c r="R80" s="103"/>
      <c r="S80" s="7">
        <v>50</v>
      </c>
      <c r="T80" s="7" t="s">
        <v>323</v>
      </c>
    </row>
    <row r="81" spans="17:20">
      <c r="Q81" s="103" t="s">
        <v>336</v>
      </c>
      <c r="R81" s="103"/>
      <c r="S81" s="7">
        <v>2780</v>
      </c>
      <c r="T81" s="7" t="s">
        <v>182</v>
      </c>
    </row>
    <row r="82" spans="17:20">
      <c r="Q82" s="103" t="s">
        <v>337</v>
      </c>
      <c r="R82" s="103"/>
      <c r="S82" s="7">
        <v>2810</v>
      </c>
      <c r="T82" s="7" t="s">
        <v>182</v>
      </c>
    </row>
  </sheetData>
  <mergeCells count="19">
    <mergeCell ref="Q82:R82"/>
    <mergeCell ref="AC65:AD65"/>
    <mergeCell ref="AB65:AB66"/>
    <mergeCell ref="AE65:AF65"/>
    <mergeCell ref="Q81:R81"/>
    <mergeCell ref="Q75:T75"/>
    <mergeCell ref="Q78:R78"/>
    <mergeCell ref="Q79:R79"/>
    <mergeCell ref="Q80:R80"/>
    <mergeCell ref="Q76:R76"/>
    <mergeCell ref="Q77:R77"/>
    <mergeCell ref="P65:AA65"/>
    <mergeCell ref="AG65:AG66"/>
    <mergeCell ref="AH65:AI65"/>
    <mergeCell ref="A26:C26"/>
    <mergeCell ref="A17:C17"/>
    <mergeCell ref="F36:G36"/>
    <mergeCell ref="A35:C35"/>
    <mergeCell ref="F55:F59"/>
  </mergeCells>
  <phoneticPr fontId="1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2:Q80"/>
  <sheetViews>
    <sheetView zoomScale="70" zoomScaleNormal="70" workbookViewId="0">
      <selection activeCell="C42" sqref="C42"/>
    </sheetView>
  </sheetViews>
  <sheetFormatPr defaultRowHeight="15.05"/>
  <cols>
    <col min="1" max="1" width="33.109375" customWidth="1"/>
  </cols>
  <sheetData>
    <row r="12" spans="1:6">
      <c r="A12" s="22" t="s">
        <v>138</v>
      </c>
    </row>
    <row r="13" spans="1:6">
      <c r="A13" s="107" t="s">
        <v>109</v>
      </c>
    </row>
    <row r="14" spans="1:6">
      <c r="A14" s="108"/>
      <c r="F14" t="s">
        <v>245</v>
      </c>
    </row>
    <row r="15" spans="1:6">
      <c r="A15" s="25" t="s">
        <v>88</v>
      </c>
      <c r="B15" s="25" t="s">
        <v>89</v>
      </c>
      <c r="C15" s="25" t="s">
        <v>90</v>
      </c>
      <c r="D15" s="25" t="s">
        <v>91</v>
      </c>
    </row>
    <row r="16" spans="1:6">
      <c r="A16" s="5" t="s">
        <v>111</v>
      </c>
      <c r="B16" s="3" t="s">
        <v>66</v>
      </c>
      <c r="C16" s="89">
        <v>2</v>
      </c>
      <c r="D16" s="5" t="s">
        <v>118</v>
      </c>
    </row>
    <row r="17" spans="1:10">
      <c r="A17" s="5" t="s">
        <v>112</v>
      </c>
      <c r="B17" s="3" t="s">
        <v>107</v>
      </c>
      <c r="C17" s="89">
        <v>1</v>
      </c>
      <c r="D17" s="5" t="s">
        <v>118</v>
      </c>
    </row>
    <row r="18" spans="1:10">
      <c r="A18" s="5" t="s">
        <v>113</v>
      </c>
      <c r="B18" s="3" t="s">
        <v>246</v>
      </c>
      <c r="C18" s="89">
        <v>0.2</v>
      </c>
      <c r="D18" s="5" t="s">
        <v>118</v>
      </c>
    </row>
    <row r="19" spans="1:10">
      <c r="A19" s="5" t="s">
        <v>114</v>
      </c>
      <c r="B19" s="3" t="s">
        <v>104</v>
      </c>
      <c r="C19" s="61">
        <f>C16/C18</f>
        <v>10</v>
      </c>
      <c r="D19" s="5"/>
    </row>
    <row r="20" spans="1:10">
      <c r="A20" s="5" t="s">
        <v>115</v>
      </c>
      <c r="B20" s="5" t="s">
        <v>103</v>
      </c>
      <c r="C20" s="62">
        <v>8.1</v>
      </c>
      <c r="D20" s="5"/>
    </row>
    <row r="21" spans="1:10">
      <c r="A21" s="5" t="s">
        <v>116</v>
      </c>
      <c r="B21" s="5" t="s">
        <v>101</v>
      </c>
      <c r="C21" s="77">
        <v>20000</v>
      </c>
      <c r="D21" s="5" t="s">
        <v>119</v>
      </c>
      <c r="F21" t="s">
        <v>239</v>
      </c>
    </row>
    <row r="22" spans="1:10">
      <c r="A22" s="5" t="s">
        <v>117</v>
      </c>
      <c r="B22" s="5" t="s">
        <v>106</v>
      </c>
      <c r="C22" s="77">
        <v>10000</v>
      </c>
      <c r="D22" s="5" t="s">
        <v>68</v>
      </c>
    </row>
    <row r="23" spans="1:10">
      <c r="A23" s="5" t="s">
        <v>247</v>
      </c>
      <c r="B23" s="5" t="s">
        <v>110</v>
      </c>
      <c r="C23" s="5">
        <f>C22/2/C18/C17/1000</f>
        <v>25</v>
      </c>
      <c r="D23" s="5" t="s">
        <v>105</v>
      </c>
    </row>
    <row r="24" spans="1:10">
      <c r="A24" s="5" t="s">
        <v>108</v>
      </c>
      <c r="B24" s="5" t="s">
        <v>102</v>
      </c>
      <c r="C24" s="5">
        <f>C21/2/C18/1000</f>
        <v>50</v>
      </c>
      <c r="D24" s="5" t="s">
        <v>124</v>
      </c>
      <c r="J24" s="63" t="s">
        <v>262</v>
      </c>
    </row>
    <row r="25" spans="1:10">
      <c r="A25" s="5" t="s">
        <v>248</v>
      </c>
      <c r="B25" s="5" t="s">
        <v>250</v>
      </c>
      <c r="C25" s="5">
        <f>C24+C23</f>
        <v>75</v>
      </c>
      <c r="D25" s="5" t="s">
        <v>105</v>
      </c>
    </row>
    <row r="26" spans="1:10">
      <c r="A26" s="5" t="s">
        <v>249</v>
      </c>
      <c r="B26" s="5" t="s">
        <v>251</v>
      </c>
      <c r="C26" s="5">
        <f>C24-C23</f>
        <v>25</v>
      </c>
      <c r="D26" s="5" t="s">
        <v>105</v>
      </c>
    </row>
    <row r="27" spans="1:10" ht="15.05" customHeight="1">
      <c r="A27" s="5" t="s">
        <v>252</v>
      </c>
      <c r="B27" s="5" t="s">
        <v>254</v>
      </c>
      <c r="C27" s="59">
        <f>(C25*1000*C18/C20/('Wing box structural sizing'!E42*10^9))^(1/3)*1000</f>
        <v>2.9796784503218952</v>
      </c>
      <c r="D27" s="5" t="s">
        <v>26</v>
      </c>
      <c r="F27" s="56"/>
    </row>
    <row r="28" spans="1:10" ht="15.05" customHeight="1">
      <c r="A28" s="5" t="s">
        <v>253</v>
      </c>
      <c r="B28" s="5" t="s">
        <v>255</v>
      </c>
      <c r="C28" s="59">
        <f>(C26*1000*C18/C20/('Wing box structural sizing'!E42*10^9))^(1/3)*1000</f>
        <v>2.0659936474703118</v>
      </c>
      <c r="D28" s="5" t="s">
        <v>26</v>
      </c>
      <c r="F28" s="56"/>
    </row>
    <row r="29" spans="1:10">
      <c r="D29" s="53"/>
    </row>
    <row r="30" spans="1:10">
      <c r="A30" s="5" t="s">
        <v>120</v>
      </c>
      <c r="B30" s="5" t="s">
        <v>123</v>
      </c>
      <c r="C30" s="60">
        <f>C25/C27</f>
        <v>25.170501196831403</v>
      </c>
      <c r="D30" s="5" t="s">
        <v>125</v>
      </c>
    </row>
    <row r="31" spans="1:10">
      <c r="A31" s="5" t="s">
        <v>121</v>
      </c>
      <c r="B31" s="5" t="s">
        <v>122</v>
      </c>
      <c r="C31" s="60">
        <f>C26/C28</f>
        <v>12.100714845184077</v>
      </c>
      <c r="D31" s="5" t="s">
        <v>37</v>
      </c>
    </row>
    <row r="35" spans="1:5">
      <c r="A35" s="22" t="s">
        <v>257</v>
      </c>
    </row>
    <row r="36" spans="1:5">
      <c r="A36" s="26" t="s">
        <v>256</v>
      </c>
      <c r="B36" s="10"/>
      <c r="C36" s="56"/>
      <c r="D36" s="4"/>
    </row>
    <row r="37" spans="1:5">
      <c r="A37" s="7" t="s">
        <v>269</v>
      </c>
      <c r="B37" s="5" t="s">
        <v>170</v>
      </c>
      <c r="C37" s="36">
        <f>'Stringer-Panel'!C41</f>
        <v>1.0472999237082827</v>
      </c>
      <c r="D37" s="5" t="s">
        <v>144</v>
      </c>
    </row>
    <row r="38" spans="1:5">
      <c r="A38" s="7" t="s">
        <v>273</v>
      </c>
      <c r="B38" s="5" t="s">
        <v>110</v>
      </c>
      <c r="C38" s="1">
        <f>C23</f>
        <v>25</v>
      </c>
      <c r="D38" s="5" t="s">
        <v>105</v>
      </c>
    </row>
    <row r="39" spans="1:5">
      <c r="A39" s="7" t="s">
        <v>274</v>
      </c>
      <c r="B39" s="5" t="s">
        <v>277</v>
      </c>
      <c r="C39" s="36">
        <f>C38/C37</f>
        <v>23.870907878499526</v>
      </c>
      <c r="D39" s="5" t="s">
        <v>38</v>
      </c>
    </row>
    <row r="40" spans="1:5">
      <c r="A40" s="7" t="s">
        <v>285</v>
      </c>
      <c r="B40" s="5" t="s">
        <v>284</v>
      </c>
      <c r="C40" s="36">
        <f>'Stringer-Panel'!C29</f>
        <v>50</v>
      </c>
      <c r="D40" s="5" t="s">
        <v>144</v>
      </c>
    </row>
    <row r="41" spans="1:5">
      <c r="A41" s="7" t="s">
        <v>278</v>
      </c>
      <c r="B41" s="5" t="s">
        <v>155</v>
      </c>
      <c r="C41" s="1">
        <f>8.1*'Wing box structural sizing'!$E$42*10^9*(C37/C40)^2/10^6</f>
        <v>248.76266112921823</v>
      </c>
      <c r="D41" s="5" t="s">
        <v>38</v>
      </c>
    </row>
    <row r="42" spans="1:5">
      <c r="A42" s="7" t="s">
        <v>157</v>
      </c>
      <c r="B42" s="5" t="s">
        <v>155</v>
      </c>
      <c r="C42" s="1">
        <v>125</v>
      </c>
      <c r="D42" s="5" t="s">
        <v>38</v>
      </c>
    </row>
    <row r="43" spans="1:5">
      <c r="A43" s="7"/>
      <c r="B43" s="5"/>
      <c r="C43" s="1"/>
      <c r="D43" s="5"/>
    </row>
    <row r="44" spans="1:5">
      <c r="A44" s="7" t="s">
        <v>275</v>
      </c>
      <c r="B44" s="5" t="s">
        <v>260</v>
      </c>
      <c r="C44" s="36">
        <f>'Stringer-Panel'!C42</f>
        <v>111.17541151700854</v>
      </c>
      <c r="D44" s="5" t="s">
        <v>38</v>
      </c>
    </row>
    <row r="45" spans="1:5">
      <c r="A45" s="7" t="s">
        <v>276</v>
      </c>
      <c r="B45" s="5" t="s">
        <v>258</v>
      </c>
      <c r="C45" s="1">
        <f>'Stringer-Panel'!C51</f>
        <v>133.41049382041024</v>
      </c>
      <c r="D45" s="5" t="s">
        <v>38</v>
      </c>
    </row>
    <row r="47" spans="1:5">
      <c r="A47" s="1" t="s">
        <v>281</v>
      </c>
      <c r="B47" s="1" t="s">
        <v>279</v>
      </c>
      <c r="C47" s="70">
        <f>C44/C45</f>
        <v>0.83333333333333337</v>
      </c>
      <c r="E47" s="75"/>
    </row>
    <row r="48" spans="1:5">
      <c r="A48" s="1" t="s">
        <v>282</v>
      </c>
      <c r="B48" s="1" t="s">
        <v>280</v>
      </c>
      <c r="C48" s="70">
        <f>C39/C42</f>
        <v>0.19096726302799621</v>
      </c>
    </row>
    <row r="49" spans="1:3">
      <c r="A49" s="71" t="s">
        <v>283</v>
      </c>
      <c r="B49" s="109">
        <f>C48^2+C47</f>
        <v>0.86980182888173729</v>
      </c>
      <c r="C49" s="109"/>
    </row>
    <row r="68" spans="6:17">
      <c r="F68" s="1"/>
      <c r="G68" s="110" t="s">
        <v>287</v>
      </c>
      <c r="H68" s="110"/>
      <c r="I68" s="110"/>
      <c r="J68" s="110"/>
      <c r="K68" s="110"/>
      <c r="L68" s="110"/>
      <c r="M68" s="110"/>
      <c r="N68" s="110"/>
      <c r="O68" s="110"/>
      <c r="P68" s="110"/>
      <c r="Q68" s="110"/>
    </row>
    <row r="69" spans="6:17">
      <c r="F69" s="74" t="s">
        <v>286</v>
      </c>
      <c r="G69" s="73">
        <v>0</v>
      </c>
      <c r="H69" s="73">
        <v>0.1</v>
      </c>
      <c r="I69" s="73">
        <v>0.2</v>
      </c>
      <c r="J69" s="73">
        <v>0.3</v>
      </c>
      <c r="K69" s="73">
        <v>0.4</v>
      </c>
      <c r="L69" s="73">
        <v>0.5</v>
      </c>
      <c r="M69" s="73">
        <v>0.6</v>
      </c>
      <c r="N69" s="73">
        <v>0.7</v>
      </c>
      <c r="O69" s="73">
        <v>0.8</v>
      </c>
      <c r="P69" s="73">
        <v>0.9</v>
      </c>
      <c r="Q69" s="73">
        <v>1</v>
      </c>
    </row>
    <row r="70" spans="6:17">
      <c r="F70" s="73">
        <v>0</v>
      </c>
      <c r="G70" s="1">
        <f t="shared" ref="G70:Q80" si="0">$F70^2+G$69</f>
        <v>0</v>
      </c>
      <c r="H70" s="1">
        <f t="shared" si="0"/>
        <v>0.1</v>
      </c>
      <c r="I70" s="1">
        <f t="shared" si="0"/>
        <v>0.2</v>
      </c>
      <c r="J70" s="1">
        <f t="shared" si="0"/>
        <v>0.3</v>
      </c>
      <c r="K70" s="1">
        <f t="shared" si="0"/>
        <v>0.4</v>
      </c>
      <c r="L70" s="1">
        <f t="shared" si="0"/>
        <v>0.5</v>
      </c>
      <c r="M70" s="1">
        <f t="shared" si="0"/>
        <v>0.6</v>
      </c>
      <c r="N70" s="1">
        <f t="shared" si="0"/>
        <v>0.7</v>
      </c>
      <c r="O70" s="1">
        <f t="shared" si="0"/>
        <v>0.8</v>
      </c>
      <c r="P70" s="1">
        <f t="shared" si="0"/>
        <v>0.9</v>
      </c>
      <c r="Q70" s="1">
        <f t="shared" si="0"/>
        <v>1</v>
      </c>
    </row>
    <row r="71" spans="6:17">
      <c r="F71" s="73">
        <v>0.1</v>
      </c>
      <c r="G71" s="1">
        <f t="shared" si="0"/>
        <v>1.0000000000000002E-2</v>
      </c>
      <c r="H71" s="1">
        <f t="shared" si="0"/>
        <v>0.11000000000000001</v>
      </c>
      <c r="I71" s="1">
        <f t="shared" si="0"/>
        <v>0.21000000000000002</v>
      </c>
      <c r="J71" s="1">
        <f t="shared" si="0"/>
        <v>0.31</v>
      </c>
      <c r="K71" s="1">
        <f t="shared" si="0"/>
        <v>0.41000000000000003</v>
      </c>
      <c r="L71" s="1">
        <f t="shared" si="0"/>
        <v>0.51</v>
      </c>
      <c r="M71" s="1">
        <f t="shared" si="0"/>
        <v>0.61</v>
      </c>
      <c r="N71" s="1">
        <f t="shared" si="0"/>
        <v>0.71</v>
      </c>
      <c r="O71" s="1">
        <f t="shared" si="0"/>
        <v>0.81</v>
      </c>
      <c r="P71" s="1">
        <f t="shared" si="0"/>
        <v>0.91</v>
      </c>
      <c r="Q71" s="1">
        <f t="shared" si="0"/>
        <v>1.01</v>
      </c>
    </row>
    <row r="72" spans="6:17">
      <c r="F72" s="73">
        <v>0.2</v>
      </c>
      <c r="G72" s="1">
        <f t="shared" si="0"/>
        <v>4.0000000000000008E-2</v>
      </c>
      <c r="H72" s="1">
        <f t="shared" si="0"/>
        <v>0.14000000000000001</v>
      </c>
      <c r="I72" s="1">
        <f t="shared" si="0"/>
        <v>0.24000000000000002</v>
      </c>
      <c r="J72" s="1">
        <f t="shared" si="0"/>
        <v>0.33999999999999997</v>
      </c>
      <c r="K72" s="1">
        <f t="shared" si="0"/>
        <v>0.44000000000000006</v>
      </c>
      <c r="L72" s="1">
        <f t="shared" si="0"/>
        <v>0.54</v>
      </c>
      <c r="M72" s="1">
        <f t="shared" si="0"/>
        <v>0.64</v>
      </c>
      <c r="N72" s="1">
        <f t="shared" si="0"/>
        <v>0.74</v>
      </c>
      <c r="O72" s="1">
        <f t="shared" si="0"/>
        <v>0.84000000000000008</v>
      </c>
      <c r="P72" s="1">
        <f t="shared" si="0"/>
        <v>0.94000000000000006</v>
      </c>
      <c r="Q72" s="1">
        <f t="shared" si="0"/>
        <v>1.04</v>
      </c>
    </row>
    <row r="73" spans="6:17">
      <c r="F73" s="73">
        <v>0.3</v>
      </c>
      <c r="G73" s="1">
        <f t="shared" si="0"/>
        <v>0.09</v>
      </c>
      <c r="H73" s="1">
        <f t="shared" si="0"/>
        <v>0.19</v>
      </c>
      <c r="I73" s="1">
        <f t="shared" si="0"/>
        <v>0.29000000000000004</v>
      </c>
      <c r="J73" s="1">
        <f t="shared" si="0"/>
        <v>0.39</v>
      </c>
      <c r="K73" s="1">
        <f t="shared" si="0"/>
        <v>0.49</v>
      </c>
      <c r="L73" s="1">
        <f t="shared" si="0"/>
        <v>0.59</v>
      </c>
      <c r="M73" s="1">
        <f t="shared" si="0"/>
        <v>0.69</v>
      </c>
      <c r="N73" s="1">
        <f t="shared" si="0"/>
        <v>0.78999999999999992</v>
      </c>
      <c r="O73" s="1">
        <f t="shared" si="0"/>
        <v>0.89</v>
      </c>
      <c r="P73" s="1">
        <f t="shared" si="0"/>
        <v>0.99</v>
      </c>
      <c r="Q73" s="1">
        <f t="shared" si="0"/>
        <v>1.0900000000000001</v>
      </c>
    </row>
    <row r="74" spans="6:17">
      <c r="F74" s="73">
        <v>0.4</v>
      </c>
      <c r="G74" s="1">
        <f t="shared" si="0"/>
        <v>0.16000000000000003</v>
      </c>
      <c r="H74" s="1">
        <f t="shared" si="0"/>
        <v>0.26</v>
      </c>
      <c r="I74" s="1">
        <f t="shared" si="0"/>
        <v>0.36000000000000004</v>
      </c>
      <c r="J74" s="1">
        <f t="shared" si="0"/>
        <v>0.46</v>
      </c>
      <c r="K74" s="1">
        <f t="shared" si="0"/>
        <v>0.56000000000000005</v>
      </c>
      <c r="L74" s="1">
        <f t="shared" si="0"/>
        <v>0.66</v>
      </c>
      <c r="M74" s="1">
        <f t="shared" si="0"/>
        <v>0.76</v>
      </c>
      <c r="N74" s="1">
        <f t="shared" si="0"/>
        <v>0.86</v>
      </c>
      <c r="O74" s="1">
        <f t="shared" si="0"/>
        <v>0.96000000000000008</v>
      </c>
      <c r="P74" s="1">
        <f t="shared" si="0"/>
        <v>1.06</v>
      </c>
      <c r="Q74" s="1">
        <f t="shared" si="0"/>
        <v>1.1600000000000001</v>
      </c>
    </row>
    <row r="75" spans="6:17">
      <c r="F75" s="73">
        <v>0.5</v>
      </c>
      <c r="G75" s="1">
        <f t="shared" si="0"/>
        <v>0.25</v>
      </c>
      <c r="H75" s="1">
        <f t="shared" si="0"/>
        <v>0.35</v>
      </c>
      <c r="I75" s="1">
        <f t="shared" si="0"/>
        <v>0.45</v>
      </c>
      <c r="J75" s="1">
        <f t="shared" si="0"/>
        <v>0.55000000000000004</v>
      </c>
      <c r="K75" s="1">
        <f t="shared" si="0"/>
        <v>0.65</v>
      </c>
      <c r="L75" s="1">
        <f t="shared" si="0"/>
        <v>0.75</v>
      </c>
      <c r="M75" s="1">
        <f t="shared" si="0"/>
        <v>0.85</v>
      </c>
      <c r="N75" s="1">
        <f t="shared" si="0"/>
        <v>0.95</v>
      </c>
      <c r="O75" s="1">
        <f t="shared" si="0"/>
        <v>1.05</v>
      </c>
      <c r="P75" s="1">
        <f t="shared" si="0"/>
        <v>1.1499999999999999</v>
      </c>
      <c r="Q75" s="1">
        <f t="shared" si="0"/>
        <v>1.25</v>
      </c>
    </row>
    <row r="76" spans="6:17">
      <c r="F76" s="73">
        <v>0.6</v>
      </c>
      <c r="G76" s="1">
        <f t="shared" si="0"/>
        <v>0.36</v>
      </c>
      <c r="H76" s="1">
        <f t="shared" si="0"/>
        <v>0.45999999999999996</v>
      </c>
      <c r="I76" s="1">
        <f t="shared" si="0"/>
        <v>0.56000000000000005</v>
      </c>
      <c r="J76" s="1">
        <f t="shared" si="0"/>
        <v>0.65999999999999992</v>
      </c>
      <c r="K76" s="1">
        <f t="shared" si="0"/>
        <v>0.76</v>
      </c>
      <c r="L76" s="1">
        <f t="shared" si="0"/>
        <v>0.86</v>
      </c>
      <c r="M76" s="1">
        <f t="shared" si="0"/>
        <v>0.96</v>
      </c>
      <c r="N76" s="1">
        <f t="shared" si="0"/>
        <v>1.06</v>
      </c>
      <c r="O76" s="1">
        <f t="shared" si="0"/>
        <v>1.1600000000000001</v>
      </c>
      <c r="P76" s="1">
        <f t="shared" si="0"/>
        <v>1.26</v>
      </c>
      <c r="Q76" s="1">
        <f t="shared" si="0"/>
        <v>1.3599999999999999</v>
      </c>
    </row>
    <row r="77" spans="6:17">
      <c r="F77" s="73">
        <v>0.7</v>
      </c>
      <c r="G77" s="1">
        <f t="shared" si="0"/>
        <v>0.48999999999999994</v>
      </c>
      <c r="H77" s="1">
        <f t="shared" si="0"/>
        <v>0.59</v>
      </c>
      <c r="I77" s="1">
        <f t="shared" si="0"/>
        <v>0.69</v>
      </c>
      <c r="J77" s="1">
        <f t="shared" si="0"/>
        <v>0.78999999999999992</v>
      </c>
      <c r="K77" s="1">
        <f t="shared" si="0"/>
        <v>0.8899999999999999</v>
      </c>
      <c r="L77" s="1">
        <f t="shared" si="0"/>
        <v>0.99</v>
      </c>
      <c r="M77" s="1">
        <f t="shared" si="0"/>
        <v>1.0899999999999999</v>
      </c>
      <c r="N77" s="1">
        <f t="shared" si="0"/>
        <v>1.19</v>
      </c>
      <c r="O77" s="1">
        <f t="shared" si="0"/>
        <v>1.29</v>
      </c>
      <c r="P77" s="1">
        <f t="shared" si="0"/>
        <v>1.39</v>
      </c>
      <c r="Q77" s="1">
        <f t="shared" si="0"/>
        <v>1.49</v>
      </c>
    </row>
    <row r="78" spans="6:17">
      <c r="F78" s="73">
        <v>0.8</v>
      </c>
      <c r="G78" s="1">
        <f t="shared" si="0"/>
        <v>0.64000000000000012</v>
      </c>
      <c r="H78" s="1">
        <f t="shared" si="0"/>
        <v>0.7400000000000001</v>
      </c>
      <c r="I78" s="1">
        <f t="shared" si="0"/>
        <v>0.84000000000000008</v>
      </c>
      <c r="J78" s="1">
        <f t="shared" si="0"/>
        <v>0.94000000000000017</v>
      </c>
      <c r="K78" s="1">
        <f t="shared" si="0"/>
        <v>1.04</v>
      </c>
      <c r="L78" s="1">
        <f t="shared" si="0"/>
        <v>1.1400000000000001</v>
      </c>
      <c r="M78" s="1">
        <f t="shared" si="0"/>
        <v>1.2400000000000002</v>
      </c>
      <c r="N78" s="1">
        <f t="shared" si="0"/>
        <v>1.34</v>
      </c>
      <c r="O78" s="1">
        <f t="shared" si="0"/>
        <v>1.4400000000000002</v>
      </c>
      <c r="P78" s="1">
        <f t="shared" si="0"/>
        <v>1.54</v>
      </c>
      <c r="Q78" s="1">
        <f t="shared" si="0"/>
        <v>1.6400000000000001</v>
      </c>
    </row>
    <row r="79" spans="6:17">
      <c r="F79" s="73">
        <v>0.9</v>
      </c>
      <c r="G79" s="1">
        <f t="shared" si="0"/>
        <v>0.81</v>
      </c>
      <c r="H79" s="1">
        <f t="shared" si="0"/>
        <v>0.91</v>
      </c>
      <c r="I79" s="1">
        <f t="shared" si="0"/>
        <v>1.01</v>
      </c>
      <c r="J79" s="1">
        <f t="shared" si="0"/>
        <v>1.1100000000000001</v>
      </c>
      <c r="K79" s="1">
        <f t="shared" si="0"/>
        <v>1.21</v>
      </c>
      <c r="L79" s="1">
        <f t="shared" si="0"/>
        <v>1.31</v>
      </c>
      <c r="M79" s="1">
        <f t="shared" si="0"/>
        <v>1.4100000000000001</v>
      </c>
      <c r="N79" s="1">
        <f t="shared" si="0"/>
        <v>1.51</v>
      </c>
      <c r="O79" s="1">
        <f t="shared" si="0"/>
        <v>1.61</v>
      </c>
      <c r="P79" s="1">
        <f t="shared" si="0"/>
        <v>1.71</v>
      </c>
      <c r="Q79" s="1">
        <f t="shared" si="0"/>
        <v>1.81</v>
      </c>
    </row>
    <row r="80" spans="6:17">
      <c r="F80" s="73">
        <v>1</v>
      </c>
      <c r="G80" s="1">
        <f t="shared" si="0"/>
        <v>1</v>
      </c>
      <c r="H80" s="1">
        <f t="shared" si="0"/>
        <v>1.1000000000000001</v>
      </c>
      <c r="I80" s="1">
        <f t="shared" si="0"/>
        <v>1.2</v>
      </c>
      <c r="J80" s="1">
        <f t="shared" si="0"/>
        <v>1.3</v>
      </c>
      <c r="K80" s="1">
        <f t="shared" si="0"/>
        <v>1.4</v>
      </c>
      <c r="L80" s="1">
        <f t="shared" si="0"/>
        <v>1.5</v>
      </c>
      <c r="M80" s="1">
        <f t="shared" si="0"/>
        <v>1.6</v>
      </c>
      <c r="N80" s="1">
        <f t="shared" si="0"/>
        <v>1.7</v>
      </c>
      <c r="O80" s="1">
        <f t="shared" si="0"/>
        <v>1.8</v>
      </c>
      <c r="P80" s="1">
        <f t="shared" si="0"/>
        <v>1.9</v>
      </c>
      <c r="Q80" s="1">
        <f t="shared" si="0"/>
        <v>2</v>
      </c>
    </row>
  </sheetData>
  <mergeCells count="3">
    <mergeCell ref="A13:A14"/>
    <mergeCell ref="B49:C49"/>
    <mergeCell ref="G68:Q68"/>
  </mergeCells>
  <phoneticPr fontId="1" type="noConversion"/>
  <conditionalFormatting sqref="G70:Q80">
    <cfRule type="cellIs" dxfId="0" priority="1" operator="greaterThan">
      <formula>0.99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H47"/>
  <sheetViews>
    <sheetView zoomScale="70" zoomScaleNormal="70" workbookViewId="0">
      <selection activeCell="G1" sqref="G1"/>
    </sheetView>
  </sheetViews>
  <sheetFormatPr defaultRowHeight="15.05"/>
  <cols>
    <col min="1" max="1" width="33.88671875" bestFit="1" customWidth="1"/>
    <col min="3" max="3" width="9.33203125" customWidth="1"/>
    <col min="7" max="7" width="12" bestFit="1" customWidth="1"/>
  </cols>
  <sheetData>
    <row r="2" spans="1:8">
      <c r="A2" s="25" t="s">
        <v>88</v>
      </c>
      <c r="B2" s="25" t="s">
        <v>89</v>
      </c>
      <c r="C2" s="25" t="s">
        <v>90</v>
      </c>
      <c r="D2" s="25" t="s">
        <v>91</v>
      </c>
      <c r="F2" t="s">
        <v>163</v>
      </c>
    </row>
    <row r="3" spans="1:8">
      <c r="A3" s="38" t="s">
        <v>167</v>
      </c>
      <c r="B3" s="37" t="s">
        <v>165</v>
      </c>
      <c r="C3" s="29">
        <v>4</v>
      </c>
      <c r="D3" s="1" t="s">
        <v>145</v>
      </c>
    </row>
    <row r="4" spans="1:8">
      <c r="A4" s="38" t="s">
        <v>168</v>
      </c>
      <c r="B4" s="37" t="s">
        <v>166</v>
      </c>
      <c r="C4" s="29">
        <v>9</v>
      </c>
      <c r="D4" s="1" t="s">
        <v>185</v>
      </c>
    </row>
    <row r="5" spans="1:8">
      <c r="A5" s="38" t="s">
        <v>151</v>
      </c>
      <c r="B5" s="1" t="s">
        <v>141</v>
      </c>
      <c r="C5" s="30">
        <f>C3/(C4+1)</f>
        <v>0.4</v>
      </c>
      <c r="D5" s="1" t="s">
        <v>145</v>
      </c>
    </row>
    <row r="6" spans="1:8">
      <c r="A6" s="38" t="s">
        <v>169</v>
      </c>
      <c r="B6" s="1" t="s">
        <v>142</v>
      </c>
      <c r="C6" s="29">
        <v>0.25</v>
      </c>
      <c r="D6" s="1" t="s">
        <v>145</v>
      </c>
    </row>
    <row r="7" spans="1:8">
      <c r="A7" s="38" t="s">
        <v>152</v>
      </c>
      <c r="B7" s="1" t="s">
        <v>143</v>
      </c>
      <c r="C7" s="29">
        <v>2.0299999999999998</v>
      </c>
      <c r="D7" s="1" t="s">
        <v>144</v>
      </c>
      <c r="F7" t="s">
        <v>267</v>
      </c>
    </row>
    <row r="8" spans="1:8" ht="15.75" thickBot="1">
      <c r="A8" s="38" t="s">
        <v>153</v>
      </c>
      <c r="B8" s="64" t="s">
        <v>148</v>
      </c>
      <c r="C8" s="41">
        <v>1</v>
      </c>
      <c r="D8" s="64" t="s">
        <v>145</v>
      </c>
    </row>
    <row r="9" spans="1:8">
      <c r="A9" s="38" t="s">
        <v>154</v>
      </c>
      <c r="B9" s="65" t="s">
        <v>149</v>
      </c>
      <c r="C9" s="42">
        <f>C6/SQRT(C8*C7/1000)</f>
        <v>5.5487095202309407</v>
      </c>
      <c r="D9" s="112" t="s">
        <v>265</v>
      </c>
    </row>
    <row r="10" spans="1:8" ht="15.75" thickBot="1">
      <c r="A10" s="38"/>
      <c r="B10" s="66" t="s">
        <v>150</v>
      </c>
      <c r="C10" s="40">
        <f>C5/C6</f>
        <v>1.6</v>
      </c>
      <c r="D10" s="113"/>
    </row>
    <row r="11" spans="1:8">
      <c r="A11" s="38"/>
      <c r="B11" s="65" t="s">
        <v>162</v>
      </c>
      <c r="C11" s="42">
        <f>C5/SQRT(C8*C7/1000)</f>
        <v>8.8779352323695058</v>
      </c>
      <c r="D11" s="112" t="s">
        <v>266</v>
      </c>
    </row>
    <row r="12" spans="1:8" ht="15.75" thickBot="1">
      <c r="A12" s="38"/>
      <c r="B12" s="66" t="s">
        <v>161</v>
      </c>
      <c r="C12" s="40">
        <f>C6/C5</f>
        <v>0.625</v>
      </c>
      <c r="D12" s="113"/>
      <c r="F12" t="s">
        <v>164</v>
      </c>
    </row>
    <row r="13" spans="1:8">
      <c r="A13" s="38" t="s">
        <v>147</v>
      </c>
      <c r="B13" s="67" t="s">
        <v>146</v>
      </c>
      <c r="C13" s="39">
        <v>31</v>
      </c>
      <c r="D13" s="67" t="s">
        <v>268</v>
      </c>
    </row>
    <row r="14" spans="1:8">
      <c r="A14" s="7" t="s">
        <v>278</v>
      </c>
      <c r="B14" s="1" t="s">
        <v>155</v>
      </c>
      <c r="C14" s="68">
        <f>C13*'Wing box structural sizing'!E42*10^9*(C7/1000/C6)^2/10^6</f>
        <v>143.07764799999998</v>
      </c>
      <c r="D14" s="1" t="s">
        <v>156</v>
      </c>
    </row>
    <row r="15" spans="1:8">
      <c r="A15" s="38"/>
      <c r="F15" s="111" t="s">
        <v>172</v>
      </c>
      <c r="G15" s="111"/>
      <c r="H15" s="111"/>
    </row>
    <row r="16" spans="1:8">
      <c r="A16" s="38" t="s">
        <v>157</v>
      </c>
      <c r="B16" s="1" t="s">
        <v>158</v>
      </c>
      <c r="C16" s="29">
        <v>125</v>
      </c>
      <c r="D16" s="1" t="s">
        <v>156</v>
      </c>
      <c r="F16" s="3" t="s">
        <v>181</v>
      </c>
      <c r="G16" s="3">
        <v>2.7</v>
      </c>
      <c r="H16" s="3" t="s">
        <v>182</v>
      </c>
    </row>
    <row r="17" spans="1:8">
      <c r="A17" s="38" t="s">
        <v>160</v>
      </c>
      <c r="B17" s="1" t="s">
        <v>159</v>
      </c>
      <c r="C17" s="2">
        <f>SQRT(C16*10^6*C6^2/C13/('Wing box structural sizing'!E42*10^9))*1000</f>
        <v>1.8974273147466134</v>
      </c>
      <c r="D17" s="1" t="s">
        <v>144</v>
      </c>
      <c r="F17" s="3" t="s">
        <v>179</v>
      </c>
      <c r="G17" s="43">
        <f>(0.5*'Wing box structural sizing'!O27)*C4*G16*1000/10^9</f>
        <v>0.13364999999999999</v>
      </c>
      <c r="H17" s="3" t="s">
        <v>184</v>
      </c>
    </row>
    <row r="18" spans="1:8">
      <c r="F18" s="3" t="s">
        <v>180</v>
      </c>
      <c r="G18" s="43">
        <f>(C17/1000)*C6*2*C3*G16*1000</f>
        <v>10.246107499631714</v>
      </c>
      <c r="H18" s="3" t="s">
        <v>184</v>
      </c>
    </row>
    <row r="19" spans="1:8">
      <c r="A19" t="s">
        <v>172</v>
      </c>
      <c r="C19" s="56">
        <f>SQRT(C16*10^6*0.3^2/25/('Wing box structural sizing'!E42*10^9))*1000</f>
        <v>2.5354627641855498</v>
      </c>
      <c r="D19">
        <f>2*0.3*0.0005*2.7*1000</f>
        <v>0.80999999999999994</v>
      </c>
      <c r="F19" s="3" t="s">
        <v>183</v>
      </c>
      <c r="G19" s="43">
        <f>G17+G18</f>
        <v>10.379757499631713</v>
      </c>
      <c r="H19" s="3" t="s">
        <v>184</v>
      </c>
    </row>
    <row r="20" spans="1:8">
      <c r="C20">
        <f>25*'Wing box structural sizing'!$E$42*10^9*(0.0025/0.3)^2/1000000</f>
        <v>121.52777777777777</v>
      </c>
      <c r="D20">
        <f>2*0.3*0.0025*2.7*1000</f>
        <v>4.0500000000000007</v>
      </c>
    </row>
    <row r="26" spans="1:8">
      <c r="G26" s="63" t="s">
        <v>263</v>
      </c>
    </row>
    <row r="43" spans="5:8">
      <c r="E43" t="s">
        <v>189</v>
      </c>
    </row>
    <row r="44" spans="5:8">
      <c r="E44" s="1" t="s">
        <v>188</v>
      </c>
      <c r="F44" s="1">
        <v>0</v>
      </c>
      <c r="G44" s="1">
        <v>9</v>
      </c>
      <c r="H44" s="1">
        <v>15</v>
      </c>
    </row>
    <row r="45" spans="5:8">
      <c r="E45" s="1" t="s">
        <v>186</v>
      </c>
      <c r="F45" s="1">
        <v>0</v>
      </c>
      <c r="G45" s="35">
        <v>0.13364999999999999</v>
      </c>
      <c r="H45" s="36">
        <v>0.22275000000000003</v>
      </c>
    </row>
    <row r="46" spans="5:8">
      <c r="E46" s="1" t="s">
        <v>187</v>
      </c>
      <c r="F46" s="35">
        <v>13.446321855011931</v>
      </c>
      <c r="G46" s="35">
        <v>10.978875820670998</v>
      </c>
      <c r="H46" s="36">
        <v>8.8026839599044564</v>
      </c>
    </row>
    <row r="47" spans="5:8">
      <c r="E47" s="1" t="s">
        <v>183</v>
      </c>
      <c r="F47" s="35">
        <v>13.446321855011931</v>
      </c>
      <c r="G47" s="35">
        <v>11.112525820670998</v>
      </c>
      <c r="H47" s="36">
        <v>9.025433959904456</v>
      </c>
    </row>
  </sheetData>
  <mergeCells count="3">
    <mergeCell ref="F15:H15"/>
    <mergeCell ref="D9:D10"/>
    <mergeCell ref="D11:D12"/>
  </mergeCells>
  <phoneticPr fontId="1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37"/>
  <sheetViews>
    <sheetView topLeftCell="A3" zoomScale="85" zoomScaleNormal="85" workbookViewId="0">
      <selection activeCell="C22" sqref="C22"/>
    </sheetView>
  </sheetViews>
  <sheetFormatPr defaultRowHeight="15.05"/>
  <cols>
    <col min="1" max="1" width="38.5546875" customWidth="1"/>
    <col min="3" max="3" width="10" customWidth="1"/>
    <col min="4" max="4" width="11.44140625" customWidth="1"/>
  </cols>
  <sheetData>
    <row r="1" spans="1:7">
      <c r="A1" s="63" t="s">
        <v>264</v>
      </c>
      <c r="G1" t="s">
        <v>211</v>
      </c>
    </row>
    <row r="3" spans="1:7">
      <c r="A3" s="25" t="s">
        <v>88</v>
      </c>
      <c r="B3" s="25" t="s">
        <v>89</v>
      </c>
      <c r="C3" s="25" t="s">
        <v>90</v>
      </c>
      <c r="D3" s="25" t="s">
        <v>91</v>
      </c>
      <c r="E3" s="55"/>
    </row>
    <row r="4" spans="1:7">
      <c r="A4" s="7" t="s">
        <v>206</v>
      </c>
      <c r="B4" s="5" t="s">
        <v>202</v>
      </c>
      <c r="C4" s="29">
        <v>23286.799999999999</v>
      </c>
      <c r="D4" s="7" t="s">
        <v>203</v>
      </c>
      <c r="E4" s="4"/>
    </row>
    <row r="5" spans="1:7">
      <c r="A5" s="7" t="s">
        <v>207</v>
      </c>
      <c r="B5" s="5" t="s">
        <v>204</v>
      </c>
      <c r="C5" s="29">
        <v>1</v>
      </c>
      <c r="D5" s="7" t="s">
        <v>118</v>
      </c>
      <c r="E5" s="4"/>
    </row>
    <row r="6" spans="1:7">
      <c r="A6" s="7" t="s">
        <v>208</v>
      </c>
      <c r="B6" s="5" t="s">
        <v>219</v>
      </c>
      <c r="C6" s="29">
        <v>2</v>
      </c>
      <c r="D6" s="7" t="s">
        <v>144</v>
      </c>
      <c r="E6" s="4"/>
    </row>
    <row r="7" spans="1:7">
      <c r="A7" s="7" t="s">
        <v>209</v>
      </c>
      <c r="B7" s="5" t="s">
        <v>210</v>
      </c>
      <c r="C7" s="29">
        <v>0.5</v>
      </c>
      <c r="D7" s="7" t="s">
        <v>118</v>
      </c>
      <c r="E7" s="4"/>
      <c r="G7" t="s">
        <v>215</v>
      </c>
    </row>
    <row r="8" spans="1:7">
      <c r="A8" s="7" t="s">
        <v>217</v>
      </c>
      <c r="B8" s="5" t="s">
        <v>218</v>
      </c>
      <c r="C8" s="29">
        <v>0.2</v>
      </c>
      <c r="D8" s="7" t="s">
        <v>118</v>
      </c>
      <c r="E8" s="4"/>
    </row>
    <row r="9" spans="1:7">
      <c r="A9" s="7" t="s">
        <v>71</v>
      </c>
      <c r="B9" s="5" t="s">
        <v>72</v>
      </c>
      <c r="C9" s="29">
        <v>72</v>
      </c>
      <c r="D9" s="7" t="s">
        <v>133</v>
      </c>
      <c r="E9" s="4"/>
    </row>
    <row r="10" spans="1:7">
      <c r="A10" s="7" t="s">
        <v>220</v>
      </c>
      <c r="B10" s="5" t="s">
        <v>205</v>
      </c>
      <c r="C10" s="51">
        <f>(C5*(C6/1000)^3/12+C5*(C6/1000)*(C8/2)^2)</f>
        <v>2.0000666666666673E-5</v>
      </c>
      <c r="D10" s="7" t="s">
        <v>221</v>
      </c>
      <c r="E10" s="4"/>
    </row>
    <row r="11" spans="1:7">
      <c r="A11" s="7" t="s">
        <v>222</v>
      </c>
      <c r="B11" s="5" t="s">
        <v>216</v>
      </c>
      <c r="C11" s="32">
        <f>C4^2*C7*C8*(C6/1000)*C5/2/(C9*10^9)/C10^2</f>
        <v>1882.7739735320145</v>
      </c>
      <c r="D11" s="7" t="s">
        <v>119</v>
      </c>
      <c r="E11" s="4"/>
    </row>
    <row r="12" spans="1:7">
      <c r="E12" s="4"/>
      <c r="G12" t="s">
        <v>212</v>
      </c>
    </row>
    <row r="13" spans="1:7">
      <c r="A13" s="7" t="s">
        <v>229</v>
      </c>
      <c r="B13" s="5" t="s">
        <v>230</v>
      </c>
      <c r="C13" s="54">
        <v>1</v>
      </c>
      <c r="D13" s="7" t="s">
        <v>1</v>
      </c>
      <c r="E13" s="4"/>
    </row>
    <row r="14" spans="1:7">
      <c r="A14" s="7" t="s">
        <v>241</v>
      </c>
      <c r="B14" s="5" t="s">
        <v>240</v>
      </c>
      <c r="C14" s="32">
        <f>C11/C13*C5/1000</f>
        <v>1.8827739735320144</v>
      </c>
      <c r="D14" s="7" t="s">
        <v>236</v>
      </c>
      <c r="E14" s="4"/>
    </row>
    <row r="16" spans="1:7">
      <c r="A16" s="22" t="s">
        <v>328</v>
      </c>
    </row>
    <row r="17" spans="1:7">
      <c r="A17" s="7" t="s">
        <v>229</v>
      </c>
      <c r="B17" s="5" t="s">
        <v>230</v>
      </c>
      <c r="C17" s="52">
        <f>(C11/C5/3.62/(C9*10^9)*C8^2)^(1/3)*1000</f>
        <v>0.66110793553045732</v>
      </c>
      <c r="D17" s="7" t="s">
        <v>1</v>
      </c>
      <c r="E17" s="4"/>
    </row>
    <row r="18" spans="1:7">
      <c r="A18" s="7" t="s">
        <v>227</v>
      </c>
      <c r="B18" s="5" t="s">
        <v>228</v>
      </c>
      <c r="C18" s="52">
        <f>C11/(C17/1000)/C5/10^6</f>
        <v>2.8479070849774648</v>
      </c>
      <c r="D18" s="7" t="s">
        <v>236</v>
      </c>
      <c r="E18" s="4"/>
      <c r="G18" t="s">
        <v>213</v>
      </c>
    </row>
    <row r="21" spans="1:7">
      <c r="A21" s="22" t="s">
        <v>237</v>
      </c>
    </row>
    <row r="22" spans="1:7">
      <c r="A22" s="7" t="s">
        <v>225</v>
      </c>
      <c r="B22" s="5" t="s">
        <v>226</v>
      </c>
      <c r="C22" s="27">
        <v>350</v>
      </c>
      <c r="D22" s="7" t="s">
        <v>236</v>
      </c>
      <c r="E22" s="4"/>
    </row>
    <row r="23" spans="1:7">
      <c r="A23" s="7" t="s">
        <v>229</v>
      </c>
      <c r="B23" s="5" t="s">
        <v>230</v>
      </c>
      <c r="C23" s="58">
        <f>C11/(C22*10^6)/C5*1000</f>
        <v>5.3793542100914696E-3</v>
      </c>
      <c r="D23" s="7" t="s">
        <v>1</v>
      </c>
      <c r="E23" s="4"/>
    </row>
    <row r="25" spans="1:7">
      <c r="A25" t="s">
        <v>243</v>
      </c>
      <c r="G25" t="s">
        <v>214</v>
      </c>
    </row>
    <row r="26" spans="1:7">
      <c r="A26" s="22" t="s">
        <v>242</v>
      </c>
      <c r="B26" s="53"/>
      <c r="C26" s="10"/>
      <c r="D26" s="10"/>
    </row>
    <row r="27" spans="1:7">
      <c r="C27" s="56"/>
      <c r="D27" s="57"/>
    </row>
    <row r="28" spans="1:7">
      <c r="C28" s="56"/>
      <c r="D28" s="57"/>
    </row>
    <row r="29" spans="1:7">
      <c r="C29" s="56"/>
      <c r="D29" s="57"/>
    </row>
    <row r="30" spans="1:7">
      <c r="C30" s="56"/>
      <c r="D30" s="57"/>
    </row>
    <row r="31" spans="1:7">
      <c r="C31" s="56"/>
      <c r="D31" s="57"/>
      <c r="G31" t="s">
        <v>224</v>
      </c>
    </row>
    <row r="32" spans="1:7">
      <c r="C32" s="56"/>
      <c r="D32" s="57"/>
    </row>
    <row r="33" spans="3:7">
      <c r="C33" s="56"/>
      <c r="D33" s="57"/>
    </row>
    <row r="34" spans="3:7">
      <c r="C34" s="56"/>
      <c r="D34" s="57"/>
    </row>
    <row r="35" spans="3:7">
      <c r="C35" s="56"/>
      <c r="D35" s="57"/>
    </row>
    <row r="36" spans="3:7">
      <c r="C36" s="56"/>
      <c r="D36" s="57"/>
    </row>
    <row r="37" spans="3:7">
      <c r="G37" t="s">
        <v>223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3:S63"/>
  <sheetViews>
    <sheetView zoomScale="85" zoomScaleNormal="85" workbookViewId="0">
      <selection activeCell="H49" sqref="H49"/>
    </sheetView>
  </sheetViews>
  <sheetFormatPr defaultRowHeight="15.05"/>
  <cols>
    <col min="2" max="2" width="22.33203125" customWidth="1"/>
    <col min="3" max="5" width="9.109375" bestFit="1" customWidth="1"/>
    <col min="6" max="6" width="9.88671875" customWidth="1"/>
    <col min="13" max="13" width="17.88671875" bestFit="1" customWidth="1"/>
    <col min="14" max="14" width="12.33203125" customWidth="1"/>
    <col min="15" max="15" width="10" bestFit="1" customWidth="1"/>
    <col min="16" max="16" width="9.44140625" customWidth="1"/>
    <col min="18" max="18" width="9.109375" bestFit="1" customWidth="1"/>
    <col min="19" max="19" width="10.33203125" customWidth="1"/>
  </cols>
  <sheetData>
    <row r="23" spans="1:19" ht="14.25" customHeight="1">
      <c r="A23" s="4"/>
      <c r="B23" s="116" t="s">
        <v>81</v>
      </c>
      <c r="C23" s="116"/>
      <c r="D23" s="4"/>
      <c r="E23" s="4"/>
      <c r="F23" s="4"/>
      <c r="G23" s="4"/>
      <c r="H23" s="4"/>
      <c r="I23" s="4"/>
      <c r="J23" s="4"/>
      <c r="K23" s="4"/>
      <c r="L23" s="4"/>
      <c r="M23" s="116" t="s">
        <v>80</v>
      </c>
      <c r="N23" s="116"/>
      <c r="O23" s="4"/>
      <c r="P23" s="4"/>
      <c r="Q23" s="4"/>
      <c r="R23" s="4"/>
      <c r="S23" s="4"/>
    </row>
    <row r="24" spans="1:19" ht="14.25" customHeight="1">
      <c r="A24" s="4"/>
      <c r="B24" s="116"/>
      <c r="C24" s="116"/>
      <c r="D24" s="4"/>
      <c r="E24" s="4"/>
      <c r="F24" s="4"/>
      <c r="G24" s="4"/>
      <c r="H24" s="4"/>
      <c r="I24" s="4"/>
      <c r="J24" s="4"/>
      <c r="K24" s="4"/>
      <c r="L24" s="4"/>
      <c r="M24" s="116"/>
      <c r="N24" s="116"/>
      <c r="O24" s="4"/>
      <c r="P24" s="4"/>
      <c r="Q24" s="4"/>
      <c r="R24" s="4"/>
      <c r="S24" s="4"/>
    </row>
    <row r="25" spans="1:19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</row>
    <row r="26" spans="1:19">
      <c r="A26" s="4"/>
      <c r="B26" s="103" t="s">
        <v>5</v>
      </c>
      <c r="C26" s="103"/>
      <c r="D26" s="103"/>
      <c r="E26" s="103"/>
      <c r="F26" s="4"/>
      <c r="G26" s="4"/>
      <c r="H26" s="4"/>
      <c r="I26" s="4"/>
      <c r="J26" s="4"/>
      <c r="K26" s="4"/>
      <c r="L26" s="4"/>
      <c r="M26" s="103" t="s">
        <v>27</v>
      </c>
      <c r="N26" s="103"/>
      <c r="O26" s="103"/>
      <c r="P26" s="103"/>
      <c r="Q26" s="4"/>
      <c r="R26" s="4"/>
      <c r="S26" s="4"/>
    </row>
    <row r="27" spans="1:19">
      <c r="A27" s="4"/>
      <c r="B27" s="1" t="s">
        <v>173</v>
      </c>
      <c r="C27" s="5" t="s">
        <v>0</v>
      </c>
      <c r="D27" s="6">
        <v>200</v>
      </c>
      <c r="E27" s="5" t="s">
        <v>1</v>
      </c>
      <c r="F27" s="4"/>
      <c r="G27" s="4"/>
      <c r="H27" s="4"/>
      <c r="I27" s="4"/>
      <c r="J27" s="4"/>
      <c r="K27" s="4"/>
      <c r="L27" s="4"/>
      <c r="M27" s="5" t="s">
        <v>11</v>
      </c>
      <c r="N27" s="5" t="s">
        <v>28</v>
      </c>
      <c r="O27" s="6">
        <v>11000</v>
      </c>
      <c r="P27" s="7" t="s">
        <v>23</v>
      </c>
      <c r="Q27" s="4"/>
      <c r="R27" s="5" t="s">
        <v>44</v>
      </c>
      <c r="S27" s="8">
        <f>1/2/O37/O27</f>
        <v>1.8181818181818184E-9</v>
      </c>
    </row>
    <row r="28" spans="1:19">
      <c r="A28" s="4"/>
      <c r="B28" s="1" t="s">
        <v>174</v>
      </c>
      <c r="C28" s="5" t="s">
        <v>2</v>
      </c>
      <c r="D28" s="6">
        <v>20</v>
      </c>
      <c r="E28" s="5" t="s">
        <v>1</v>
      </c>
      <c r="F28" s="4"/>
      <c r="G28" s="4"/>
      <c r="H28" s="4"/>
      <c r="I28" s="4"/>
      <c r="J28" s="4"/>
      <c r="K28" s="4"/>
      <c r="L28" s="4"/>
      <c r="M28" s="5" t="s">
        <v>12</v>
      </c>
      <c r="N28" s="5" t="s">
        <v>29</v>
      </c>
      <c r="O28" s="6">
        <v>16500</v>
      </c>
      <c r="P28" s="7" t="s">
        <v>24</v>
      </c>
      <c r="Q28" s="4"/>
      <c r="R28" s="5" t="s">
        <v>45</v>
      </c>
      <c r="S28" s="8">
        <f>1/2/O37/O28</f>
        <v>1.2121212121212122E-9</v>
      </c>
    </row>
    <row r="29" spans="1:19">
      <c r="A29" s="4"/>
      <c r="B29" s="1" t="s">
        <v>175</v>
      </c>
      <c r="C29" s="5" t="s">
        <v>64</v>
      </c>
      <c r="D29" s="6">
        <v>1.6</v>
      </c>
      <c r="E29" s="5" t="s">
        <v>1</v>
      </c>
      <c r="F29" s="4"/>
      <c r="G29" s="4"/>
      <c r="H29" s="4"/>
      <c r="I29" s="4"/>
      <c r="J29" s="4"/>
      <c r="K29" s="4"/>
      <c r="L29" s="4"/>
      <c r="M29" s="5" t="s">
        <v>13</v>
      </c>
      <c r="N29" s="5" t="s">
        <v>15</v>
      </c>
      <c r="O29" s="6">
        <v>1.6</v>
      </c>
      <c r="P29" s="7" t="s">
        <v>26</v>
      </c>
      <c r="Q29" s="4"/>
      <c r="R29" s="5" t="s">
        <v>46</v>
      </c>
      <c r="S29" s="8">
        <f>O34/O30</f>
        <v>558.33333333333337</v>
      </c>
    </row>
    <row r="30" spans="1:19">
      <c r="A30" s="4"/>
      <c r="B30" s="1" t="s">
        <v>176</v>
      </c>
      <c r="C30" s="5" t="s">
        <v>4</v>
      </c>
      <c r="D30" s="6">
        <v>30</v>
      </c>
      <c r="E30" s="5" t="s">
        <v>1</v>
      </c>
      <c r="F30" s="4"/>
      <c r="G30" s="4"/>
      <c r="H30" s="4"/>
      <c r="I30" s="4"/>
      <c r="J30" s="4"/>
      <c r="K30" s="4"/>
      <c r="L30" s="4"/>
      <c r="M30" s="117" t="s">
        <v>14</v>
      </c>
      <c r="N30" s="5" t="s">
        <v>30</v>
      </c>
      <c r="O30" s="6">
        <v>1.2</v>
      </c>
      <c r="P30" s="7" t="s">
        <v>1</v>
      </c>
      <c r="Q30" s="4"/>
      <c r="R30" s="5" t="s">
        <v>47</v>
      </c>
      <c r="S30" s="8">
        <f>O35/O31</f>
        <v>258.33333333333337</v>
      </c>
    </row>
    <row r="31" spans="1:19">
      <c r="A31" s="4"/>
      <c r="B31" s="1" t="s">
        <v>177</v>
      </c>
      <c r="C31" s="5" t="s">
        <v>3</v>
      </c>
      <c r="D31" s="5">
        <f>D27/2</f>
        <v>100</v>
      </c>
      <c r="E31" s="5" t="s">
        <v>1</v>
      </c>
      <c r="F31" s="4"/>
      <c r="G31" s="4"/>
      <c r="H31" s="4"/>
      <c r="I31" s="4"/>
      <c r="J31" s="4"/>
      <c r="K31" s="4"/>
      <c r="L31" s="4"/>
      <c r="M31" s="117"/>
      <c r="N31" s="5" t="s">
        <v>33</v>
      </c>
      <c r="O31" s="6">
        <v>1.2</v>
      </c>
      <c r="P31" s="7" t="s">
        <v>1</v>
      </c>
      <c r="Q31" s="4"/>
      <c r="R31" s="5" t="s">
        <v>48</v>
      </c>
      <c r="S31" s="8">
        <f>O36/O29</f>
        <v>125</v>
      </c>
    </row>
    <row r="32" spans="1:19">
      <c r="A32" s="4"/>
      <c r="F32" s="4"/>
      <c r="G32" s="4"/>
      <c r="H32" s="4"/>
      <c r="I32" s="4"/>
      <c r="J32" s="4"/>
      <c r="K32" s="4"/>
      <c r="L32" s="4"/>
      <c r="M32" s="5" t="s">
        <v>17</v>
      </c>
      <c r="N32" s="5" t="s">
        <v>16</v>
      </c>
      <c r="O32" s="6">
        <v>120</v>
      </c>
      <c r="P32" s="7" t="s">
        <v>1</v>
      </c>
      <c r="Q32" s="4"/>
      <c r="R32" s="4"/>
      <c r="S32" s="4"/>
    </row>
    <row r="33" spans="1:19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5" t="s">
        <v>19</v>
      </c>
      <c r="N33" s="5" t="s">
        <v>18</v>
      </c>
      <c r="O33" s="6">
        <v>-17274.762624327188</v>
      </c>
      <c r="P33" s="7" t="s">
        <v>25</v>
      </c>
      <c r="Q33" s="4"/>
      <c r="R33" s="4"/>
      <c r="S33" s="4"/>
    </row>
    <row r="34" spans="1:19">
      <c r="A34" s="4"/>
      <c r="B34" s="103" t="s">
        <v>8</v>
      </c>
      <c r="C34" s="103"/>
      <c r="D34" s="103" t="s">
        <v>9</v>
      </c>
      <c r="E34" s="103"/>
      <c r="F34" s="4"/>
      <c r="G34" s="4"/>
      <c r="H34" s="4"/>
      <c r="I34" s="4"/>
      <c r="J34" s="4"/>
      <c r="K34" s="4"/>
      <c r="L34" s="4"/>
      <c r="M34" s="5" t="s">
        <v>21</v>
      </c>
      <c r="N34" s="5" t="s">
        <v>31</v>
      </c>
      <c r="O34" s="6">
        <v>670</v>
      </c>
      <c r="P34" s="7" t="s">
        <v>1</v>
      </c>
      <c r="Q34" s="4"/>
      <c r="R34" s="4"/>
      <c r="S34" s="4"/>
    </row>
    <row r="35" spans="1:19">
      <c r="A35" s="4"/>
      <c r="B35" s="5" t="s">
        <v>6</v>
      </c>
      <c r="C35" s="6">
        <v>23286.799999999999</v>
      </c>
      <c r="D35" s="5" t="s">
        <v>10</v>
      </c>
      <c r="E35" s="9">
        <f>C35*1000*$D$31/$C$39</f>
        <v>225.95089008486855</v>
      </c>
      <c r="F35" s="4"/>
      <c r="G35" s="4"/>
      <c r="H35" s="4"/>
      <c r="I35" s="4"/>
      <c r="J35" s="4"/>
      <c r="K35" s="4"/>
      <c r="L35" s="4"/>
      <c r="M35" s="5" t="s">
        <v>21</v>
      </c>
      <c r="N35" s="5" t="s">
        <v>32</v>
      </c>
      <c r="O35" s="6">
        <v>310</v>
      </c>
      <c r="P35" s="7" t="s">
        <v>1</v>
      </c>
      <c r="Q35" s="4"/>
      <c r="R35" s="4"/>
      <c r="S35" s="4"/>
    </row>
    <row r="36" spans="1:19">
      <c r="A36" s="4"/>
      <c r="B36" s="5" t="s">
        <v>78</v>
      </c>
      <c r="C36" s="6">
        <v>11668.9</v>
      </c>
      <c r="D36" s="5" t="s">
        <v>10</v>
      </c>
      <c r="E36" s="9">
        <f>C36*1000*$D$31/$C$39</f>
        <v>113.22287052370109</v>
      </c>
      <c r="F36" s="4"/>
      <c r="G36" s="4"/>
      <c r="H36" s="4"/>
      <c r="I36" s="4"/>
      <c r="J36" s="4"/>
      <c r="K36" s="4"/>
      <c r="L36" s="4"/>
      <c r="M36" s="5" t="s">
        <v>22</v>
      </c>
      <c r="N36" s="5" t="s">
        <v>20</v>
      </c>
      <c r="O36" s="6">
        <v>200</v>
      </c>
      <c r="P36" s="7" t="s">
        <v>1</v>
      </c>
      <c r="Q36" s="4"/>
      <c r="R36" s="4"/>
      <c r="S36" s="4"/>
    </row>
    <row r="37" spans="1:19">
      <c r="A37" s="4"/>
      <c r="B37" s="5" t="s">
        <v>77</v>
      </c>
      <c r="C37" s="6">
        <v>4332.6000000000004</v>
      </c>
      <c r="D37" s="5" t="s">
        <v>10</v>
      </c>
      <c r="E37" s="9">
        <f>C37*1000*$D$31/$C$39</f>
        <v>42.039044711239903</v>
      </c>
      <c r="F37" s="4"/>
      <c r="G37" s="4"/>
      <c r="H37" s="4"/>
      <c r="I37" s="4"/>
      <c r="J37" s="4"/>
      <c r="K37" s="4"/>
      <c r="L37" s="4"/>
      <c r="M37" s="5" t="s">
        <v>39</v>
      </c>
      <c r="N37" s="5" t="s">
        <v>36</v>
      </c>
      <c r="O37" s="6">
        <v>25000</v>
      </c>
      <c r="P37" s="7" t="s">
        <v>38</v>
      </c>
      <c r="Q37" s="4"/>
      <c r="R37" s="4"/>
      <c r="S37" s="4"/>
    </row>
    <row r="38" spans="1:19">
      <c r="A38" s="4"/>
      <c r="B38" s="5" t="s">
        <v>79</v>
      </c>
      <c r="C38" s="6">
        <v>782.2</v>
      </c>
      <c r="D38" s="5" t="s">
        <v>10</v>
      </c>
      <c r="E38" s="9">
        <f>C38*1000*$D$31/$C$39</f>
        <v>7.5896553508590348</v>
      </c>
      <c r="F38" s="4"/>
      <c r="G38" s="4"/>
      <c r="H38" s="4"/>
      <c r="I38" s="4"/>
      <c r="J38" s="4"/>
      <c r="K38" s="4"/>
      <c r="L38" s="4"/>
      <c r="M38" s="5" t="s">
        <v>34</v>
      </c>
      <c r="N38" s="5" t="s">
        <v>63</v>
      </c>
      <c r="O38" s="7">
        <f>O33*O32</f>
        <v>-2072971.5149192626</v>
      </c>
      <c r="P38" s="7" t="s">
        <v>35</v>
      </c>
      <c r="Q38" s="4"/>
      <c r="R38" s="4"/>
      <c r="S38" s="4"/>
    </row>
    <row r="39" spans="1:19">
      <c r="A39" s="4"/>
      <c r="B39" s="5" t="s">
        <v>7</v>
      </c>
      <c r="C39" s="7">
        <f>(1/6)*D30*D28^3+(1/2)*D30*D28*(D27-D28)^2+(1/12)*D29*(D27-2*D28)^3</f>
        <v>10306133.333333334</v>
      </c>
      <c r="D39" s="7"/>
      <c r="E39" s="7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</row>
    <row r="40" spans="1:19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</row>
    <row r="41" spans="1:19">
      <c r="A41" s="4"/>
      <c r="B41" s="94" t="s">
        <v>270</v>
      </c>
      <c r="C41" s="96"/>
      <c r="D41" s="7"/>
      <c r="E41" s="5" t="s">
        <v>271</v>
      </c>
      <c r="F41" s="5" t="s">
        <v>272</v>
      </c>
      <c r="G41" s="4"/>
      <c r="H41" s="4"/>
      <c r="I41" s="4"/>
      <c r="J41" s="4"/>
      <c r="K41" s="4"/>
      <c r="L41" s="4"/>
      <c r="M41" s="4"/>
      <c r="N41" s="10" t="s">
        <v>40</v>
      </c>
      <c r="O41" s="10" t="s">
        <v>41</v>
      </c>
      <c r="P41" s="10" t="s">
        <v>42</v>
      </c>
      <c r="Q41" s="4"/>
      <c r="R41" s="4"/>
      <c r="S41" s="10" t="s">
        <v>43</v>
      </c>
    </row>
    <row r="42" spans="1:19">
      <c r="B42" s="5" t="s">
        <v>71</v>
      </c>
      <c r="C42" s="5" t="s">
        <v>72</v>
      </c>
      <c r="D42" s="7" t="s">
        <v>133</v>
      </c>
      <c r="E42" s="5">
        <v>70</v>
      </c>
      <c r="F42" s="7">
        <v>73</v>
      </c>
      <c r="H42" s="4"/>
      <c r="I42" s="4"/>
      <c r="J42" s="4"/>
      <c r="K42" s="4"/>
      <c r="L42" s="4"/>
      <c r="M42" s="4"/>
      <c r="N42" s="11">
        <f>2*O27</f>
        <v>22000</v>
      </c>
      <c r="O42" s="4">
        <f>O28*2</f>
        <v>33000</v>
      </c>
      <c r="P42" s="12">
        <v>0</v>
      </c>
      <c r="Q42" s="13" t="s">
        <v>40</v>
      </c>
      <c r="R42" s="4"/>
      <c r="S42" s="14">
        <f>O38</f>
        <v>-2072971.5149192626</v>
      </c>
    </row>
    <row r="43" spans="1:19">
      <c r="B43" s="5" t="s">
        <v>73</v>
      </c>
      <c r="C43" s="5" t="s">
        <v>74</v>
      </c>
      <c r="D43" s="5"/>
      <c r="E43" s="5">
        <v>0.3</v>
      </c>
      <c r="F43" s="7">
        <v>0.36</v>
      </c>
      <c r="H43" s="4"/>
      <c r="I43" s="4"/>
      <c r="J43" s="4"/>
      <c r="K43" s="4"/>
      <c r="L43" s="4"/>
      <c r="M43" s="4" t="s">
        <v>57</v>
      </c>
      <c r="N43" s="11">
        <f>O36</f>
        <v>200</v>
      </c>
      <c r="O43" s="4">
        <f>-O36</f>
        <v>-200</v>
      </c>
      <c r="P43" s="12">
        <f>-O36</f>
        <v>-200</v>
      </c>
      <c r="Q43" s="13" t="s">
        <v>50</v>
      </c>
      <c r="R43" s="10" t="s">
        <v>49</v>
      </c>
      <c r="S43" s="14">
        <f>O33</f>
        <v>-17274.762624327188</v>
      </c>
    </row>
    <row r="44" spans="1:19">
      <c r="A44" s="4"/>
      <c r="B44" s="5" t="s">
        <v>39</v>
      </c>
      <c r="C44" s="5" t="s">
        <v>36</v>
      </c>
      <c r="D44" s="7" t="s">
        <v>133</v>
      </c>
      <c r="E44" s="15">
        <f>E42/2/(1+E43)</f>
        <v>26.923076923076923</v>
      </c>
      <c r="F44" s="15">
        <f>F42/2/(1+F43)</f>
        <v>26.838235294117649</v>
      </c>
      <c r="H44" s="4"/>
      <c r="I44" s="4"/>
      <c r="J44" s="4"/>
      <c r="K44" s="4"/>
      <c r="L44" s="4"/>
      <c r="M44" s="4"/>
      <c r="N44" s="16">
        <f>S27*S29</f>
        <v>1.0151515151515154E-6</v>
      </c>
      <c r="O44" s="17">
        <f>-S28*S30</f>
        <v>-3.1313131313131319E-7</v>
      </c>
      <c r="P44" s="18">
        <f>S27*S31+S28*S31</f>
        <v>3.7878787878787886E-7</v>
      </c>
      <c r="Q44" s="13" t="s">
        <v>42</v>
      </c>
      <c r="R44" s="4"/>
      <c r="S44" s="14">
        <v>0</v>
      </c>
    </row>
    <row r="45" spans="1:19">
      <c r="A45" s="4"/>
      <c r="B45" s="5" t="s">
        <v>75</v>
      </c>
      <c r="C45" s="5" t="s">
        <v>76</v>
      </c>
      <c r="D45" s="7" t="s">
        <v>133</v>
      </c>
      <c r="E45" s="15">
        <f>E42/3/(1-2*E43)</f>
        <v>58.333333333333329</v>
      </c>
      <c r="F45" s="15">
        <f>F42/3/(1-2*F43)</f>
        <v>86.904761904761898</v>
      </c>
      <c r="H45" s="4"/>
      <c r="I45" s="4"/>
      <c r="J45" s="4"/>
      <c r="K45" s="4"/>
      <c r="L45" s="4"/>
      <c r="M45" s="4"/>
      <c r="N45" s="17"/>
      <c r="O45" s="17"/>
      <c r="P45" s="17"/>
      <c r="Q45" s="13"/>
      <c r="R45" s="4"/>
      <c r="S45" s="4"/>
    </row>
    <row r="46" spans="1:19">
      <c r="A46" s="4"/>
      <c r="B46" s="5" t="s">
        <v>335</v>
      </c>
      <c r="C46" s="5"/>
      <c r="D46" s="92" t="s">
        <v>182</v>
      </c>
      <c r="E46" s="8">
        <v>2780</v>
      </c>
      <c r="F46" s="8">
        <v>2810</v>
      </c>
      <c r="G46" s="4"/>
      <c r="H46" s="4"/>
      <c r="I46" s="4"/>
      <c r="J46" s="13"/>
      <c r="K46" s="4"/>
      <c r="L46" s="4"/>
      <c r="M46" s="4"/>
      <c r="N46" s="4" t="s">
        <v>82</v>
      </c>
      <c r="O46" s="4"/>
      <c r="P46" s="4"/>
      <c r="Q46" s="4" t="s">
        <v>83</v>
      </c>
      <c r="R46" s="4"/>
      <c r="S46" s="4"/>
    </row>
    <row r="47" spans="1:19">
      <c r="A47" s="4"/>
      <c r="E47" s="4"/>
      <c r="F47" s="4"/>
      <c r="G47" s="4"/>
      <c r="H47" s="4"/>
      <c r="I47" s="4"/>
      <c r="J47" s="13"/>
      <c r="K47" s="4"/>
      <c r="L47" s="4"/>
      <c r="M47" s="4"/>
      <c r="N47" s="13" t="s">
        <v>51</v>
      </c>
      <c r="O47" s="19">
        <f t="array" ref="O47:O49">MMULT(MINVERSE(N42:P44),S42:S44)</f>
        <v>-41.063544383764061</v>
      </c>
      <c r="P47" s="4"/>
      <c r="Q47" s="20" t="s">
        <v>54</v>
      </c>
      <c r="R47" s="21">
        <f>O47/O30</f>
        <v>-34.219620319803383</v>
      </c>
      <c r="S47" s="7" t="s">
        <v>37</v>
      </c>
    </row>
    <row r="48" spans="1:19">
      <c r="A48" s="4"/>
      <c r="B48" s="7" t="s">
        <v>231</v>
      </c>
      <c r="C48" s="7">
        <v>324</v>
      </c>
      <c r="D48" s="7" t="s">
        <v>232</v>
      </c>
      <c r="E48" s="4"/>
      <c r="F48" s="4"/>
      <c r="G48" s="4"/>
      <c r="H48" s="4"/>
      <c r="I48" s="4"/>
      <c r="J48" s="13"/>
      <c r="K48" s="4"/>
      <c r="L48" s="4"/>
      <c r="M48" s="4" t="s">
        <v>69</v>
      </c>
      <c r="N48" s="13" t="s">
        <v>52</v>
      </c>
      <c r="O48" s="19">
        <v>-35.441622378074342</v>
      </c>
      <c r="P48" s="4"/>
      <c r="Q48" s="20" t="s">
        <v>55</v>
      </c>
      <c r="R48" s="21">
        <f>O48/O31</f>
        <v>-29.534685315061953</v>
      </c>
      <c r="S48" s="7" t="s">
        <v>37</v>
      </c>
    </row>
    <row r="49" spans="1:19">
      <c r="A49" s="4"/>
      <c r="B49" s="7" t="s">
        <v>233</v>
      </c>
      <c r="C49" s="7">
        <v>187.1</v>
      </c>
      <c r="D49" s="7" t="s">
        <v>232</v>
      </c>
      <c r="E49" s="4"/>
      <c r="F49" s="4"/>
      <c r="G49" s="4"/>
      <c r="H49" s="4"/>
      <c r="I49" s="4"/>
      <c r="J49" s="4"/>
      <c r="K49" s="4"/>
      <c r="L49" s="4"/>
      <c r="M49" s="22" t="s">
        <v>70</v>
      </c>
      <c r="N49" s="13" t="s">
        <v>53</v>
      </c>
      <c r="O49" s="19">
        <v>80.751891115946236</v>
      </c>
      <c r="P49" s="4"/>
      <c r="Q49" s="20" t="s">
        <v>56</v>
      </c>
      <c r="R49" s="21">
        <f>O49/O29</f>
        <v>50.469931947466392</v>
      </c>
      <c r="S49" s="7" t="s">
        <v>37</v>
      </c>
    </row>
    <row r="50" spans="1:19">
      <c r="A50" s="4"/>
      <c r="B50" s="7" t="s">
        <v>234</v>
      </c>
      <c r="C50" s="7">
        <v>350</v>
      </c>
      <c r="D50" s="7" t="s">
        <v>235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</row>
    <row r="51" spans="1:19">
      <c r="A51" s="4"/>
      <c r="B51" s="7"/>
      <c r="C51" s="7"/>
      <c r="D51" s="7"/>
      <c r="E51" s="4"/>
      <c r="F51" s="4"/>
      <c r="G51" s="4"/>
      <c r="H51" s="4"/>
      <c r="I51" s="4"/>
      <c r="J51" s="4"/>
      <c r="K51" s="4"/>
      <c r="L51" s="4"/>
      <c r="N51" s="5" t="s">
        <v>59</v>
      </c>
      <c r="O51" s="23">
        <f>(O47-O48-O49)*O36</f>
        <v>-17274.762624327188</v>
      </c>
      <c r="P51" s="7" t="s">
        <v>25</v>
      </c>
      <c r="Q51" s="4"/>
      <c r="R51" s="4"/>
      <c r="S51" s="4"/>
    </row>
    <row r="52" spans="1:19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N52" s="5" t="s">
        <v>58</v>
      </c>
      <c r="O52" s="7">
        <f>2*O27*O47+2*O28*O48</f>
        <v>-2072971.5149192628</v>
      </c>
      <c r="P52" s="7" t="s">
        <v>35</v>
      </c>
      <c r="Q52" s="4"/>
      <c r="R52" s="4"/>
      <c r="S52" s="4"/>
    </row>
    <row r="53" spans="1:19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114" t="s">
        <v>178</v>
      </c>
      <c r="N53" s="5" t="s">
        <v>60</v>
      </c>
      <c r="O53" s="24">
        <f>S27*(S29*O47+S31*O49)</f>
        <v>-2.3333016772318169E-5</v>
      </c>
      <c r="P53" s="7" t="s">
        <v>62</v>
      </c>
      <c r="Q53" s="4"/>
      <c r="R53" s="4"/>
      <c r="S53" s="4"/>
    </row>
    <row r="54" spans="1:19">
      <c r="A54" s="4"/>
      <c r="B54" s="4"/>
      <c r="C54" s="4"/>
      <c r="D54" s="4"/>
      <c r="E54" s="4"/>
      <c r="F54" s="4"/>
      <c r="G54" s="4"/>
      <c r="H54" s="4"/>
      <c r="I54" s="4"/>
      <c r="J54" s="17"/>
      <c r="K54" s="4"/>
      <c r="L54" s="17"/>
      <c r="M54" s="115"/>
      <c r="N54" s="5" t="s">
        <v>61</v>
      </c>
      <c r="O54" s="24">
        <f>S28*(S30*O48-S31*O49)</f>
        <v>-2.3333016772318165E-5</v>
      </c>
      <c r="P54" s="7" t="s">
        <v>62</v>
      </c>
      <c r="Q54" s="4"/>
      <c r="R54" s="4"/>
      <c r="S54" s="4"/>
    </row>
    <row r="55" spans="1:19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</row>
    <row r="56" spans="1:19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</row>
    <row r="57" spans="1:19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</row>
    <row r="58" spans="1:19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</row>
    <row r="59" spans="1:1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</row>
    <row r="60" spans="1:19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</row>
    <row r="61" spans="1:19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</row>
    <row r="62" spans="1:19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</row>
    <row r="63" spans="1:19">
      <c r="M63" s="4"/>
      <c r="N63" s="4"/>
      <c r="O63" s="4"/>
      <c r="P63" s="4"/>
      <c r="Q63" s="4"/>
      <c r="R63" s="4"/>
      <c r="S63" s="4"/>
    </row>
  </sheetData>
  <mergeCells count="9">
    <mergeCell ref="M53:M54"/>
    <mergeCell ref="B23:C24"/>
    <mergeCell ref="M23:N24"/>
    <mergeCell ref="B34:C34"/>
    <mergeCell ref="D34:E34"/>
    <mergeCell ref="M30:M31"/>
    <mergeCell ref="M26:P26"/>
    <mergeCell ref="B26:E26"/>
    <mergeCell ref="B41:C41"/>
  </mergeCells>
  <phoneticPr fontId="1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tabSelected="1" zoomScale="86" zoomScaleNormal="70" workbookViewId="0">
      <selection activeCell="X17" sqref="X17"/>
    </sheetView>
  </sheetViews>
  <sheetFormatPr defaultRowHeight="15.0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Idealize Boom area</vt:lpstr>
      <vt:lpstr>Example</vt:lpstr>
      <vt:lpstr>Stringer-Panel</vt:lpstr>
      <vt:lpstr>Spar web</vt:lpstr>
      <vt:lpstr>D section</vt:lpstr>
      <vt:lpstr>Ribs</vt:lpstr>
      <vt:lpstr>Wing box structural sizing</vt:lpstr>
      <vt:lpstr>Wing design flow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2023-02-05T20:43:17Z</dcterms:modified>
</cp:coreProperties>
</file>