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nt delete folder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6" l="1"/>
  <c r="F33" i="6"/>
  <c r="F34" i="6"/>
  <c r="F35" i="6"/>
  <c r="F36" i="6"/>
  <c r="F37" i="6"/>
  <c r="F31" i="6"/>
  <c r="E32" i="6"/>
  <c r="E33" i="6"/>
  <c r="E34" i="6"/>
  <c r="E35" i="6"/>
  <c r="E36" i="6"/>
  <c r="E37" i="6"/>
  <c r="E31" i="6"/>
  <c r="F26" i="6"/>
  <c r="F27" i="6"/>
  <c r="F28" i="6"/>
  <c r="F25" i="6"/>
  <c r="E26" i="6"/>
  <c r="E27" i="6"/>
  <c r="E28" i="6"/>
  <c r="E25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4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L9" i="5" l="1"/>
  <c r="L10" i="5"/>
  <c r="L11" i="5"/>
  <c r="L12" i="5"/>
  <c r="L13" i="5"/>
  <c r="L14" i="5"/>
  <c r="L15" i="5"/>
  <c r="L16" i="5"/>
  <c r="L17" i="5"/>
  <c r="L8" i="5"/>
  <c r="K9" i="5"/>
  <c r="K10" i="5"/>
  <c r="K11" i="5"/>
  <c r="K12" i="5"/>
  <c r="K13" i="5"/>
  <c r="K14" i="5"/>
  <c r="K15" i="5"/>
  <c r="K16" i="5"/>
  <c r="K17" i="5"/>
  <c r="K8" i="5"/>
  <c r="J9" i="5"/>
  <c r="J10" i="5"/>
  <c r="J11" i="5"/>
  <c r="J12" i="5"/>
  <c r="J13" i="5"/>
  <c r="J14" i="5"/>
  <c r="J15" i="5"/>
  <c r="J16" i="5"/>
  <c r="J17" i="5"/>
  <c r="J8" i="5"/>
  <c r="B10" i="5"/>
  <c r="B11" i="5"/>
  <c r="B12" i="5"/>
  <c r="B13" i="5"/>
  <c r="B14" i="5" s="1"/>
  <c r="B15" i="5" s="1"/>
  <c r="B16" i="5" s="1"/>
  <c r="B17" i="5" s="1"/>
  <c r="B9" i="5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5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6" i="4"/>
  <c r="K4" i="3" l="1"/>
  <c r="K5" i="3"/>
  <c r="K6" i="3"/>
  <c r="K7" i="3"/>
  <c r="K8" i="3"/>
  <c r="K9" i="3"/>
  <c r="K3" i="3"/>
  <c r="J4" i="3"/>
  <c r="J5" i="3"/>
  <c r="J6" i="3"/>
  <c r="J7" i="3"/>
  <c r="J8" i="3"/>
  <c r="J9" i="3"/>
  <c r="J3" i="3"/>
  <c r="H4" i="3"/>
  <c r="H5" i="3"/>
  <c r="H6" i="3"/>
  <c r="H7" i="3"/>
  <c r="H8" i="3"/>
  <c r="H9" i="3"/>
  <c r="H3" i="3"/>
  <c r="G4" i="3"/>
  <c r="G5" i="3"/>
  <c r="G6" i="3"/>
  <c r="G7" i="3"/>
  <c r="G8" i="3"/>
  <c r="G9" i="3"/>
  <c r="G3" i="3"/>
  <c r="F4" i="3" l="1"/>
  <c r="F5" i="3"/>
  <c r="F6" i="3"/>
  <c r="F7" i="3"/>
  <c r="F8" i="3"/>
  <c r="F9" i="3"/>
  <c r="F3" i="3"/>
  <c r="E4" i="3"/>
  <c r="E5" i="3"/>
  <c r="E6" i="3"/>
  <c r="E7" i="3"/>
  <c r="E8" i="3"/>
  <c r="E9" i="3"/>
  <c r="E3" i="3"/>
  <c r="A4" i="3"/>
  <c r="A5" i="3" s="1"/>
  <c r="A6" i="3" s="1"/>
  <c r="A7" i="3" s="1"/>
  <c r="A8" i="3" s="1"/>
  <c r="A9" i="3" s="1"/>
  <c r="G4" i="2" l="1"/>
  <c r="G5" i="2"/>
  <c r="G3" i="2"/>
  <c r="F4" i="2"/>
  <c r="F5" i="2"/>
  <c r="F3" i="2"/>
  <c r="E4" i="2"/>
  <c r="E5" i="2"/>
  <c r="E3" i="2"/>
  <c r="D4" i="2"/>
  <c r="D5" i="2"/>
  <c r="D3" i="2"/>
  <c r="A4" i="2"/>
  <c r="A5" i="2" s="1"/>
  <c r="D21" i="2"/>
  <c r="D20" i="2"/>
  <c r="D19" i="2"/>
  <c r="T7" i="1"/>
  <c r="T8" i="1"/>
  <c r="T9" i="1"/>
  <c r="T10" i="1"/>
  <c r="T11" i="1"/>
  <c r="T6" i="1"/>
  <c r="S7" i="1"/>
  <c r="S8" i="1"/>
  <c r="S9" i="1"/>
  <c r="S10" i="1"/>
  <c r="S11" i="1"/>
  <c r="S6" i="1"/>
  <c r="R7" i="1"/>
  <c r="R8" i="1"/>
  <c r="R9" i="1"/>
  <c r="R10" i="1"/>
  <c r="R11" i="1"/>
  <c r="R6" i="1"/>
  <c r="U6" i="1" l="1"/>
  <c r="V6" i="1"/>
  <c r="U7" i="1"/>
  <c r="V7" i="1"/>
  <c r="U8" i="1"/>
  <c r="V8" i="1"/>
  <c r="U9" i="1"/>
  <c r="V9" i="1"/>
  <c r="U10" i="1"/>
  <c r="V10" i="1"/>
  <c r="U11" i="1"/>
  <c r="V11" i="1"/>
  <c r="P7" i="1"/>
  <c r="P8" i="1"/>
  <c r="P9" i="1"/>
  <c r="P10" i="1"/>
  <c r="P11" i="1"/>
  <c r="P6" i="1"/>
  <c r="O7" i="1"/>
  <c r="O8" i="1"/>
  <c r="O9" i="1"/>
  <c r="O10" i="1"/>
  <c r="O11" i="1"/>
  <c r="O6" i="1"/>
  <c r="O23" i="1"/>
  <c r="O22" i="1"/>
  <c r="O21" i="1"/>
  <c r="L7" i="1" l="1"/>
  <c r="L8" i="1" s="1"/>
  <c r="L9" i="1" s="1"/>
  <c r="L10" i="1" s="1"/>
  <c r="L11" i="1" s="1"/>
  <c r="G19" i="1"/>
  <c r="H19" i="1" s="1"/>
  <c r="I19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0" i="1"/>
  <c r="H10" i="1" s="1"/>
  <c r="I10" i="1" s="1"/>
  <c r="D22" i="1"/>
  <c r="E22" i="1"/>
  <c r="F22" i="1"/>
  <c r="C22" i="1"/>
  <c r="D20" i="1"/>
  <c r="D21" i="1" s="1"/>
  <c r="E20" i="1"/>
  <c r="E21" i="1" s="1"/>
  <c r="F20" i="1"/>
  <c r="F21" i="1" s="1"/>
  <c r="C20" i="1"/>
  <c r="C21" i="1" s="1"/>
  <c r="A11" i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<sst xmlns="http://schemas.openxmlformats.org/spreadsheetml/2006/main" count="401" uniqueCount="192">
  <si>
    <t>DAFTAR NILAI MAHASISWA</t>
  </si>
  <si>
    <t>SEMESTER GANJIL 2007/2008</t>
  </si>
  <si>
    <t>UNIVERSITAS  ISLAM DUTA INDONESIA</t>
  </si>
  <si>
    <t>MATA KULIAH : ALJABAR LINIER</t>
  </si>
  <si>
    <t>GROUP : C</t>
  </si>
  <si>
    <t>NIM</t>
  </si>
  <si>
    <t>TGS1</t>
  </si>
  <si>
    <t>TGS2</t>
  </si>
  <si>
    <t>TTS</t>
  </si>
  <si>
    <t>TAS</t>
  </si>
  <si>
    <t>NILAI</t>
  </si>
  <si>
    <t>ANGKA</t>
  </si>
  <si>
    <t>HURUF</t>
  </si>
  <si>
    <t>KETERANGAN</t>
  </si>
  <si>
    <t>NAMA</t>
  </si>
  <si>
    <t>SHANDY GITA</t>
  </si>
  <si>
    <t>YOHANNES PUTRA</t>
  </si>
  <si>
    <t>RONI ANGGARA</t>
  </si>
  <si>
    <t>GO KIEM LIONG</t>
  </si>
  <si>
    <t>PAULA WINDY</t>
  </si>
  <si>
    <t>FONA ANDRIANTO</t>
  </si>
  <si>
    <t>ROY NALDO</t>
  </si>
  <si>
    <t>YONGKY SETIAWAN</t>
  </si>
  <si>
    <t>MATHEUS BIMA</t>
  </si>
  <si>
    <t>THERELIE</t>
  </si>
  <si>
    <t>NILAI TERTINGGI</t>
  </si>
  <si>
    <t>NILAI TERENDAH</t>
  </si>
  <si>
    <t>RATA-RATA</t>
  </si>
  <si>
    <t>DAFTAR PESERTA UJIAN PELATIHAN KOMPUTER</t>
  </si>
  <si>
    <t>DUTA TRAINING CENTER</t>
  </si>
  <si>
    <t>UNIVERSITAS</t>
  </si>
  <si>
    <t>NO</t>
  </si>
  <si>
    <t>KODE</t>
  </si>
  <si>
    <t>MATERI</t>
  </si>
  <si>
    <t>BIAYA</t>
  </si>
  <si>
    <t>WAKTU</t>
  </si>
  <si>
    <t>KELAS</t>
  </si>
  <si>
    <t>ARDI</t>
  </si>
  <si>
    <t>BOBBY</t>
  </si>
  <si>
    <t>JONI</t>
  </si>
  <si>
    <t>A-P-050</t>
  </si>
  <si>
    <t>B-S-041</t>
  </si>
  <si>
    <t>C-P-042</t>
  </si>
  <si>
    <t>D-S-170</t>
  </si>
  <si>
    <t>A-M-010</t>
  </si>
  <si>
    <t>B-M-151</t>
  </si>
  <si>
    <t>SETIAWAN</t>
  </si>
  <si>
    <t>AGUS</t>
  </si>
  <si>
    <t>RUDY</t>
  </si>
  <si>
    <t>P</t>
  </si>
  <si>
    <t>S</t>
  </si>
  <si>
    <t>M</t>
  </si>
  <si>
    <t>MALAM</t>
  </si>
  <si>
    <t>SIANG</t>
  </si>
  <si>
    <t>PAGI</t>
  </si>
  <si>
    <t>Ms Word</t>
  </si>
  <si>
    <t>Ms Excel</t>
  </si>
  <si>
    <t>Java</t>
  </si>
  <si>
    <t>VB. Net</t>
  </si>
  <si>
    <t>A</t>
  </si>
  <si>
    <t>B</t>
  </si>
  <si>
    <t>C</t>
  </si>
  <si>
    <t>D</t>
  </si>
  <si>
    <t>LEFT(L22;3)</t>
  </si>
  <si>
    <t>RIGHT(L23;3)</t>
  </si>
  <si>
    <t>MID(L21;4;5)</t>
  </si>
  <si>
    <t xml:space="preserve">          </t>
  </si>
  <si>
    <t>DISCOUNT</t>
  </si>
  <si>
    <t>TOTAL BAYAR</t>
  </si>
  <si>
    <t>PERTEMUAN</t>
  </si>
  <si>
    <t>BAYAR</t>
  </si>
  <si>
    <t>No</t>
  </si>
  <si>
    <t>Nama</t>
  </si>
  <si>
    <t xml:space="preserve"> Tgl. Masuk</t>
  </si>
  <si>
    <t>Nomor Lantai (2)</t>
  </si>
  <si>
    <t>Harga Kamar (2)</t>
  </si>
  <si>
    <t>Jenis Kamar (3)</t>
  </si>
  <si>
    <t>Biaya Listrik (4)</t>
  </si>
  <si>
    <t>Tgl. Keluar</t>
  </si>
  <si>
    <t>Kode Check In</t>
  </si>
  <si>
    <t>Lama Inap (5)</t>
  </si>
  <si>
    <t>Total Biaya (6)</t>
  </si>
  <si>
    <t>Kris Tamahari</t>
  </si>
  <si>
    <t>Vivian smith</t>
  </si>
  <si>
    <t>Kate Rualowy</t>
  </si>
  <si>
    <t>Nora Mita</t>
  </si>
  <si>
    <t>Peter Reynolds</t>
  </si>
  <si>
    <t>Marama Takarami</t>
  </si>
  <si>
    <t>whetu Ramabhun</t>
  </si>
  <si>
    <t>HARGA KAMAR</t>
  </si>
  <si>
    <t>TABEL HARGA</t>
  </si>
  <si>
    <t>TABEL JENIS</t>
  </si>
  <si>
    <t>KODE JENIS</t>
  </si>
  <si>
    <t>JENIS KAMAR</t>
  </si>
  <si>
    <t>BIAYA LISTRIK</t>
  </si>
  <si>
    <t>N</t>
  </si>
  <si>
    <t>V</t>
  </si>
  <si>
    <t>Non AC</t>
  </si>
  <si>
    <t>AC</t>
  </si>
  <si>
    <t>Super</t>
  </si>
  <si>
    <t>AA</t>
  </si>
  <si>
    <t>AB</t>
  </si>
  <si>
    <t>AD</t>
  </si>
  <si>
    <t>AE</t>
  </si>
  <si>
    <t>AD2V</t>
  </si>
  <si>
    <t>AB3N</t>
  </si>
  <si>
    <t>AE2A</t>
  </si>
  <si>
    <t>AC3S</t>
  </si>
  <si>
    <t>AA3A</t>
  </si>
  <si>
    <t>AB1S</t>
  </si>
  <si>
    <t>AE1N</t>
  </si>
  <si>
    <t>VIP</t>
  </si>
  <si>
    <t>HARGA</t>
  </si>
  <si>
    <t>HOTEL GUJI</t>
  </si>
  <si>
    <t>LAPORAN PENGHASILAN</t>
  </si>
  <si>
    <t>TIPE</t>
  </si>
  <si>
    <t>JUNITA PURWATI</t>
  </si>
  <si>
    <t>M CHALIK CHAMIM</t>
  </si>
  <si>
    <t>SUHARTANTO</t>
  </si>
  <si>
    <t>INDAH YULIANI</t>
  </si>
  <si>
    <t>ROBERT DARMONO</t>
  </si>
  <si>
    <t>JULIUS AKBAR</t>
  </si>
  <si>
    <t>YUDI SIWANTO</t>
  </si>
  <si>
    <t>INDAH RAHAYU</t>
  </si>
  <si>
    <t>NIKEN ENDAH</t>
  </si>
  <si>
    <t>MARSYIAH</t>
  </si>
  <si>
    <t>CHRISTINA</t>
  </si>
  <si>
    <t>AGUSTIN</t>
  </si>
  <si>
    <t>DWI ERNAWATI</t>
  </si>
  <si>
    <t>HENDRA WIJAYA</t>
  </si>
  <si>
    <t>T</t>
  </si>
  <si>
    <t>TIPE KAMAR</t>
  </si>
  <si>
    <t>SINGLE</t>
  </si>
  <si>
    <t>DOUBLE</t>
  </si>
  <si>
    <t>FAMILY</t>
  </si>
  <si>
    <t>TARIF KAMAR</t>
  </si>
  <si>
    <t>NAMA KAMAR</t>
  </si>
  <si>
    <t>DELUXE</t>
  </si>
  <si>
    <t>SUPERIOR</t>
  </si>
  <si>
    <t>STANDAR</t>
  </si>
  <si>
    <t>TARIF</t>
  </si>
  <si>
    <t>FUNGSI COUNTif</t>
  </si>
  <si>
    <t>GAJI/HARI</t>
  </si>
  <si>
    <t>NAMA PEGAWAI</t>
  </si>
  <si>
    <t>ABSENSI</t>
  </si>
  <si>
    <t>SENIN</t>
  </si>
  <si>
    <t>SELASA</t>
  </si>
  <si>
    <t>RABU</t>
  </si>
  <si>
    <t>KAMIS</t>
  </si>
  <si>
    <t>JUMAT</t>
  </si>
  <si>
    <t>SABTU</t>
  </si>
  <si>
    <t>JUMLAH</t>
  </si>
  <si>
    <t>HADIR</t>
  </si>
  <si>
    <t>ABSEN</t>
  </si>
  <si>
    <t>GAJI</t>
  </si>
  <si>
    <t>AS</t>
  </si>
  <si>
    <t>F</t>
  </si>
  <si>
    <t>FG</t>
  </si>
  <si>
    <t>HG</t>
  </si>
  <si>
    <t>W</t>
  </si>
  <si>
    <t>WW</t>
  </si>
  <si>
    <t>x</t>
  </si>
  <si>
    <t>a</t>
  </si>
  <si>
    <t>No.</t>
  </si>
  <si>
    <t>TANGGAL</t>
  </si>
  <si>
    <t>NAMA SALES</t>
  </si>
  <si>
    <t>KODE TIPE KENDARAAN</t>
  </si>
  <si>
    <t>JML. UNIT</t>
  </si>
  <si>
    <t>HARGA/UNIT</t>
  </si>
  <si>
    <t>PENJUALAN</t>
  </si>
  <si>
    <t>KOMISI</t>
  </si>
  <si>
    <t>INTAN</t>
  </si>
  <si>
    <t>FERRY</t>
  </si>
  <si>
    <t>DIAN HARDIANTO</t>
  </si>
  <si>
    <t>FAKHRUDIN</t>
  </si>
  <si>
    <t>DEWI</t>
  </si>
  <si>
    <t>EVELYNE</t>
  </si>
  <si>
    <t>DWIARSO</t>
  </si>
  <si>
    <t>SX</t>
  </si>
  <si>
    <t>MP</t>
  </si>
  <si>
    <t>RE</t>
  </si>
  <si>
    <t>SF</t>
  </si>
  <si>
    <t>SUPRA X</t>
  </si>
  <si>
    <t>SUPRA FIT</t>
  </si>
  <si>
    <t>MEGA PRO</t>
  </si>
  <si>
    <t>REVO</t>
  </si>
  <si>
    <t>TIPE KENDARAAN</t>
  </si>
  <si>
    <t>NILAI PENJUALAN</t>
  </si>
  <si>
    <t>JML.</t>
  </si>
  <si>
    <t xml:space="preserve">TIPE KENDARAAN </t>
  </si>
  <si>
    <t>KOMISI=1%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</si>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</sst>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1" fontId="0" fillId="0" borderId="1" xfId="0" applyNumberFormat="1" applyBorder="1"/>
    <xf numFmtId="14" fontId="0" fillId="0" borderId="1" xfId="0" applyNumberFormat="1" applyBorder="1"/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/>
    <xf numFmtId="0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15" fontId="0" fillId="0" borderId="1" xfId="0" applyNumberFormat="1" applyBorder="1" applyAlignment="1">
      <alignment horizontal="center"/>
    </xf>
    <xf numFmtId="42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P19" sqref="P19"/>
    </sheetView>
  </sheetViews>
  <sheetFormatPr defaultRowHeight="15" x14ac:dyDescent="0.25"/>
  <cols>
    <col min="1" max="1" width="11.28515625" customWidth="1"/>
    <col min="2" max="2" width="19" customWidth="1"/>
    <col min="3" max="3" width="6" customWidth="1"/>
    <col min="4" max="4" width="5.85546875" customWidth="1"/>
    <col min="12" max="12" width="6.28515625" customWidth="1"/>
    <col min="14" max="14" width="13.85546875" customWidth="1"/>
    <col min="17" max="17" width="11.7109375" customWidth="1"/>
    <col min="18" max="18" width="13.140625" customWidth="1"/>
    <col min="19" max="19" width="11.42578125" customWidth="1"/>
    <col min="20" max="20" width="13.28515625" customWidth="1"/>
    <col min="22" max="22" width="15.5703125" customWidth="1"/>
  </cols>
  <sheetData>
    <row r="1" spans="1:22" ht="15.75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L1" s="22" t="s">
        <v>28</v>
      </c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x14ac:dyDescent="0.25">
      <c r="A2" s="21" t="s">
        <v>1</v>
      </c>
      <c r="B2" s="21"/>
      <c r="C2" s="21"/>
      <c r="D2" s="21"/>
      <c r="E2" s="21"/>
      <c r="F2" s="21"/>
      <c r="G2" s="21"/>
      <c r="H2" s="21"/>
      <c r="I2" s="21"/>
      <c r="L2" s="22" t="s">
        <v>29</v>
      </c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22" x14ac:dyDescent="0.25">
      <c r="A3" s="21" t="s">
        <v>2</v>
      </c>
      <c r="B3" s="21"/>
      <c r="C3" s="21"/>
      <c r="D3" s="21"/>
      <c r="E3" s="21"/>
      <c r="F3" s="21"/>
      <c r="G3" s="21"/>
      <c r="H3" s="21"/>
      <c r="I3" s="21"/>
      <c r="L3" s="21" t="s">
        <v>2</v>
      </c>
      <c r="M3" s="21"/>
      <c r="N3" s="21"/>
      <c r="O3" s="21"/>
      <c r="P3" s="21"/>
      <c r="Q3" s="21"/>
      <c r="R3" s="21"/>
      <c r="S3" s="21"/>
      <c r="T3" s="21"/>
      <c r="U3" s="21"/>
      <c r="V3" s="21"/>
    </row>
    <row r="5" spans="1:22" x14ac:dyDescent="0.25">
      <c r="A5" t="s">
        <v>3</v>
      </c>
      <c r="L5" s="1" t="s">
        <v>31</v>
      </c>
      <c r="M5" s="1" t="s">
        <v>32</v>
      </c>
      <c r="N5" s="1" t="s">
        <v>14</v>
      </c>
      <c r="O5" s="1" t="s">
        <v>33</v>
      </c>
      <c r="P5" s="1" t="s">
        <v>34</v>
      </c>
      <c r="Q5" s="1" t="s">
        <v>69</v>
      </c>
      <c r="R5" s="1" t="s">
        <v>70</v>
      </c>
      <c r="S5" s="1" t="s">
        <v>67</v>
      </c>
      <c r="T5" s="1" t="s">
        <v>68</v>
      </c>
      <c r="U5" s="1" t="s">
        <v>35</v>
      </c>
      <c r="V5" s="1" t="s">
        <v>36</v>
      </c>
    </row>
    <row r="6" spans="1:22" x14ac:dyDescent="0.25">
      <c r="A6" t="s">
        <v>4</v>
      </c>
      <c r="L6" s="1">
        <v>1</v>
      </c>
      <c r="M6" s="1" t="s">
        <v>40</v>
      </c>
      <c r="N6" s="1" t="s">
        <v>37</v>
      </c>
      <c r="O6" s="1" t="str">
        <f>IF(LEFT(M6,1)="A","Ms Word",IF(LEFT(M6,1)="B","Ms Excel",IF(LEFT(M6,1)="C","Java",IF(LEFT(M6,1)="D","VB. NET"))))</f>
        <v>Ms Word</v>
      </c>
      <c r="P6" s="1">
        <f>IF(LEFT(M6,1)="A",25000,IF(LEFT(M6,1)="B",35000,IF(LEFT(M6,1)="C",45000,IF(LEFT(M6,1)="D",50000))))</f>
        <v>25000</v>
      </c>
      <c r="Q6" s="1">
        <v>2</v>
      </c>
      <c r="R6" s="1">
        <f>SUM(Q6*P6)</f>
        <v>50000</v>
      </c>
      <c r="S6" s="5">
        <f>IF(R6&gt;100000,R6*10/100,0)</f>
        <v>0</v>
      </c>
      <c r="T6" s="5">
        <f>R6-S6</f>
        <v>50000</v>
      </c>
      <c r="U6" s="1" t="str">
        <f>IF(MID(M6,3,1)="P","PAGI",IF(MID(M6,3,1)="S","SIANG",IF(MID(M6,3,1)="M","MALAM")))</f>
        <v>PAGI</v>
      </c>
      <c r="V6" s="1" t="str">
        <f>IF(MID(M6,5,1)="0","REGULER","DIPLOMA")</f>
        <v>REGULER</v>
      </c>
    </row>
    <row r="7" spans="1:22" x14ac:dyDescent="0.25">
      <c r="L7" s="1">
        <f>SUM(L6+1)</f>
        <v>2</v>
      </c>
      <c r="M7" s="1" t="s">
        <v>41</v>
      </c>
      <c r="N7" s="1" t="s">
        <v>38</v>
      </c>
      <c r="O7" s="1" t="str">
        <f t="shared" ref="O7:O11" si="0">IF(LEFT(M7,1)="A","Ms Word",IF(LEFT(M7,1)="B","Ms Excel",IF(LEFT(M7,1)="C","Java",IF(LEFT(M7,1)="D","VB. NET"))))</f>
        <v>Ms Excel</v>
      </c>
      <c r="P7" s="1">
        <f t="shared" ref="P7:P11" si="1">IF(LEFT(M7,1)="A",25000,IF(LEFT(M7,1)="B",35000,IF(LEFT(M7,1)="C",45000,IF(LEFT(M7,1)="D",50000))))</f>
        <v>35000</v>
      </c>
      <c r="Q7" s="1">
        <v>4</v>
      </c>
      <c r="R7" s="1">
        <f t="shared" ref="R7:R11" si="2">SUM(Q7*P7)</f>
        <v>140000</v>
      </c>
      <c r="S7" s="5">
        <f t="shared" ref="S7:S11" si="3">IF(R7&gt;100000,R7*10/100,0)</f>
        <v>14000</v>
      </c>
      <c r="T7" s="5">
        <f t="shared" ref="T7:T11" si="4">R7-S7</f>
        <v>126000</v>
      </c>
      <c r="U7" s="1" t="str">
        <f t="shared" ref="U7:U11" si="5">IF(MID(M7,3,1)="P","PAGI",IF(MID(M7,3,1)="S","SIANG",IF(MID(M7,3,1)="M","MALAM")))</f>
        <v>SIANG</v>
      </c>
      <c r="V7" s="1" t="str">
        <f t="shared" ref="V7:V11" si="6">IF(MID(M7,5,1)="0","REGULER","DIPLOMA")</f>
        <v>REGULER</v>
      </c>
    </row>
    <row r="8" spans="1:22" x14ac:dyDescent="0.25">
      <c r="A8" s="18" t="s">
        <v>5</v>
      </c>
      <c r="B8" s="18" t="s">
        <v>14</v>
      </c>
      <c r="C8" s="23" t="s">
        <v>6</v>
      </c>
      <c r="D8" s="23" t="s">
        <v>7</v>
      </c>
      <c r="E8" s="18" t="s">
        <v>8</v>
      </c>
      <c r="F8" s="18" t="s">
        <v>9</v>
      </c>
      <c r="G8" s="18" t="s">
        <v>10</v>
      </c>
      <c r="H8" s="18"/>
      <c r="I8" s="18" t="s">
        <v>13</v>
      </c>
      <c r="J8" s="18"/>
      <c r="L8" s="1">
        <f>SUM(L7+1)</f>
        <v>3</v>
      </c>
      <c r="M8" s="1" t="s">
        <v>42</v>
      </c>
      <c r="N8" s="1" t="s">
        <v>39</v>
      </c>
      <c r="O8" s="1" t="str">
        <f t="shared" si="0"/>
        <v>Java</v>
      </c>
      <c r="P8" s="1">
        <f t="shared" si="1"/>
        <v>45000</v>
      </c>
      <c r="Q8" s="1">
        <v>5</v>
      </c>
      <c r="R8" s="1">
        <f t="shared" si="2"/>
        <v>225000</v>
      </c>
      <c r="S8" s="5">
        <f t="shared" si="3"/>
        <v>22500</v>
      </c>
      <c r="T8" s="5">
        <f t="shared" si="4"/>
        <v>202500</v>
      </c>
      <c r="U8" s="1" t="str">
        <f t="shared" si="5"/>
        <v>PAGI</v>
      </c>
      <c r="V8" s="1" t="str">
        <f t="shared" si="6"/>
        <v>REGULER</v>
      </c>
    </row>
    <row r="9" spans="1:22" x14ac:dyDescent="0.25">
      <c r="A9" s="18"/>
      <c r="B9" s="18"/>
      <c r="C9" s="23"/>
      <c r="D9" s="23"/>
      <c r="E9" s="18"/>
      <c r="F9" s="18"/>
      <c r="G9" s="1" t="s">
        <v>11</v>
      </c>
      <c r="H9" s="1" t="s">
        <v>12</v>
      </c>
      <c r="I9" s="18"/>
      <c r="J9" s="18"/>
      <c r="L9" s="1">
        <f>SUM(L8+1)</f>
        <v>4</v>
      </c>
      <c r="M9" s="3" t="s">
        <v>43</v>
      </c>
      <c r="N9" s="3" t="s">
        <v>46</v>
      </c>
      <c r="O9" s="1" t="str">
        <f t="shared" si="0"/>
        <v>VB. NET</v>
      </c>
      <c r="P9" s="1">
        <f t="shared" si="1"/>
        <v>50000</v>
      </c>
      <c r="Q9" s="1">
        <v>6</v>
      </c>
      <c r="R9" s="1">
        <f t="shared" si="2"/>
        <v>300000</v>
      </c>
      <c r="S9" s="5">
        <f t="shared" si="3"/>
        <v>30000</v>
      </c>
      <c r="T9" s="5">
        <f t="shared" si="4"/>
        <v>270000</v>
      </c>
      <c r="U9" s="1" t="str">
        <f t="shared" si="5"/>
        <v>SIANG</v>
      </c>
      <c r="V9" s="1" t="str">
        <f t="shared" si="6"/>
        <v>DIPLOMA</v>
      </c>
    </row>
    <row r="10" spans="1:22" x14ac:dyDescent="0.25">
      <c r="A10" s="1">
        <v>22074150</v>
      </c>
      <c r="B10" s="1" t="s">
        <v>15</v>
      </c>
      <c r="C10" s="1">
        <v>90</v>
      </c>
      <c r="D10" s="1">
        <v>90</v>
      </c>
      <c r="E10" s="1">
        <v>40</v>
      </c>
      <c r="F10" s="1">
        <v>40</v>
      </c>
      <c r="G10" s="1">
        <f>(C10*10%)+(D10*10%)+(E10*40%)+(F10*40%)</f>
        <v>50</v>
      </c>
      <c r="H10" s="1" t="str">
        <f>IF(G10&gt;=85,"A",IF(G10&gt;=70,"B",IF(G10&gt;=55,"C",IF(G10&gt;=40,"D","E"))))</f>
        <v>D</v>
      </c>
      <c r="I10" s="19" t="str">
        <f>IF(H10="A","SANGAT BAIK",IF(H10="B","BAIK",IF(H10="C","CUKUP",IF(H10="D","KURANG","REMIDI"))))</f>
        <v>KURANG</v>
      </c>
      <c r="J10" s="20"/>
      <c r="L10" s="1">
        <f>SUM(L9+1)</f>
        <v>5</v>
      </c>
      <c r="M10" s="3" t="s">
        <v>44</v>
      </c>
      <c r="N10" s="3" t="s">
        <v>47</v>
      </c>
      <c r="O10" s="1" t="str">
        <f t="shared" si="0"/>
        <v>Ms Word</v>
      </c>
      <c r="P10" s="1">
        <f t="shared" si="1"/>
        <v>25000</v>
      </c>
      <c r="Q10" s="1">
        <v>7</v>
      </c>
      <c r="R10" s="1">
        <f t="shared" si="2"/>
        <v>175000</v>
      </c>
      <c r="S10" s="5">
        <f t="shared" si="3"/>
        <v>17500</v>
      </c>
      <c r="T10" s="5">
        <f t="shared" si="4"/>
        <v>157500</v>
      </c>
      <c r="U10" s="1" t="str">
        <f t="shared" si="5"/>
        <v>MALAM</v>
      </c>
      <c r="V10" s="1" t="str">
        <f t="shared" si="6"/>
        <v>REGULER</v>
      </c>
    </row>
    <row r="11" spans="1:22" x14ac:dyDescent="0.25">
      <c r="A11" s="1">
        <f>SUM(A10+1)</f>
        <v>22074151</v>
      </c>
      <c r="B11" s="1" t="s">
        <v>16</v>
      </c>
      <c r="C11" s="1">
        <v>100</v>
      </c>
      <c r="D11" s="1">
        <v>90</v>
      </c>
      <c r="E11" s="1">
        <v>60</v>
      </c>
      <c r="F11" s="1">
        <v>45</v>
      </c>
      <c r="G11" s="1">
        <f t="shared" ref="G11:G18" si="7">(C11*10%)+(D11*10%)+(E11*40%)+(F11*40%)</f>
        <v>61</v>
      </c>
      <c r="H11" s="1" t="str">
        <f t="shared" ref="H11:H19" si="8">IF(G11&gt;=85,"A",IF(G11&gt;=70,"B",IF(G11&gt;=55,"C",IF(G11&gt;=40,"D","E"))))</f>
        <v>C</v>
      </c>
      <c r="I11" s="19" t="str">
        <f t="shared" ref="I11:I19" si="9">IF(H11="A","SANGAT BAIK",IF(H11="B","BAIK",IF(H11="C","CUKUP",IF(H11="D","KURANG","REMIDI"))))</f>
        <v>CUKUP</v>
      </c>
      <c r="J11" s="20"/>
      <c r="L11" s="1">
        <f>SUM(L10+1)</f>
        <v>6</v>
      </c>
      <c r="M11" s="3" t="s">
        <v>45</v>
      </c>
      <c r="N11" s="3" t="s">
        <v>48</v>
      </c>
      <c r="O11" s="1" t="str">
        <f t="shared" si="0"/>
        <v>Ms Excel</v>
      </c>
      <c r="P11" s="1">
        <f t="shared" si="1"/>
        <v>35000</v>
      </c>
      <c r="Q11" s="1">
        <v>2</v>
      </c>
      <c r="R11" s="1">
        <f t="shared" si="2"/>
        <v>70000</v>
      </c>
      <c r="S11" s="5">
        <f t="shared" si="3"/>
        <v>0</v>
      </c>
      <c r="T11" s="5">
        <f t="shared" si="4"/>
        <v>70000</v>
      </c>
      <c r="U11" s="1" t="str">
        <f t="shared" si="5"/>
        <v>MALAM</v>
      </c>
      <c r="V11" s="1" t="str">
        <f t="shared" si="6"/>
        <v>DIPLOMA</v>
      </c>
    </row>
    <row r="12" spans="1:22" x14ac:dyDescent="0.25">
      <c r="A12" s="1">
        <f t="shared" ref="A12:A19" si="10">SUM(A11+1)</f>
        <v>22074152</v>
      </c>
      <c r="B12" s="1" t="s">
        <v>17</v>
      </c>
      <c r="C12" s="1">
        <v>90</v>
      </c>
      <c r="D12" s="1">
        <v>80</v>
      </c>
      <c r="E12" s="1">
        <v>75</v>
      </c>
      <c r="F12" s="1">
        <v>65</v>
      </c>
      <c r="G12" s="1">
        <f t="shared" si="7"/>
        <v>73</v>
      </c>
      <c r="H12" s="1" t="str">
        <f t="shared" si="8"/>
        <v>B</v>
      </c>
      <c r="I12" s="19" t="str">
        <f t="shared" si="9"/>
        <v>BAIK</v>
      </c>
      <c r="J12" s="20"/>
    </row>
    <row r="13" spans="1:22" x14ac:dyDescent="0.25">
      <c r="A13" s="1">
        <f t="shared" si="10"/>
        <v>22074153</v>
      </c>
      <c r="B13" s="1" t="s">
        <v>18</v>
      </c>
      <c r="C13" s="1">
        <v>100</v>
      </c>
      <c r="D13" s="1">
        <v>100</v>
      </c>
      <c r="E13" s="1">
        <v>80</v>
      </c>
      <c r="F13" s="1">
        <v>100</v>
      </c>
      <c r="G13" s="1">
        <f t="shared" si="7"/>
        <v>92</v>
      </c>
      <c r="H13" s="1" t="str">
        <f t="shared" si="8"/>
        <v>A</v>
      </c>
      <c r="I13" s="19" t="str">
        <f t="shared" si="9"/>
        <v>SANGAT BAIK</v>
      </c>
      <c r="J13" s="20"/>
      <c r="L13" s="1" t="s">
        <v>32</v>
      </c>
      <c r="M13" s="1" t="s">
        <v>33</v>
      </c>
      <c r="N13" s="1" t="s">
        <v>34</v>
      </c>
      <c r="P13" s="1" t="s">
        <v>49</v>
      </c>
      <c r="Q13" s="1" t="s">
        <v>54</v>
      </c>
      <c r="R13" s="4"/>
      <c r="S13" s="4"/>
      <c r="T13" s="4"/>
      <c r="V13" s="2" t="s">
        <v>66</v>
      </c>
    </row>
    <row r="14" spans="1:22" x14ac:dyDescent="0.25">
      <c r="A14" s="1">
        <f t="shared" si="10"/>
        <v>22074154</v>
      </c>
      <c r="B14" s="1" t="s">
        <v>19</v>
      </c>
      <c r="C14" s="1">
        <v>90</v>
      </c>
      <c r="D14" s="1">
        <v>80</v>
      </c>
      <c r="E14" s="1">
        <v>70</v>
      </c>
      <c r="F14" s="1">
        <v>80</v>
      </c>
      <c r="G14" s="1">
        <f t="shared" si="7"/>
        <v>77</v>
      </c>
      <c r="H14" s="1" t="str">
        <f t="shared" si="8"/>
        <v>B</v>
      </c>
      <c r="I14" s="19" t="str">
        <f t="shared" si="9"/>
        <v>BAIK</v>
      </c>
      <c r="J14" s="20"/>
      <c r="L14" s="1" t="s">
        <v>59</v>
      </c>
      <c r="M14" s="1" t="s">
        <v>55</v>
      </c>
      <c r="N14" s="1">
        <v>25000</v>
      </c>
      <c r="P14" s="1" t="s">
        <v>50</v>
      </c>
      <c r="Q14" s="1" t="s">
        <v>53</v>
      </c>
      <c r="R14" s="4"/>
      <c r="S14" s="4"/>
      <c r="T14" s="4"/>
    </row>
    <row r="15" spans="1:22" x14ac:dyDescent="0.25">
      <c r="A15" s="1">
        <f t="shared" si="10"/>
        <v>22074155</v>
      </c>
      <c r="B15" s="1" t="s">
        <v>20</v>
      </c>
      <c r="C15" s="1">
        <v>100</v>
      </c>
      <c r="D15" s="1">
        <v>90</v>
      </c>
      <c r="E15" s="1">
        <v>70</v>
      </c>
      <c r="F15" s="1">
        <v>65</v>
      </c>
      <c r="G15" s="1">
        <f t="shared" si="7"/>
        <v>73</v>
      </c>
      <c r="H15" s="1" t="str">
        <f t="shared" si="8"/>
        <v>B</v>
      </c>
      <c r="I15" s="19" t="str">
        <f t="shared" si="9"/>
        <v>BAIK</v>
      </c>
      <c r="J15" s="20"/>
      <c r="L15" s="1" t="s">
        <v>60</v>
      </c>
      <c r="M15" s="1" t="s">
        <v>56</v>
      </c>
      <c r="N15" s="1">
        <v>35000</v>
      </c>
      <c r="P15" s="1" t="s">
        <v>51</v>
      </c>
      <c r="Q15" s="1" t="s">
        <v>52</v>
      </c>
      <c r="R15" s="4"/>
      <c r="S15" s="4"/>
      <c r="T15" s="4"/>
    </row>
    <row r="16" spans="1:22" x14ac:dyDescent="0.25">
      <c r="A16" s="1">
        <f t="shared" si="10"/>
        <v>22074156</v>
      </c>
      <c r="B16" s="1" t="s">
        <v>21</v>
      </c>
      <c r="C16" s="1">
        <v>90</v>
      </c>
      <c r="D16" s="1">
        <v>100</v>
      </c>
      <c r="E16" s="1">
        <v>40</v>
      </c>
      <c r="F16" s="1">
        <v>40</v>
      </c>
      <c r="G16" s="1">
        <f t="shared" si="7"/>
        <v>51</v>
      </c>
      <c r="H16" s="1" t="str">
        <f t="shared" si="8"/>
        <v>D</v>
      </c>
      <c r="I16" s="19" t="str">
        <f t="shared" si="9"/>
        <v>KURANG</v>
      </c>
      <c r="J16" s="20"/>
      <c r="L16" s="1" t="s">
        <v>61</v>
      </c>
      <c r="M16" s="1" t="s">
        <v>57</v>
      </c>
      <c r="N16" s="1">
        <v>45000</v>
      </c>
    </row>
    <row r="17" spans="1:15" x14ac:dyDescent="0.25">
      <c r="A17" s="1">
        <f t="shared" si="10"/>
        <v>22074157</v>
      </c>
      <c r="B17" s="1" t="s">
        <v>22</v>
      </c>
      <c r="C17" s="1">
        <v>100</v>
      </c>
      <c r="D17" s="1">
        <v>90</v>
      </c>
      <c r="E17" s="1">
        <v>50</v>
      </c>
      <c r="F17" s="1">
        <v>25</v>
      </c>
      <c r="G17" s="1">
        <f t="shared" si="7"/>
        <v>49</v>
      </c>
      <c r="H17" s="1" t="str">
        <f t="shared" si="8"/>
        <v>D</v>
      </c>
      <c r="I17" s="19" t="str">
        <f t="shared" si="9"/>
        <v>KURANG</v>
      </c>
      <c r="J17" s="20"/>
      <c r="L17" s="1" t="s">
        <v>62</v>
      </c>
      <c r="M17" s="1" t="s">
        <v>58</v>
      </c>
      <c r="N17" s="1">
        <v>50000</v>
      </c>
    </row>
    <row r="18" spans="1:15" x14ac:dyDescent="0.25">
      <c r="A18" s="1">
        <f t="shared" si="10"/>
        <v>22074158</v>
      </c>
      <c r="B18" s="1" t="s">
        <v>23</v>
      </c>
      <c r="C18" s="1">
        <v>90</v>
      </c>
      <c r="D18" s="1">
        <v>80</v>
      </c>
      <c r="E18" s="1">
        <v>40</v>
      </c>
      <c r="F18" s="1">
        <v>30</v>
      </c>
      <c r="G18" s="1">
        <f t="shared" si="7"/>
        <v>45</v>
      </c>
      <c r="H18" s="1" t="str">
        <f t="shared" si="8"/>
        <v>D</v>
      </c>
      <c r="I18" s="19" t="str">
        <f t="shared" si="9"/>
        <v>KURANG</v>
      </c>
      <c r="J18" s="20"/>
    </row>
    <row r="19" spans="1:15" x14ac:dyDescent="0.25">
      <c r="A19" s="1">
        <f t="shared" si="10"/>
        <v>22074159</v>
      </c>
      <c r="B19" s="1" t="s">
        <v>24</v>
      </c>
      <c r="C19" s="1">
        <v>80</v>
      </c>
      <c r="D19" s="1">
        <v>80</v>
      </c>
      <c r="E19" s="1">
        <v>40</v>
      </c>
      <c r="F19" s="1">
        <v>20</v>
      </c>
      <c r="G19" s="1">
        <f>(C19*10%)+(D19*10%)+(E19*40%)+(F19*40%)</f>
        <v>40</v>
      </c>
      <c r="H19" s="1" t="str">
        <f t="shared" si="8"/>
        <v>D</v>
      </c>
      <c r="I19" s="19" t="str">
        <f t="shared" si="9"/>
        <v>KURANG</v>
      </c>
      <c r="J19" s="20"/>
    </row>
    <row r="20" spans="1:15" x14ac:dyDescent="0.25">
      <c r="A20" s="17" t="s">
        <v>25</v>
      </c>
      <c r="B20" s="17"/>
      <c r="C20" s="1">
        <f>MAX(C10:C19)</f>
        <v>100</v>
      </c>
      <c r="D20" s="1">
        <f t="shared" ref="D20:F20" si="11">MAX(D10:D19)</f>
        <v>100</v>
      </c>
      <c r="E20" s="1">
        <f t="shared" si="11"/>
        <v>80</v>
      </c>
      <c r="F20" s="1">
        <f t="shared" si="11"/>
        <v>100</v>
      </c>
      <c r="G20" s="1"/>
      <c r="H20" s="1"/>
      <c r="I20" s="19"/>
      <c r="J20" s="20"/>
    </row>
    <row r="21" spans="1:15" x14ac:dyDescent="0.25">
      <c r="A21" s="17" t="s">
        <v>26</v>
      </c>
      <c r="B21" s="17"/>
      <c r="C21" s="1">
        <f>MIN(C10:C20)</f>
        <v>80</v>
      </c>
      <c r="D21" s="1">
        <f t="shared" ref="D21:F21" si="12">MIN(D10:D20)</f>
        <v>80</v>
      </c>
      <c r="E21" s="1">
        <f t="shared" si="12"/>
        <v>40</v>
      </c>
      <c r="F21" s="1">
        <f t="shared" si="12"/>
        <v>20</v>
      </c>
      <c r="G21" s="1"/>
      <c r="H21" s="1"/>
      <c r="I21" s="19"/>
      <c r="J21" s="20"/>
      <c r="L21" s="17" t="s">
        <v>30</v>
      </c>
      <c r="M21" s="17"/>
      <c r="N21" s="1" t="s">
        <v>65</v>
      </c>
      <c r="O21" s="1" t="str">
        <f>MID(L21,4,5)</f>
        <v>VERSI</v>
      </c>
    </row>
    <row r="22" spans="1:15" x14ac:dyDescent="0.25">
      <c r="A22" s="17" t="s">
        <v>27</v>
      </c>
      <c r="B22" s="17"/>
      <c r="C22" s="1">
        <f>AVERAGE(C10:C19)</f>
        <v>93</v>
      </c>
      <c r="D22" s="1">
        <f t="shared" ref="D22:F22" si="13">AVERAGE(D10:D19)</f>
        <v>88</v>
      </c>
      <c r="E22" s="1">
        <f t="shared" si="13"/>
        <v>56.5</v>
      </c>
      <c r="F22" s="1">
        <f t="shared" si="13"/>
        <v>51</v>
      </c>
      <c r="G22" s="1"/>
      <c r="H22" s="1"/>
      <c r="I22" s="19"/>
      <c r="J22" s="20"/>
      <c r="L22" s="17" t="s">
        <v>30</v>
      </c>
      <c r="M22" s="17"/>
      <c r="N22" s="1" t="s">
        <v>63</v>
      </c>
      <c r="O22" s="1" t="str">
        <f>LEFT(L22,3)</f>
        <v>UNI</v>
      </c>
    </row>
    <row r="23" spans="1:15" x14ac:dyDescent="0.25">
      <c r="L23" s="17" t="s">
        <v>30</v>
      </c>
      <c r="M23" s="17"/>
      <c r="N23" s="1" t="s">
        <v>64</v>
      </c>
      <c r="O23" s="1" t="str">
        <f>RIGHT(L23,3)</f>
        <v>TAS</v>
      </c>
    </row>
  </sheetData>
  <mergeCells count="33">
    <mergeCell ref="L1:V1"/>
    <mergeCell ref="I17:J17"/>
    <mergeCell ref="I18:J18"/>
    <mergeCell ref="I10:J10"/>
    <mergeCell ref="I11:J11"/>
    <mergeCell ref="I12:J12"/>
    <mergeCell ref="I13:J13"/>
    <mergeCell ref="I14:J14"/>
    <mergeCell ref="I15:J15"/>
    <mergeCell ref="I16:J16"/>
    <mergeCell ref="A1:I1"/>
    <mergeCell ref="A20:B20"/>
    <mergeCell ref="A21:B21"/>
    <mergeCell ref="A22:B22"/>
    <mergeCell ref="L3:V3"/>
    <mergeCell ref="L2:V2"/>
    <mergeCell ref="A2:I2"/>
    <mergeCell ref="A3:I3"/>
    <mergeCell ref="B8:B9"/>
    <mergeCell ref="A8:A9"/>
    <mergeCell ref="C8:C9"/>
    <mergeCell ref="D8:D9"/>
    <mergeCell ref="E8:E9"/>
    <mergeCell ref="F8:F9"/>
    <mergeCell ref="L21:M21"/>
    <mergeCell ref="L22:M22"/>
    <mergeCell ref="L23:M23"/>
    <mergeCell ref="G8:H8"/>
    <mergeCell ref="I8:J9"/>
    <mergeCell ref="I19:J19"/>
    <mergeCell ref="I20:J20"/>
    <mergeCell ref="I21:J21"/>
    <mergeCell ref="I22:J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F3" sqref="F3"/>
    </sheetView>
  </sheetViews>
  <sheetFormatPr defaultRowHeight="15" x14ac:dyDescent="0.25"/>
  <cols>
    <col min="3" max="3" width="13" customWidth="1"/>
  </cols>
  <sheetData>
    <row r="2" spans="1:9" x14ac:dyDescent="0.25">
      <c r="A2" s="1" t="s">
        <v>31</v>
      </c>
      <c r="B2" s="1" t="s">
        <v>32</v>
      </c>
      <c r="C2" s="1" t="s">
        <v>14</v>
      </c>
      <c r="D2" s="1" t="s">
        <v>33</v>
      </c>
      <c r="E2" s="1" t="s">
        <v>33</v>
      </c>
      <c r="F2" s="1" t="s">
        <v>34</v>
      </c>
      <c r="G2" s="1" t="s">
        <v>34</v>
      </c>
      <c r="H2" s="3" t="s">
        <v>35</v>
      </c>
      <c r="I2" s="3" t="s">
        <v>36</v>
      </c>
    </row>
    <row r="3" spans="1:9" x14ac:dyDescent="0.25">
      <c r="A3" s="1">
        <v>1</v>
      </c>
      <c r="B3" s="1" t="s">
        <v>40</v>
      </c>
      <c r="C3" s="1" t="s">
        <v>37</v>
      </c>
      <c r="D3" s="1" t="str">
        <f>VLOOKUP(LEFT(B3,1),$A$12:$C$15,2)</f>
        <v>Ms Word</v>
      </c>
      <c r="E3" s="1" t="str">
        <f>HLOOKUP(LEFT(B3,1),$F$11:$I$12,2)</f>
        <v>Ms Word</v>
      </c>
      <c r="F3" s="1">
        <f>VLOOKUP(LEFT(B3,1),$A$12:$C$15,3)</f>
        <v>25000</v>
      </c>
      <c r="G3" s="1">
        <f>HLOOKUP(LEFT(B3,1),$F$11:$I$13,3)</f>
        <v>25000</v>
      </c>
      <c r="H3" s="1"/>
      <c r="I3" s="1"/>
    </row>
    <row r="4" spans="1:9" x14ac:dyDescent="0.25">
      <c r="A4" s="1">
        <f>SUM(A3+1)</f>
        <v>2</v>
      </c>
      <c r="B4" s="1" t="s">
        <v>41</v>
      </c>
      <c r="C4" s="1" t="s">
        <v>38</v>
      </c>
      <c r="D4" s="1" t="str">
        <f t="shared" ref="D4:D5" si="0">VLOOKUP(LEFT(B4,1),$A$12:$C$15,2)</f>
        <v>Ms Excel</v>
      </c>
      <c r="E4" s="1" t="str">
        <f>HLOOKUP(LEFT(B4,1),$F$11:$I$12,2)</f>
        <v>Ms Excel</v>
      </c>
      <c r="F4" s="1">
        <f t="shared" ref="F4:F5" si="1">VLOOKUP(LEFT(B4,1),$A$12:$C$15,3)</f>
        <v>35000</v>
      </c>
      <c r="G4" s="1">
        <f t="shared" ref="G4:G5" si="2">HLOOKUP(LEFT(B4,1),$F$11:$I$13,3)</f>
        <v>35000</v>
      </c>
      <c r="H4" s="1"/>
      <c r="I4" s="1"/>
    </row>
    <row r="5" spans="1:9" x14ac:dyDescent="0.25">
      <c r="A5" s="1">
        <f>SUM(A4+1)</f>
        <v>3</v>
      </c>
      <c r="B5" s="1" t="s">
        <v>42</v>
      </c>
      <c r="C5" s="1" t="s">
        <v>39</v>
      </c>
      <c r="D5" s="1" t="str">
        <f t="shared" si="0"/>
        <v>Java</v>
      </c>
      <c r="E5" s="1" t="str">
        <f>HLOOKUP(LEFT(B5,1),$F$11:$I$12,2)</f>
        <v>Java</v>
      </c>
      <c r="F5" s="1">
        <f t="shared" si="1"/>
        <v>45000</v>
      </c>
      <c r="G5" s="1">
        <f t="shared" si="2"/>
        <v>45000</v>
      </c>
      <c r="H5" s="1"/>
      <c r="I5" s="1"/>
    </row>
    <row r="11" spans="1:9" x14ac:dyDescent="0.25">
      <c r="A11" s="1" t="s">
        <v>32</v>
      </c>
      <c r="B11" s="1" t="s">
        <v>33</v>
      </c>
      <c r="C11" s="1" t="s">
        <v>34</v>
      </c>
      <c r="E11" s="1" t="s">
        <v>32</v>
      </c>
      <c r="F11" s="1" t="s">
        <v>59</v>
      </c>
      <c r="G11" s="1" t="s">
        <v>60</v>
      </c>
      <c r="H11" s="1" t="s">
        <v>61</v>
      </c>
      <c r="I11" s="1" t="s">
        <v>62</v>
      </c>
    </row>
    <row r="12" spans="1:9" x14ac:dyDescent="0.25">
      <c r="A12" s="1" t="s">
        <v>59</v>
      </c>
      <c r="B12" s="1" t="s">
        <v>55</v>
      </c>
      <c r="C12" s="1">
        <v>25000</v>
      </c>
      <c r="E12" s="1" t="s">
        <v>33</v>
      </c>
      <c r="F12" s="1" t="s">
        <v>55</v>
      </c>
      <c r="G12" s="1" t="s">
        <v>56</v>
      </c>
      <c r="H12" s="1" t="s">
        <v>57</v>
      </c>
      <c r="I12" s="1" t="s">
        <v>58</v>
      </c>
    </row>
    <row r="13" spans="1:9" x14ac:dyDescent="0.25">
      <c r="A13" s="1" t="s">
        <v>60</v>
      </c>
      <c r="B13" s="1" t="s">
        <v>56</v>
      </c>
      <c r="C13" s="1">
        <v>35000</v>
      </c>
      <c r="E13" s="1" t="s">
        <v>34</v>
      </c>
      <c r="F13" s="1">
        <v>25000</v>
      </c>
      <c r="G13" s="1">
        <v>35000</v>
      </c>
      <c r="H13" s="1">
        <v>45000</v>
      </c>
      <c r="I13" s="1">
        <v>50000</v>
      </c>
    </row>
    <row r="14" spans="1:9" x14ac:dyDescent="0.25">
      <c r="A14" s="1" t="s">
        <v>61</v>
      </c>
      <c r="B14" s="1" t="s">
        <v>57</v>
      </c>
      <c r="C14" s="1">
        <v>45000</v>
      </c>
    </row>
    <row r="15" spans="1:9" x14ac:dyDescent="0.25">
      <c r="A15" s="1" t="s">
        <v>62</v>
      </c>
      <c r="B15" s="1" t="s">
        <v>58</v>
      </c>
      <c r="C15" s="1">
        <v>50000</v>
      </c>
    </row>
    <row r="19" spans="1:4" x14ac:dyDescent="0.25">
      <c r="A19" s="17" t="s">
        <v>30</v>
      </c>
      <c r="B19" s="17"/>
      <c r="C19" s="1" t="s">
        <v>65</v>
      </c>
      <c r="D19" s="1" t="str">
        <f>MID(A19,4,5)</f>
        <v>VERSI</v>
      </c>
    </row>
    <row r="20" spans="1:4" x14ac:dyDescent="0.25">
      <c r="A20" s="17" t="s">
        <v>30</v>
      </c>
      <c r="B20" s="17"/>
      <c r="C20" s="1" t="s">
        <v>63</v>
      </c>
      <c r="D20" s="1" t="str">
        <f>LEFT(A20,3)</f>
        <v>UNI</v>
      </c>
    </row>
    <row r="21" spans="1:4" x14ac:dyDescent="0.25">
      <c r="A21" s="17" t="s">
        <v>30</v>
      </c>
      <c r="B21" s="17"/>
      <c r="C21" s="1" t="s">
        <v>64</v>
      </c>
      <c r="D21" s="1" t="str">
        <f>RIGHT(A21,3)</f>
        <v>TAS</v>
      </c>
    </row>
  </sheetData>
  <mergeCells count="3">
    <mergeCell ref="A19:B19"/>
    <mergeCell ref="A20:B20"/>
    <mergeCell ref="A21:B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workbookViewId="0">
      <selection activeCell="F8" sqref="F8"/>
    </sheetView>
  </sheetViews>
  <sheetFormatPr defaultRowHeight="15" x14ac:dyDescent="0.25"/>
  <cols>
    <col min="2" max="2" width="21.140625" customWidth="1"/>
    <col min="3" max="3" width="11.7109375" customWidth="1"/>
    <col min="4" max="4" width="13.140625" customWidth="1"/>
    <col min="5" max="5" width="16.140625" customWidth="1"/>
    <col min="6" max="6" width="15" customWidth="1"/>
    <col min="7" max="7" width="14.42578125" customWidth="1"/>
    <col min="8" max="8" width="14.140625" customWidth="1"/>
    <col min="9" max="9" width="13.42578125" customWidth="1"/>
    <col min="10" max="10" width="14.5703125" customWidth="1"/>
    <col min="11" max="11" width="13.28515625" customWidth="1"/>
  </cols>
  <sheetData>
    <row r="2" spans="1:11" x14ac:dyDescent="0.25">
      <c r="A2" s="1" t="s">
        <v>71</v>
      </c>
      <c r="B2" s="1" t="s">
        <v>72</v>
      </c>
      <c r="C2" s="1" t="s">
        <v>73</v>
      </c>
      <c r="D2" s="1" t="s">
        <v>79</v>
      </c>
      <c r="E2" s="1" t="s">
        <v>74</v>
      </c>
      <c r="F2" s="1" t="s">
        <v>75</v>
      </c>
      <c r="G2" s="1" t="s">
        <v>76</v>
      </c>
      <c r="H2" s="1" t="s">
        <v>77</v>
      </c>
      <c r="I2" s="1" t="s">
        <v>78</v>
      </c>
      <c r="J2" s="1" t="s">
        <v>80</v>
      </c>
      <c r="K2" s="1" t="s">
        <v>81</v>
      </c>
    </row>
    <row r="3" spans="1:11" x14ac:dyDescent="0.25">
      <c r="A3" s="1">
        <v>1</v>
      </c>
      <c r="B3" s="1" t="s">
        <v>82</v>
      </c>
      <c r="C3" s="6">
        <v>40770</v>
      </c>
      <c r="D3" s="1" t="s">
        <v>110</v>
      </c>
      <c r="E3" s="1" t="str">
        <f>MID(D3,3,1)</f>
        <v>1</v>
      </c>
      <c r="F3" s="1">
        <f>VLOOKUP(LEFT(D3,2),$A$15:$B$19,2)</f>
        <v>1250000</v>
      </c>
      <c r="G3" s="1" t="str">
        <f t="shared" ref="G3:G9" si="0">HLOOKUP(MID(D3,4,1),$E$13:$H$14,2,0)</f>
        <v>Non AC</v>
      </c>
      <c r="H3" s="1">
        <f>HLOOKUP(MID(D3,4,1),$E$13:$H$15,3,0)</f>
        <v>40000</v>
      </c>
      <c r="I3" s="6">
        <v>40779</v>
      </c>
      <c r="J3" s="1">
        <f>I3-C3</f>
        <v>9</v>
      </c>
      <c r="K3" s="1">
        <f>(F3+H3)*J3</f>
        <v>11610000</v>
      </c>
    </row>
    <row r="4" spans="1:11" x14ac:dyDescent="0.25">
      <c r="A4" s="1">
        <f>SUM(A3+1)</f>
        <v>2</v>
      </c>
      <c r="B4" s="1" t="s">
        <v>87</v>
      </c>
      <c r="C4" s="6">
        <v>40795</v>
      </c>
      <c r="D4" s="1" t="s">
        <v>104</v>
      </c>
      <c r="E4" s="1" t="str">
        <f t="shared" ref="E4:E9" si="1">MID(D4,3,1)</f>
        <v>2</v>
      </c>
      <c r="F4" s="1">
        <f t="shared" ref="F4:F9" si="2">VLOOKUP(LEFT(D4,2),$A$15:$B$19,2)</f>
        <v>1000000</v>
      </c>
      <c r="G4" s="1" t="str">
        <f t="shared" si="0"/>
        <v>VIP</v>
      </c>
      <c r="H4" s="1">
        <f t="shared" ref="H4:H9" si="3">HLOOKUP(MID(D4,4,1),$E$13:$H$15,3,0)</f>
        <v>75000</v>
      </c>
      <c r="I4" s="6">
        <v>40804</v>
      </c>
      <c r="J4" s="1">
        <f t="shared" ref="J4:J9" si="4">I4-C4</f>
        <v>9</v>
      </c>
      <c r="K4" s="1">
        <f t="shared" ref="K4:K9" si="5">(F4+H4)*J4</f>
        <v>9675000</v>
      </c>
    </row>
    <row r="5" spans="1:11" x14ac:dyDescent="0.25">
      <c r="A5" s="1">
        <f t="shared" ref="A5:A9" si="6">SUM(A4+1)</f>
        <v>3</v>
      </c>
      <c r="B5" s="1" t="s">
        <v>83</v>
      </c>
      <c r="C5" s="6">
        <v>40806</v>
      </c>
      <c r="D5" s="1" t="s">
        <v>105</v>
      </c>
      <c r="E5" s="1" t="str">
        <f t="shared" si="1"/>
        <v>3</v>
      </c>
      <c r="F5" s="1">
        <f t="shared" si="2"/>
        <v>450000</v>
      </c>
      <c r="G5" s="1" t="str">
        <f t="shared" si="0"/>
        <v>Non AC</v>
      </c>
      <c r="H5" s="1">
        <f t="shared" si="3"/>
        <v>40000</v>
      </c>
      <c r="I5" s="6">
        <v>40813</v>
      </c>
      <c r="J5" s="1">
        <f t="shared" si="4"/>
        <v>7</v>
      </c>
      <c r="K5" s="1">
        <f t="shared" si="5"/>
        <v>3430000</v>
      </c>
    </row>
    <row r="6" spans="1:11" x14ac:dyDescent="0.25">
      <c r="A6" s="1">
        <f t="shared" si="6"/>
        <v>4</v>
      </c>
      <c r="B6" s="1" t="s">
        <v>84</v>
      </c>
      <c r="C6" s="6">
        <v>40835</v>
      </c>
      <c r="D6" s="1" t="s">
        <v>106</v>
      </c>
      <c r="E6" s="1" t="str">
        <f t="shared" si="1"/>
        <v>2</v>
      </c>
      <c r="F6" s="1">
        <f t="shared" si="2"/>
        <v>1250000</v>
      </c>
      <c r="G6" s="1" t="str">
        <f t="shared" si="0"/>
        <v>AC</v>
      </c>
      <c r="H6" s="1">
        <f t="shared" si="3"/>
        <v>55000</v>
      </c>
      <c r="I6" s="6">
        <v>40845</v>
      </c>
      <c r="J6" s="1">
        <f t="shared" si="4"/>
        <v>10</v>
      </c>
      <c r="K6" s="1">
        <f t="shared" si="5"/>
        <v>13050000</v>
      </c>
    </row>
    <row r="7" spans="1:11" x14ac:dyDescent="0.25">
      <c r="A7" s="1">
        <f t="shared" si="6"/>
        <v>5</v>
      </c>
      <c r="B7" s="1" t="s">
        <v>86</v>
      </c>
      <c r="C7" s="6">
        <v>40840</v>
      </c>
      <c r="D7" s="1" t="s">
        <v>107</v>
      </c>
      <c r="E7" s="1" t="str">
        <f t="shared" si="1"/>
        <v>3</v>
      </c>
      <c r="F7" s="1">
        <f t="shared" si="2"/>
        <v>600000</v>
      </c>
      <c r="G7" s="1" t="str">
        <f t="shared" si="0"/>
        <v>Super</v>
      </c>
      <c r="H7" s="1">
        <f t="shared" si="3"/>
        <v>100000</v>
      </c>
      <c r="I7" s="6">
        <v>40848</v>
      </c>
      <c r="J7" s="1">
        <f t="shared" si="4"/>
        <v>8</v>
      </c>
      <c r="K7" s="1">
        <f t="shared" si="5"/>
        <v>5600000</v>
      </c>
    </row>
    <row r="8" spans="1:11" x14ac:dyDescent="0.25">
      <c r="A8" s="1">
        <f t="shared" si="6"/>
        <v>6</v>
      </c>
      <c r="B8" s="1" t="s">
        <v>88</v>
      </c>
      <c r="C8" s="6">
        <v>40864</v>
      </c>
      <c r="D8" s="1" t="s">
        <v>108</v>
      </c>
      <c r="E8" s="1" t="str">
        <f t="shared" si="1"/>
        <v>3</v>
      </c>
      <c r="F8" s="1">
        <f t="shared" si="2"/>
        <v>300000</v>
      </c>
      <c r="G8" s="1" t="str">
        <f t="shared" si="0"/>
        <v>AC</v>
      </c>
      <c r="H8" s="1">
        <f t="shared" si="3"/>
        <v>55000</v>
      </c>
      <c r="I8" s="6">
        <v>40867</v>
      </c>
      <c r="J8" s="1">
        <f t="shared" si="4"/>
        <v>3</v>
      </c>
      <c r="K8" s="1">
        <f t="shared" si="5"/>
        <v>1065000</v>
      </c>
    </row>
    <row r="9" spans="1:11" x14ac:dyDescent="0.25">
      <c r="A9" s="1">
        <f t="shared" si="6"/>
        <v>7</v>
      </c>
      <c r="B9" s="1" t="s">
        <v>85</v>
      </c>
      <c r="C9" s="6">
        <v>40876</v>
      </c>
      <c r="D9" s="1" t="s">
        <v>109</v>
      </c>
      <c r="E9" s="1" t="str">
        <f t="shared" si="1"/>
        <v>1</v>
      </c>
      <c r="F9" s="1">
        <f t="shared" si="2"/>
        <v>450000</v>
      </c>
      <c r="G9" s="1" t="str">
        <f t="shared" si="0"/>
        <v>Super</v>
      </c>
      <c r="H9" s="1">
        <f t="shared" si="3"/>
        <v>100000</v>
      </c>
      <c r="I9" s="6">
        <v>40887</v>
      </c>
      <c r="J9" s="1">
        <f t="shared" si="4"/>
        <v>11</v>
      </c>
      <c r="K9" s="1">
        <f t="shared" si="5"/>
        <v>6050000</v>
      </c>
    </row>
    <row r="12" spans="1:11" x14ac:dyDescent="0.25">
      <c r="A12" s="4" t="s">
        <v>90</v>
      </c>
      <c r="B12" s="4"/>
      <c r="D12" s="4" t="s">
        <v>91</v>
      </c>
      <c r="E12" s="4"/>
      <c r="F12" s="4"/>
      <c r="G12" s="4"/>
      <c r="H12" s="4"/>
    </row>
    <row r="13" spans="1:11" x14ac:dyDescent="0.25">
      <c r="A13" s="7" t="s">
        <v>32</v>
      </c>
      <c r="B13" s="25" t="s">
        <v>89</v>
      </c>
      <c r="D13" s="1" t="s">
        <v>92</v>
      </c>
      <c r="E13" s="1" t="s">
        <v>95</v>
      </c>
      <c r="F13" s="1" t="s">
        <v>59</v>
      </c>
      <c r="G13" s="1" t="s">
        <v>96</v>
      </c>
      <c r="H13" s="1" t="s">
        <v>50</v>
      </c>
    </row>
    <row r="14" spans="1:11" x14ac:dyDescent="0.25">
      <c r="A14" s="8" t="s">
        <v>112</v>
      </c>
      <c r="B14" s="26"/>
      <c r="D14" s="1" t="s">
        <v>93</v>
      </c>
      <c r="E14" s="1" t="s">
        <v>97</v>
      </c>
      <c r="F14" s="1" t="s">
        <v>98</v>
      </c>
      <c r="G14" s="1" t="s">
        <v>111</v>
      </c>
      <c r="H14" s="1" t="s">
        <v>99</v>
      </c>
    </row>
    <row r="15" spans="1:11" x14ac:dyDescent="0.25">
      <c r="A15" s="1" t="s">
        <v>100</v>
      </c>
      <c r="B15" s="12">
        <v>300000</v>
      </c>
      <c r="D15" s="1" t="s">
        <v>94</v>
      </c>
      <c r="E15" s="11">
        <v>40000</v>
      </c>
      <c r="F15" s="11">
        <v>55000</v>
      </c>
      <c r="G15" s="11">
        <v>75000</v>
      </c>
      <c r="H15" s="11">
        <v>100000</v>
      </c>
    </row>
    <row r="16" spans="1:11" x14ac:dyDescent="0.25">
      <c r="A16" s="1" t="s">
        <v>101</v>
      </c>
      <c r="B16" s="12">
        <v>450000</v>
      </c>
    </row>
    <row r="17" spans="1:2" x14ac:dyDescent="0.25">
      <c r="A17" s="1" t="s">
        <v>98</v>
      </c>
      <c r="B17" s="12">
        <v>600000</v>
      </c>
    </row>
    <row r="18" spans="1:2" x14ac:dyDescent="0.25">
      <c r="A18" s="1" t="s">
        <v>102</v>
      </c>
      <c r="B18" s="12">
        <v>1000000</v>
      </c>
    </row>
    <row r="19" spans="1:2" x14ac:dyDescent="0.25">
      <c r="A19" s="1" t="s">
        <v>103</v>
      </c>
      <c r="B19" s="12">
        <v>1250000</v>
      </c>
    </row>
  </sheetData>
  <mergeCells count="1">
    <mergeCell ref="B13:B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0"/>
  <sheetViews>
    <sheetView workbookViewId="0">
      <selection activeCell="K12" sqref="K12"/>
    </sheetView>
  </sheetViews>
  <sheetFormatPr defaultRowHeight="15" x14ac:dyDescent="0.25"/>
  <cols>
    <col min="3" max="3" width="18.28515625" customWidth="1"/>
    <col min="6" max="6" width="10.5703125" customWidth="1"/>
  </cols>
  <sheetData>
    <row r="2" spans="2:8" x14ac:dyDescent="0.25">
      <c r="B2" t="s">
        <v>113</v>
      </c>
    </row>
    <row r="3" spans="2:8" x14ac:dyDescent="0.25">
      <c r="B3" t="s">
        <v>114</v>
      </c>
    </row>
    <row r="4" spans="2:8" x14ac:dyDescent="0.25">
      <c r="B4" s="16" t="s">
        <v>31</v>
      </c>
      <c r="C4" s="14" t="s">
        <v>14</v>
      </c>
      <c r="D4" s="14" t="s">
        <v>32</v>
      </c>
      <c r="E4" s="14" t="s">
        <v>32</v>
      </c>
      <c r="F4" s="14" t="s">
        <v>14</v>
      </c>
      <c r="G4" s="14" t="s">
        <v>115</v>
      </c>
      <c r="H4" s="14" t="s">
        <v>140</v>
      </c>
    </row>
    <row r="5" spans="2:8" x14ac:dyDescent="0.25">
      <c r="B5" s="16">
        <v>1</v>
      </c>
      <c r="C5" s="14" t="s">
        <v>116</v>
      </c>
      <c r="D5" s="10">
        <v>2</v>
      </c>
      <c r="E5" s="10" t="s">
        <v>59</v>
      </c>
      <c r="F5" s="14" t="str">
        <f>VLOOKUP(LEFT(E5,1),$D$28:$H$30,2)</f>
        <v>DELUXE</v>
      </c>
      <c r="G5" s="14" t="str">
        <f>HLOOKUP(D5,$E$22:$G$23,2)</f>
        <v>DOUBLE</v>
      </c>
      <c r="H5" s="14">
        <f>VLOOKUP(E5,$D$28:$H$30,IF(G5="FAMILY",3,IF(G5="DOUBLE",4,5)))</f>
        <v>400000</v>
      </c>
    </row>
    <row r="6" spans="2:8" x14ac:dyDescent="0.25">
      <c r="B6" s="16">
        <f>SUM(B5+1)</f>
        <v>2</v>
      </c>
      <c r="C6" s="14" t="s">
        <v>117</v>
      </c>
      <c r="D6" s="10">
        <v>2</v>
      </c>
      <c r="E6" s="10" t="s">
        <v>61</v>
      </c>
      <c r="F6" s="14" t="str">
        <f t="shared" ref="F6:F18" si="0">VLOOKUP(LEFT(E6,1),$D$28:$H$30,2)</f>
        <v>STANDAR</v>
      </c>
      <c r="G6" s="14" t="str">
        <f t="shared" ref="G6:G18" si="1">HLOOKUP(D6,$E$22:$G$23,2)</f>
        <v>DOUBLE</v>
      </c>
      <c r="H6" s="14">
        <f t="shared" ref="H6:H18" si="2">VLOOKUP(E6,$D$28:$H$30,IF(G6="FAMILY",3,IF(G6="DOUBLE",4,5)))</f>
        <v>200000</v>
      </c>
    </row>
    <row r="7" spans="2:8" x14ac:dyDescent="0.25">
      <c r="B7" s="16">
        <f t="shared" ref="B7:B18" si="3">SUM(B6+1)</f>
        <v>3</v>
      </c>
      <c r="C7" s="14" t="s">
        <v>118</v>
      </c>
      <c r="D7" s="10">
        <v>3</v>
      </c>
      <c r="E7" s="10" t="s">
        <v>60</v>
      </c>
      <c r="F7" s="14" t="str">
        <f t="shared" si="0"/>
        <v>SUPERIOR</v>
      </c>
      <c r="G7" s="14" t="str">
        <f t="shared" si="1"/>
        <v>SINGLE</v>
      </c>
      <c r="H7" s="14">
        <f t="shared" si="2"/>
        <v>200000</v>
      </c>
    </row>
    <row r="8" spans="2:8" x14ac:dyDescent="0.25">
      <c r="B8" s="16">
        <f t="shared" si="3"/>
        <v>4</v>
      </c>
      <c r="C8" s="14" t="s">
        <v>119</v>
      </c>
      <c r="D8" s="10">
        <v>2</v>
      </c>
      <c r="E8" s="10" t="s">
        <v>60</v>
      </c>
      <c r="F8" s="14" t="str">
        <f t="shared" si="0"/>
        <v>SUPERIOR</v>
      </c>
      <c r="G8" s="14" t="str">
        <f t="shared" si="1"/>
        <v>DOUBLE</v>
      </c>
      <c r="H8" s="14">
        <f t="shared" si="2"/>
        <v>300000</v>
      </c>
    </row>
    <row r="9" spans="2:8" x14ac:dyDescent="0.25">
      <c r="B9" s="16">
        <f t="shared" si="3"/>
        <v>5</v>
      </c>
      <c r="C9" s="14" t="s">
        <v>120</v>
      </c>
      <c r="D9" s="10">
        <v>3</v>
      </c>
      <c r="E9" s="10" t="s">
        <v>61</v>
      </c>
      <c r="F9" s="14" t="str">
        <f t="shared" si="0"/>
        <v>STANDAR</v>
      </c>
      <c r="G9" s="14" t="str">
        <f t="shared" si="1"/>
        <v>SINGLE</v>
      </c>
      <c r="H9" s="14">
        <f t="shared" si="2"/>
        <v>100000</v>
      </c>
    </row>
    <row r="10" spans="2:8" x14ac:dyDescent="0.25">
      <c r="B10" s="16">
        <f t="shared" si="3"/>
        <v>6</v>
      </c>
      <c r="C10" s="14" t="s">
        <v>121</v>
      </c>
      <c r="D10" s="10">
        <v>2</v>
      </c>
      <c r="E10" s="10" t="s">
        <v>60</v>
      </c>
      <c r="F10" s="14" t="str">
        <f t="shared" si="0"/>
        <v>SUPERIOR</v>
      </c>
      <c r="G10" s="14" t="str">
        <f t="shared" si="1"/>
        <v>DOUBLE</v>
      </c>
      <c r="H10" s="14">
        <f t="shared" si="2"/>
        <v>300000</v>
      </c>
    </row>
    <row r="11" spans="2:8" x14ac:dyDescent="0.25">
      <c r="B11" s="16">
        <f t="shared" si="3"/>
        <v>7</v>
      </c>
      <c r="C11" s="14" t="s">
        <v>122</v>
      </c>
      <c r="D11" s="10">
        <v>2</v>
      </c>
      <c r="E11" s="10" t="s">
        <v>61</v>
      </c>
      <c r="F11" s="14" t="str">
        <f t="shared" si="0"/>
        <v>STANDAR</v>
      </c>
      <c r="G11" s="14" t="str">
        <f t="shared" si="1"/>
        <v>DOUBLE</v>
      </c>
      <c r="H11" s="14">
        <f t="shared" si="2"/>
        <v>200000</v>
      </c>
    </row>
    <row r="12" spans="2:8" x14ac:dyDescent="0.25">
      <c r="B12" s="16">
        <f t="shared" si="3"/>
        <v>8</v>
      </c>
      <c r="C12" s="14" t="s">
        <v>123</v>
      </c>
      <c r="D12" s="10">
        <v>1</v>
      </c>
      <c r="E12" s="10" t="s">
        <v>61</v>
      </c>
      <c r="F12" s="14" t="str">
        <f t="shared" si="0"/>
        <v>STANDAR</v>
      </c>
      <c r="G12" s="14" t="str">
        <f t="shared" si="1"/>
        <v>FAMILY</v>
      </c>
      <c r="H12" s="14">
        <f t="shared" si="2"/>
        <v>300000</v>
      </c>
    </row>
    <row r="13" spans="2:8" x14ac:dyDescent="0.25">
      <c r="B13" s="16">
        <f t="shared" si="3"/>
        <v>9</v>
      </c>
      <c r="C13" s="14" t="s">
        <v>124</v>
      </c>
      <c r="D13" s="10">
        <v>3</v>
      </c>
      <c r="E13" s="10" t="s">
        <v>60</v>
      </c>
      <c r="F13" s="14" t="str">
        <f t="shared" si="0"/>
        <v>SUPERIOR</v>
      </c>
      <c r="G13" s="14" t="str">
        <f t="shared" si="1"/>
        <v>SINGLE</v>
      </c>
      <c r="H13" s="14">
        <f t="shared" si="2"/>
        <v>200000</v>
      </c>
    </row>
    <row r="14" spans="2:8" x14ac:dyDescent="0.25">
      <c r="B14" s="16">
        <f t="shared" si="3"/>
        <v>10</v>
      </c>
      <c r="C14" s="14" t="s">
        <v>125</v>
      </c>
      <c r="D14" s="10">
        <v>2</v>
      </c>
      <c r="E14" s="10" t="s">
        <v>61</v>
      </c>
      <c r="F14" s="14" t="str">
        <f t="shared" si="0"/>
        <v>STANDAR</v>
      </c>
      <c r="G14" s="14" t="str">
        <f t="shared" si="1"/>
        <v>DOUBLE</v>
      </c>
      <c r="H14" s="14">
        <f t="shared" si="2"/>
        <v>200000</v>
      </c>
    </row>
    <row r="15" spans="2:8" x14ac:dyDescent="0.25">
      <c r="B15" s="16">
        <f t="shared" si="3"/>
        <v>11</v>
      </c>
      <c r="C15" s="14" t="s">
        <v>126</v>
      </c>
      <c r="D15" s="10">
        <v>3</v>
      </c>
      <c r="E15" s="10" t="s">
        <v>60</v>
      </c>
      <c r="F15" s="14" t="str">
        <f t="shared" si="0"/>
        <v>SUPERIOR</v>
      </c>
      <c r="G15" s="14" t="str">
        <f t="shared" si="1"/>
        <v>SINGLE</v>
      </c>
      <c r="H15" s="14">
        <f t="shared" si="2"/>
        <v>200000</v>
      </c>
    </row>
    <row r="16" spans="2:8" x14ac:dyDescent="0.25">
      <c r="B16" s="16">
        <f t="shared" si="3"/>
        <v>12</v>
      </c>
      <c r="C16" s="14" t="s">
        <v>127</v>
      </c>
      <c r="D16" s="10">
        <v>2</v>
      </c>
      <c r="E16" s="10" t="s">
        <v>61</v>
      </c>
      <c r="F16" s="14" t="str">
        <f t="shared" si="0"/>
        <v>STANDAR</v>
      </c>
      <c r="G16" s="14" t="str">
        <f t="shared" si="1"/>
        <v>DOUBLE</v>
      </c>
      <c r="H16" s="14">
        <f t="shared" si="2"/>
        <v>200000</v>
      </c>
    </row>
    <row r="17" spans="2:8" x14ac:dyDescent="0.25">
      <c r="B17" s="16">
        <f t="shared" si="3"/>
        <v>13</v>
      </c>
      <c r="C17" s="14" t="s">
        <v>128</v>
      </c>
      <c r="D17" s="10">
        <v>3</v>
      </c>
      <c r="E17" s="10" t="s">
        <v>60</v>
      </c>
      <c r="F17" s="14" t="str">
        <f t="shared" si="0"/>
        <v>SUPERIOR</v>
      </c>
      <c r="G17" s="14" t="str">
        <f t="shared" si="1"/>
        <v>SINGLE</v>
      </c>
      <c r="H17" s="14">
        <f t="shared" si="2"/>
        <v>200000</v>
      </c>
    </row>
    <row r="18" spans="2:8" x14ac:dyDescent="0.25">
      <c r="B18" s="16">
        <f t="shared" si="3"/>
        <v>14</v>
      </c>
      <c r="C18" s="14" t="s">
        <v>129</v>
      </c>
      <c r="D18" s="10">
        <v>3</v>
      </c>
      <c r="E18" s="10" t="s">
        <v>59</v>
      </c>
      <c r="F18" s="14" t="str">
        <f t="shared" si="0"/>
        <v>DELUXE</v>
      </c>
      <c r="G18" s="14" t="str">
        <f t="shared" si="1"/>
        <v>SINGLE</v>
      </c>
      <c r="H18" s="14">
        <f t="shared" si="2"/>
        <v>300000</v>
      </c>
    </row>
    <row r="21" spans="2:8" x14ac:dyDescent="0.25">
      <c r="D21" t="s">
        <v>131</v>
      </c>
    </row>
    <row r="22" spans="2:8" x14ac:dyDescent="0.25">
      <c r="D22" s="1" t="s">
        <v>32</v>
      </c>
      <c r="E22" s="1">
        <v>1</v>
      </c>
      <c r="F22" s="1">
        <v>2</v>
      </c>
      <c r="G22" s="1">
        <v>3</v>
      </c>
    </row>
    <row r="23" spans="2:8" x14ac:dyDescent="0.25">
      <c r="D23" s="1" t="s">
        <v>115</v>
      </c>
      <c r="E23" s="1" t="s">
        <v>134</v>
      </c>
      <c r="F23" s="1" t="s">
        <v>133</v>
      </c>
      <c r="G23" s="1" t="s">
        <v>132</v>
      </c>
    </row>
    <row r="26" spans="2:8" x14ac:dyDescent="0.25">
      <c r="D26" t="s">
        <v>135</v>
      </c>
    </row>
    <row r="27" spans="2:8" x14ac:dyDescent="0.25">
      <c r="D27" s="1" t="s">
        <v>32</v>
      </c>
      <c r="E27" s="1" t="s">
        <v>136</v>
      </c>
      <c r="F27" s="1" t="s">
        <v>134</v>
      </c>
      <c r="G27" s="1" t="s">
        <v>133</v>
      </c>
      <c r="H27" s="1" t="s">
        <v>132</v>
      </c>
    </row>
    <row r="28" spans="2:8" x14ac:dyDescent="0.25">
      <c r="D28" s="1" t="s">
        <v>59</v>
      </c>
      <c r="E28" s="1" t="s">
        <v>137</v>
      </c>
      <c r="F28" s="1">
        <v>500000</v>
      </c>
      <c r="G28" s="1">
        <v>400000</v>
      </c>
      <c r="H28" s="1">
        <v>300000</v>
      </c>
    </row>
    <row r="29" spans="2:8" x14ac:dyDescent="0.25">
      <c r="D29" s="1" t="s">
        <v>60</v>
      </c>
      <c r="E29" s="1" t="s">
        <v>138</v>
      </c>
      <c r="F29" s="1">
        <v>400000</v>
      </c>
      <c r="G29" s="1">
        <v>300000</v>
      </c>
      <c r="H29" s="1">
        <v>200000</v>
      </c>
    </row>
    <row r="30" spans="2:8" x14ac:dyDescent="0.25">
      <c r="D30" s="1" t="s">
        <v>61</v>
      </c>
      <c r="E30" s="1" t="s">
        <v>139</v>
      </c>
      <c r="F30" s="1">
        <v>300000</v>
      </c>
      <c r="G30" s="1">
        <v>200000</v>
      </c>
      <c r="H30" s="1">
        <v>100000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workbookViewId="0">
      <selection activeCell="J12" sqref="J12"/>
    </sheetView>
  </sheetViews>
  <sheetFormatPr defaultRowHeight="15" x14ac:dyDescent="0.25"/>
  <cols>
    <col min="3" max="3" width="20" customWidth="1"/>
  </cols>
  <sheetData>
    <row r="2" spans="2:12" x14ac:dyDescent="0.25">
      <c r="B2" t="s">
        <v>141</v>
      </c>
    </row>
    <row r="4" spans="2:12" x14ac:dyDescent="0.25">
      <c r="B4" t="s">
        <v>142</v>
      </c>
      <c r="C4">
        <v>15000</v>
      </c>
    </row>
    <row r="6" spans="2:12" x14ac:dyDescent="0.25">
      <c r="B6" s="18" t="s">
        <v>31</v>
      </c>
      <c r="C6" s="18" t="s">
        <v>143</v>
      </c>
      <c r="D6" s="27" t="s">
        <v>144</v>
      </c>
      <c r="E6" s="27"/>
      <c r="F6" s="27"/>
      <c r="G6" s="27"/>
      <c r="H6" s="27"/>
      <c r="I6" s="27"/>
      <c r="J6" s="10" t="s">
        <v>151</v>
      </c>
      <c r="K6" s="1" t="s">
        <v>151</v>
      </c>
      <c r="L6" s="18" t="s">
        <v>154</v>
      </c>
    </row>
    <row r="7" spans="2:12" x14ac:dyDescent="0.25">
      <c r="B7" s="18"/>
      <c r="C7" s="18"/>
      <c r="D7" s="15" t="s">
        <v>145</v>
      </c>
      <c r="E7" s="1" t="s">
        <v>146</v>
      </c>
      <c r="F7" s="1" t="s">
        <v>147</v>
      </c>
      <c r="G7" s="1" t="s">
        <v>148</v>
      </c>
      <c r="H7" s="1" t="s">
        <v>149</v>
      </c>
      <c r="I7" s="1" t="s">
        <v>150</v>
      </c>
      <c r="J7" s="10" t="s">
        <v>152</v>
      </c>
      <c r="K7" s="1" t="s">
        <v>153</v>
      </c>
      <c r="L7" s="18"/>
    </row>
    <row r="8" spans="2:12" x14ac:dyDescent="0.25">
      <c r="B8" s="9">
        <v>1</v>
      </c>
      <c r="C8" s="9" t="s">
        <v>96</v>
      </c>
      <c r="D8" s="9" t="s">
        <v>161</v>
      </c>
      <c r="E8" s="9" t="s">
        <v>162</v>
      </c>
      <c r="F8" s="9" t="s">
        <v>162</v>
      </c>
      <c r="G8" s="9" t="s">
        <v>162</v>
      </c>
      <c r="H8" s="9" t="s">
        <v>161</v>
      </c>
      <c r="I8" s="9" t="s">
        <v>162</v>
      </c>
      <c r="J8" s="9">
        <f>COUNTIF(D8:I8,"x")</f>
        <v>2</v>
      </c>
      <c r="K8" s="9">
        <f>COUNTIF(D8:I8,"a")</f>
        <v>4</v>
      </c>
      <c r="L8" s="9">
        <f>($C$4*J8)</f>
        <v>30000</v>
      </c>
    </row>
    <row r="9" spans="2:12" x14ac:dyDescent="0.25">
      <c r="B9" s="9">
        <f>SUM(B8+1)</f>
        <v>2</v>
      </c>
      <c r="C9" s="9" t="s">
        <v>155</v>
      </c>
      <c r="D9" s="9" t="s">
        <v>162</v>
      </c>
      <c r="E9" s="9" t="s">
        <v>162</v>
      </c>
      <c r="F9" s="9" t="s">
        <v>162</v>
      </c>
      <c r="G9" s="9" t="s">
        <v>162</v>
      </c>
      <c r="H9" s="9" t="s">
        <v>161</v>
      </c>
      <c r="I9" s="9" t="s">
        <v>162</v>
      </c>
      <c r="J9" s="9">
        <f t="shared" ref="J9:J17" si="0">COUNTIF(D9:I9,"x")</f>
        <v>1</v>
      </c>
      <c r="K9" s="9">
        <f t="shared" ref="K9:K17" si="1">COUNTIF(D9:I9,"a")</f>
        <v>5</v>
      </c>
      <c r="L9" s="9">
        <f t="shared" ref="L9:L17" si="2">($C$4*J9)</f>
        <v>15000</v>
      </c>
    </row>
    <row r="10" spans="2:12" x14ac:dyDescent="0.25">
      <c r="B10" s="9">
        <f t="shared" ref="B10:B17" si="3">SUM(B9+1)</f>
        <v>3</v>
      </c>
      <c r="C10" s="9" t="s">
        <v>50</v>
      </c>
      <c r="D10" s="9" t="s">
        <v>161</v>
      </c>
      <c r="E10" s="9" t="s">
        <v>161</v>
      </c>
      <c r="F10" s="9" t="s">
        <v>161</v>
      </c>
      <c r="G10" s="9" t="s">
        <v>161</v>
      </c>
      <c r="H10" s="9" t="s">
        <v>161</v>
      </c>
      <c r="I10" s="9" t="s">
        <v>161</v>
      </c>
      <c r="J10" s="9">
        <f t="shared" si="0"/>
        <v>6</v>
      </c>
      <c r="K10" s="9">
        <f t="shared" si="1"/>
        <v>0</v>
      </c>
      <c r="L10" s="9">
        <f t="shared" si="2"/>
        <v>90000</v>
      </c>
    </row>
    <row r="11" spans="2:12" x14ac:dyDescent="0.25">
      <c r="B11" s="9">
        <f t="shared" si="3"/>
        <v>4</v>
      </c>
      <c r="C11" s="9" t="s">
        <v>62</v>
      </c>
      <c r="D11" s="9" t="s">
        <v>161</v>
      </c>
      <c r="E11" s="9" t="s">
        <v>161</v>
      </c>
      <c r="F11" s="9" t="s">
        <v>162</v>
      </c>
      <c r="G11" s="9" t="s">
        <v>162</v>
      </c>
      <c r="H11" s="9" t="s">
        <v>162</v>
      </c>
      <c r="I11" s="9" t="s">
        <v>161</v>
      </c>
      <c r="J11" s="9">
        <f t="shared" si="0"/>
        <v>3</v>
      </c>
      <c r="K11" s="9">
        <f t="shared" si="1"/>
        <v>3</v>
      </c>
      <c r="L11" s="9">
        <f t="shared" si="2"/>
        <v>45000</v>
      </c>
    </row>
    <row r="12" spans="2:12" x14ac:dyDescent="0.25">
      <c r="B12" s="9">
        <f t="shared" si="3"/>
        <v>5</v>
      </c>
      <c r="C12" s="9" t="s">
        <v>156</v>
      </c>
      <c r="D12" s="9" t="s">
        <v>162</v>
      </c>
      <c r="E12" s="9" t="s">
        <v>161</v>
      </c>
      <c r="F12" s="9" t="s">
        <v>162</v>
      </c>
      <c r="G12" s="9" t="s">
        <v>161</v>
      </c>
      <c r="H12" s="9" t="s">
        <v>161</v>
      </c>
      <c r="I12" s="9" t="s">
        <v>161</v>
      </c>
      <c r="J12" s="9">
        <f t="shared" si="0"/>
        <v>4</v>
      </c>
      <c r="K12" s="9">
        <f t="shared" si="1"/>
        <v>2</v>
      </c>
      <c r="L12" s="9">
        <f t="shared" si="2"/>
        <v>60000</v>
      </c>
    </row>
    <row r="13" spans="2:12" x14ac:dyDescent="0.25">
      <c r="B13" s="9">
        <f t="shared" si="3"/>
        <v>6</v>
      </c>
      <c r="C13" s="9" t="s">
        <v>157</v>
      </c>
      <c r="D13" s="9" t="s">
        <v>161</v>
      </c>
      <c r="E13" s="9" t="s">
        <v>161</v>
      </c>
      <c r="F13" s="9" t="s">
        <v>161</v>
      </c>
      <c r="G13" s="9" t="s">
        <v>161</v>
      </c>
      <c r="H13" s="9" t="s">
        <v>161</v>
      </c>
      <c r="I13" s="9" t="s">
        <v>161</v>
      </c>
      <c r="J13" s="9">
        <f t="shared" si="0"/>
        <v>6</v>
      </c>
      <c r="K13" s="9">
        <f t="shared" si="1"/>
        <v>0</v>
      </c>
      <c r="L13" s="9">
        <f t="shared" si="2"/>
        <v>90000</v>
      </c>
    </row>
    <row r="14" spans="2:12" x14ac:dyDescent="0.25">
      <c r="B14" s="9">
        <f t="shared" si="3"/>
        <v>7</v>
      </c>
      <c r="C14" s="9" t="s">
        <v>158</v>
      </c>
      <c r="D14" s="9" t="s">
        <v>162</v>
      </c>
      <c r="E14" s="9" t="s">
        <v>161</v>
      </c>
      <c r="F14" s="9" t="s">
        <v>162</v>
      </c>
      <c r="G14" s="9" t="s">
        <v>161</v>
      </c>
      <c r="H14" s="9" t="s">
        <v>161</v>
      </c>
      <c r="I14" s="9" t="s">
        <v>161</v>
      </c>
      <c r="J14" s="9">
        <f t="shared" si="0"/>
        <v>4</v>
      </c>
      <c r="K14" s="9">
        <f t="shared" si="1"/>
        <v>2</v>
      </c>
      <c r="L14" s="9">
        <f t="shared" si="2"/>
        <v>60000</v>
      </c>
    </row>
    <row r="15" spans="2:12" x14ac:dyDescent="0.25">
      <c r="B15" s="9">
        <f t="shared" si="3"/>
        <v>8</v>
      </c>
      <c r="C15" s="9" t="s">
        <v>159</v>
      </c>
      <c r="D15" s="9" t="s">
        <v>162</v>
      </c>
      <c r="E15" s="9" t="s">
        <v>161</v>
      </c>
      <c r="F15" s="9" t="s">
        <v>161</v>
      </c>
      <c r="G15" s="9" t="s">
        <v>161</v>
      </c>
      <c r="H15" s="9" t="s">
        <v>161</v>
      </c>
      <c r="I15" s="9" t="s">
        <v>161</v>
      </c>
      <c r="J15" s="9">
        <f t="shared" si="0"/>
        <v>5</v>
      </c>
      <c r="K15" s="9">
        <f t="shared" si="1"/>
        <v>1</v>
      </c>
      <c r="L15" s="9">
        <f t="shared" si="2"/>
        <v>75000</v>
      </c>
    </row>
    <row r="16" spans="2:12" x14ac:dyDescent="0.25">
      <c r="B16" s="9">
        <f t="shared" si="3"/>
        <v>9</v>
      </c>
      <c r="C16" s="9" t="s">
        <v>130</v>
      </c>
      <c r="D16" s="9" t="s">
        <v>161</v>
      </c>
      <c r="E16" s="9" t="s">
        <v>161</v>
      </c>
      <c r="F16" s="9" t="s">
        <v>162</v>
      </c>
      <c r="G16" s="9" t="s">
        <v>162</v>
      </c>
      <c r="H16" s="9" t="s">
        <v>161</v>
      </c>
      <c r="I16" s="9" t="s">
        <v>161</v>
      </c>
      <c r="J16" s="9">
        <f t="shared" si="0"/>
        <v>4</v>
      </c>
      <c r="K16" s="9">
        <f t="shared" si="1"/>
        <v>2</v>
      </c>
      <c r="L16" s="9">
        <f t="shared" si="2"/>
        <v>60000</v>
      </c>
    </row>
    <row r="17" spans="2:12" x14ac:dyDescent="0.25">
      <c r="B17" s="9">
        <f t="shared" si="3"/>
        <v>10</v>
      </c>
      <c r="C17" s="9" t="s">
        <v>160</v>
      </c>
      <c r="D17" s="9" t="s">
        <v>162</v>
      </c>
      <c r="E17" s="9" t="s">
        <v>162</v>
      </c>
      <c r="F17" s="9" t="s">
        <v>162</v>
      </c>
      <c r="G17" s="9" t="s">
        <v>161</v>
      </c>
      <c r="H17" s="9" t="s">
        <v>161</v>
      </c>
      <c r="I17" s="9" t="s">
        <v>162</v>
      </c>
      <c r="J17" s="9">
        <f t="shared" si="0"/>
        <v>2</v>
      </c>
      <c r="K17" s="9">
        <f t="shared" si="1"/>
        <v>4</v>
      </c>
      <c r="L17" s="9">
        <f t="shared" si="2"/>
        <v>30000</v>
      </c>
    </row>
  </sheetData>
  <mergeCells count="4">
    <mergeCell ref="B6:B7"/>
    <mergeCell ref="C6:C7"/>
    <mergeCell ref="D6:I6"/>
    <mergeCell ref="L6:L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workbookViewId="0">
      <selection activeCell="K9" sqref="K9"/>
    </sheetView>
  </sheetViews>
  <sheetFormatPr defaultRowHeight="15" x14ac:dyDescent="0.25"/>
  <cols>
    <col min="3" max="3" width="18.42578125" customWidth="1"/>
    <col min="4" max="4" width="22.140625" customWidth="1"/>
    <col min="5" max="5" width="11.140625" customWidth="1"/>
    <col min="6" max="6" width="17.28515625" customWidth="1"/>
    <col min="7" max="8" width="15.85546875" customWidth="1"/>
    <col min="9" max="9" width="14.5703125" customWidth="1"/>
    <col min="11" max="11" width="13" customWidth="1"/>
  </cols>
  <sheetData>
    <row r="2" spans="1:9" x14ac:dyDescent="0.25">
      <c r="I2" t="s">
        <v>190</v>
      </c>
    </row>
    <row r="3" spans="1:9" x14ac:dyDescent="0.25">
      <c r="A3" s="13" t="s">
        <v>163</v>
      </c>
      <c r="B3" s="13" t="s">
        <v>164</v>
      </c>
      <c r="C3" s="13" t="s">
        <v>165</v>
      </c>
      <c r="D3" s="13" t="s">
        <v>166</v>
      </c>
      <c r="E3" s="13" t="s">
        <v>167</v>
      </c>
      <c r="F3" s="13" t="s">
        <v>189</v>
      </c>
      <c r="G3" s="13" t="s">
        <v>168</v>
      </c>
      <c r="H3" s="13" t="s">
        <v>169</v>
      </c>
      <c r="I3" s="13" t="s">
        <v>170</v>
      </c>
    </row>
    <row r="4" spans="1:9" x14ac:dyDescent="0.25">
      <c r="A4" s="13">
        <v>1</v>
      </c>
      <c r="B4" s="28">
        <v>39631</v>
      </c>
      <c r="C4" s="13" t="s">
        <v>171</v>
      </c>
      <c r="D4" s="13" t="s">
        <v>178</v>
      </c>
      <c r="E4" s="13">
        <v>11</v>
      </c>
      <c r="F4" s="13" t="s">
        <v>182</v>
      </c>
      <c r="G4" s="29">
        <f>VLOOKUP(D4,$J$25:$L$28,3,0)</f>
        <v>12090000</v>
      </c>
      <c r="H4" s="29">
        <f>G4*E4</f>
        <v>132990000</v>
      </c>
      <c r="I4" s="29">
        <f>H4*1%</f>
        <v>1329900</v>
      </c>
    </row>
    <row r="5" spans="1:9" x14ac:dyDescent="0.25">
      <c r="A5" s="13">
        <f>SUM(A4+1)</f>
        <v>2</v>
      </c>
      <c r="B5" s="28">
        <v>39631</v>
      </c>
      <c r="C5" s="13" t="s">
        <v>172</v>
      </c>
      <c r="D5" s="13" t="s">
        <v>181</v>
      </c>
      <c r="E5" s="13">
        <v>4</v>
      </c>
      <c r="F5" s="13" t="s">
        <v>183</v>
      </c>
      <c r="G5" s="29">
        <f t="shared" ref="G5:G21" si="0">VLOOKUP(D5,$J$25:$L$28,3,0)</f>
        <v>11000000</v>
      </c>
      <c r="H5" s="29">
        <f t="shared" ref="H5:H21" si="1">G5*E5</f>
        <v>44000000</v>
      </c>
      <c r="I5" s="29">
        <f t="shared" ref="I5:I21" si="2">H5*1%</f>
        <v>440000</v>
      </c>
    </row>
    <row r="6" spans="1:9" x14ac:dyDescent="0.25">
      <c r="A6" s="13">
        <f t="shared" ref="A6:A27" si="3">SUM(A5+1)</f>
        <v>3</v>
      </c>
      <c r="B6" s="28">
        <v>39631</v>
      </c>
      <c r="C6" s="13" t="s">
        <v>173</v>
      </c>
      <c r="D6" s="13" t="s">
        <v>181</v>
      </c>
      <c r="E6" s="13">
        <v>3</v>
      </c>
      <c r="F6" s="13" t="s">
        <v>183</v>
      </c>
      <c r="G6" s="29">
        <f t="shared" si="0"/>
        <v>11000000</v>
      </c>
      <c r="H6" s="29">
        <f t="shared" si="1"/>
        <v>33000000</v>
      </c>
      <c r="I6" s="29">
        <f t="shared" si="2"/>
        <v>330000</v>
      </c>
    </row>
    <row r="7" spans="1:9" x14ac:dyDescent="0.25">
      <c r="A7" s="13">
        <f t="shared" si="3"/>
        <v>4</v>
      </c>
      <c r="B7" s="28">
        <v>39631</v>
      </c>
      <c r="C7" s="13" t="s">
        <v>174</v>
      </c>
      <c r="D7" s="13" t="s">
        <v>179</v>
      </c>
      <c r="E7" s="13">
        <v>6</v>
      </c>
      <c r="F7" s="13" t="s">
        <v>184</v>
      </c>
      <c r="G7" s="29">
        <f t="shared" si="0"/>
        <v>17000000</v>
      </c>
      <c r="H7" s="29">
        <f t="shared" si="1"/>
        <v>102000000</v>
      </c>
      <c r="I7" s="29">
        <f t="shared" si="2"/>
        <v>1020000</v>
      </c>
    </row>
    <row r="8" spans="1:9" x14ac:dyDescent="0.25">
      <c r="A8" s="13">
        <f t="shared" si="3"/>
        <v>5</v>
      </c>
      <c r="B8" s="28">
        <v>39632</v>
      </c>
      <c r="C8" s="13" t="s">
        <v>175</v>
      </c>
      <c r="D8" s="13" t="s">
        <v>178</v>
      </c>
      <c r="E8" s="13">
        <v>5</v>
      </c>
      <c r="F8" s="13" t="s">
        <v>182</v>
      </c>
      <c r="G8" s="29">
        <f t="shared" si="0"/>
        <v>12090000</v>
      </c>
      <c r="H8" s="29">
        <f t="shared" si="1"/>
        <v>60450000</v>
      </c>
      <c r="I8" s="29">
        <f t="shared" si="2"/>
        <v>604500</v>
      </c>
    </row>
    <row r="9" spans="1:9" x14ac:dyDescent="0.25">
      <c r="A9" s="13">
        <f t="shared" si="3"/>
        <v>6</v>
      </c>
      <c r="B9" s="28">
        <v>39632</v>
      </c>
      <c r="C9" s="13" t="s">
        <v>176</v>
      </c>
      <c r="D9" s="13" t="s">
        <v>179</v>
      </c>
      <c r="E9" s="13">
        <v>8</v>
      </c>
      <c r="F9" s="13" t="s">
        <v>184</v>
      </c>
      <c r="G9" s="29">
        <f t="shared" si="0"/>
        <v>17000000</v>
      </c>
      <c r="H9" s="29">
        <f t="shared" si="1"/>
        <v>136000000</v>
      </c>
      <c r="I9" s="29">
        <f t="shared" si="2"/>
        <v>1360000</v>
      </c>
    </row>
    <row r="10" spans="1:9" x14ac:dyDescent="0.25">
      <c r="A10" s="13">
        <f t="shared" si="3"/>
        <v>7</v>
      </c>
      <c r="B10" s="28">
        <v>39633</v>
      </c>
      <c r="C10" s="13" t="s">
        <v>172</v>
      </c>
      <c r="D10" s="13" t="s">
        <v>179</v>
      </c>
      <c r="E10" s="13">
        <v>2</v>
      </c>
      <c r="F10" s="13" t="s">
        <v>184</v>
      </c>
      <c r="G10" s="29">
        <f t="shared" si="0"/>
        <v>17000000</v>
      </c>
      <c r="H10" s="29">
        <f t="shared" si="1"/>
        <v>34000000</v>
      </c>
      <c r="I10" s="29">
        <f t="shared" si="2"/>
        <v>340000</v>
      </c>
    </row>
    <row r="11" spans="1:9" x14ac:dyDescent="0.25">
      <c r="A11" s="13">
        <f t="shared" si="3"/>
        <v>8</v>
      </c>
      <c r="B11" s="28">
        <v>39634</v>
      </c>
      <c r="C11" s="13" t="s">
        <v>172</v>
      </c>
      <c r="D11" s="13" t="s">
        <v>178</v>
      </c>
      <c r="E11" s="13">
        <v>4</v>
      </c>
      <c r="F11" s="13" t="s">
        <v>182</v>
      </c>
      <c r="G11" s="29">
        <f t="shared" si="0"/>
        <v>12090000</v>
      </c>
      <c r="H11" s="29">
        <f t="shared" si="1"/>
        <v>48360000</v>
      </c>
      <c r="I11" s="29">
        <f t="shared" si="2"/>
        <v>483600</v>
      </c>
    </row>
    <row r="12" spans="1:9" x14ac:dyDescent="0.25">
      <c r="A12" s="13">
        <f t="shared" si="3"/>
        <v>9</v>
      </c>
      <c r="B12" s="28">
        <v>39634</v>
      </c>
      <c r="C12" s="13" t="s">
        <v>173</v>
      </c>
      <c r="D12" s="13" t="s">
        <v>178</v>
      </c>
      <c r="E12" s="13">
        <v>2</v>
      </c>
      <c r="F12" s="13" t="s">
        <v>182</v>
      </c>
      <c r="G12" s="29">
        <f t="shared" si="0"/>
        <v>12090000</v>
      </c>
      <c r="H12" s="29">
        <f t="shared" si="1"/>
        <v>24180000</v>
      </c>
      <c r="I12" s="29">
        <f t="shared" si="2"/>
        <v>241800</v>
      </c>
    </row>
    <row r="13" spans="1:9" x14ac:dyDescent="0.25">
      <c r="A13" s="13">
        <f t="shared" si="3"/>
        <v>10</v>
      </c>
      <c r="B13" s="28">
        <v>39634</v>
      </c>
      <c r="C13" s="13" t="s">
        <v>175</v>
      </c>
      <c r="D13" s="13" t="s">
        <v>180</v>
      </c>
      <c r="E13" s="13">
        <v>3</v>
      </c>
      <c r="F13" s="13" t="s">
        <v>185</v>
      </c>
      <c r="G13" s="29">
        <f t="shared" si="0"/>
        <v>11250000</v>
      </c>
      <c r="H13" s="29">
        <f t="shared" si="1"/>
        <v>33750000</v>
      </c>
      <c r="I13" s="29">
        <f t="shared" si="2"/>
        <v>337500</v>
      </c>
    </row>
    <row r="14" spans="1:9" x14ac:dyDescent="0.25">
      <c r="A14" s="13">
        <f t="shared" si="3"/>
        <v>11</v>
      </c>
      <c r="B14" s="28">
        <v>39634</v>
      </c>
      <c r="C14" s="13" t="s">
        <v>171</v>
      </c>
      <c r="D14" s="13" t="s">
        <v>178</v>
      </c>
      <c r="E14" s="13">
        <v>6</v>
      </c>
      <c r="F14" s="13" t="s">
        <v>182</v>
      </c>
      <c r="G14" s="29">
        <f t="shared" si="0"/>
        <v>12090000</v>
      </c>
      <c r="H14" s="29">
        <f t="shared" si="1"/>
        <v>72540000</v>
      </c>
      <c r="I14" s="29">
        <f t="shared" si="2"/>
        <v>725400</v>
      </c>
    </row>
    <row r="15" spans="1:9" x14ac:dyDescent="0.25">
      <c r="A15" s="13">
        <f t="shared" si="3"/>
        <v>12</v>
      </c>
      <c r="B15" s="28">
        <v>39635</v>
      </c>
      <c r="C15" s="13" t="s">
        <v>173</v>
      </c>
      <c r="D15" s="13" t="s">
        <v>181</v>
      </c>
      <c r="E15" s="13">
        <v>5</v>
      </c>
      <c r="F15" s="13" t="s">
        <v>183</v>
      </c>
      <c r="G15" s="29">
        <f t="shared" si="0"/>
        <v>11000000</v>
      </c>
      <c r="H15" s="29">
        <f t="shared" si="1"/>
        <v>55000000</v>
      </c>
      <c r="I15" s="29">
        <f t="shared" si="2"/>
        <v>550000</v>
      </c>
    </row>
    <row r="16" spans="1:9" x14ac:dyDescent="0.25">
      <c r="A16" s="13">
        <f t="shared" si="3"/>
        <v>13</v>
      </c>
      <c r="B16" s="28">
        <v>39635</v>
      </c>
      <c r="C16" s="13" t="s">
        <v>171</v>
      </c>
      <c r="D16" s="13" t="s">
        <v>181</v>
      </c>
      <c r="E16" s="13">
        <v>8</v>
      </c>
      <c r="F16" s="13" t="s">
        <v>183</v>
      </c>
      <c r="G16" s="29">
        <f t="shared" si="0"/>
        <v>11000000</v>
      </c>
      <c r="H16" s="29">
        <f t="shared" si="1"/>
        <v>88000000</v>
      </c>
      <c r="I16" s="29">
        <f t="shared" si="2"/>
        <v>880000</v>
      </c>
    </row>
    <row r="17" spans="1:12" x14ac:dyDescent="0.25">
      <c r="A17" s="13">
        <f t="shared" si="3"/>
        <v>14</v>
      </c>
      <c r="B17" s="28">
        <v>39635</v>
      </c>
      <c r="C17" s="13" t="s">
        <v>173</v>
      </c>
      <c r="D17" s="13" t="s">
        <v>180</v>
      </c>
      <c r="E17" s="13">
        <v>3</v>
      </c>
      <c r="F17" s="13" t="s">
        <v>185</v>
      </c>
      <c r="G17" s="29">
        <f t="shared" si="0"/>
        <v>11250000</v>
      </c>
      <c r="H17" s="29">
        <f t="shared" si="1"/>
        <v>33750000</v>
      </c>
      <c r="I17" s="29">
        <f t="shared" si="2"/>
        <v>337500</v>
      </c>
    </row>
    <row r="18" spans="1:12" x14ac:dyDescent="0.25">
      <c r="A18" s="13">
        <f t="shared" si="3"/>
        <v>15</v>
      </c>
      <c r="B18" s="28">
        <v>39635</v>
      </c>
      <c r="C18" s="13" t="s">
        <v>174</v>
      </c>
      <c r="D18" s="13" t="s">
        <v>180</v>
      </c>
      <c r="E18" s="13">
        <v>4</v>
      </c>
      <c r="F18" s="13" t="s">
        <v>185</v>
      </c>
      <c r="G18" s="29">
        <f t="shared" si="0"/>
        <v>11250000</v>
      </c>
      <c r="H18" s="29">
        <f t="shared" si="1"/>
        <v>45000000</v>
      </c>
      <c r="I18" s="29">
        <f t="shared" si="2"/>
        <v>450000</v>
      </c>
    </row>
    <row r="19" spans="1:12" x14ac:dyDescent="0.25">
      <c r="A19" s="13">
        <f t="shared" si="3"/>
        <v>16</v>
      </c>
      <c r="B19" s="28">
        <v>39635</v>
      </c>
      <c r="C19" s="13" t="s">
        <v>173</v>
      </c>
      <c r="D19" s="13" t="s">
        <v>178</v>
      </c>
      <c r="E19" s="13">
        <v>2</v>
      </c>
      <c r="F19" s="13" t="s">
        <v>182</v>
      </c>
      <c r="G19" s="29">
        <f t="shared" si="0"/>
        <v>12090000</v>
      </c>
      <c r="H19" s="29">
        <f t="shared" si="1"/>
        <v>24180000</v>
      </c>
      <c r="I19" s="29">
        <f t="shared" si="2"/>
        <v>241800</v>
      </c>
    </row>
    <row r="20" spans="1:12" x14ac:dyDescent="0.25">
      <c r="A20" s="13">
        <f t="shared" si="3"/>
        <v>17</v>
      </c>
      <c r="B20" s="28">
        <v>39636</v>
      </c>
      <c r="C20" s="13" t="s">
        <v>174</v>
      </c>
      <c r="D20" s="13" t="s">
        <v>180</v>
      </c>
      <c r="E20" s="13">
        <v>6</v>
      </c>
      <c r="F20" s="13" t="s">
        <v>185</v>
      </c>
      <c r="G20" s="29">
        <f t="shared" si="0"/>
        <v>11250000</v>
      </c>
      <c r="H20" s="29">
        <f t="shared" si="1"/>
        <v>67500000</v>
      </c>
      <c r="I20" s="29">
        <f t="shared" si="2"/>
        <v>675000</v>
      </c>
    </row>
    <row r="21" spans="1:12" x14ac:dyDescent="0.25">
      <c r="A21" s="13">
        <f t="shared" si="3"/>
        <v>18</v>
      </c>
      <c r="B21" s="28">
        <v>39636</v>
      </c>
      <c r="C21" s="13" t="s">
        <v>177</v>
      </c>
      <c r="D21" s="13" t="s">
        <v>181</v>
      </c>
      <c r="E21" s="13">
        <v>3</v>
      </c>
      <c r="F21" s="13" t="s">
        <v>183</v>
      </c>
      <c r="G21" s="29">
        <f t="shared" si="0"/>
        <v>11000000</v>
      </c>
      <c r="H21" s="29">
        <f t="shared" si="1"/>
        <v>33000000</v>
      </c>
      <c r="I21" s="29">
        <f t="shared" si="2"/>
        <v>330000</v>
      </c>
    </row>
    <row r="22" spans="1:12" x14ac:dyDescent="0.25">
      <c r="A22" s="18" t="s">
        <v>191</v>
      </c>
      <c r="B22" s="18"/>
      <c r="C22" s="18"/>
      <c r="D22" s="18"/>
      <c r="E22" s="1"/>
      <c r="F22" s="1"/>
      <c r="G22" s="1"/>
      <c r="H22" s="1"/>
      <c r="I22" s="1"/>
    </row>
    <row r="24" spans="1:12" x14ac:dyDescent="0.25">
      <c r="D24" s="13" t="s">
        <v>186</v>
      </c>
      <c r="E24" s="13" t="s">
        <v>167</v>
      </c>
      <c r="F24" s="13" t="s">
        <v>187</v>
      </c>
      <c r="J24" s="13" t="s">
        <v>32</v>
      </c>
      <c r="K24" s="13" t="s">
        <v>186</v>
      </c>
      <c r="L24" s="13" t="s">
        <v>112</v>
      </c>
    </row>
    <row r="25" spans="1:12" x14ac:dyDescent="0.25">
      <c r="D25" s="13" t="s">
        <v>184</v>
      </c>
      <c r="E25" s="13">
        <f>SUMIF($F$4:$F$21,D25,$E$4:$E$21)</f>
        <v>16</v>
      </c>
      <c r="F25" s="29">
        <f>SUMIF($F$4:$F$21,D25,$H4:$H21)</f>
        <v>272000000</v>
      </c>
      <c r="J25" s="13" t="s">
        <v>179</v>
      </c>
      <c r="K25" s="13" t="s">
        <v>184</v>
      </c>
      <c r="L25" s="13">
        <v>17000000</v>
      </c>
    </row>
    <row r="26" spans="1:12" x14ac:dyDescent="0.25">
      <c r="D26" s="13" t="s">
        <v>185</v>
      </c>
      <c r="E26" s="13">
        <f t="shared" ref="E26:E28" si="4">SUMIF($F$4:$F$21,D26,$E$4:$E$21)</f>
        <v>16</v>
      </c>
      <c r="F26" s="29">
        <f t="shared" ref="F26:F28" si="5">SUMIF($F$4:$F$21,D26,$H5:$H22)</f>
        <v>174720000</v>
      </c>
      <c r="J26" s="13" t="s">
        <v>180</v>
      </c>
      <c r="K26" s="13" t="s">
        <v>185</v>
      </c>
      <c r="L26" s="13">
        <v>11250000</v>
      </c>
    </row>
    <row r="27" spans="1:12" x14ac:dyDescent="0.25">
      <c r="D27" s="13" t="s">
        <v>183</v>
      </c>
      <c r="E27" s="13">
        <f t="shared" si="4"/>
        <v>23</v>
      </c>
      <c r="F27" s="29">
        <f t="shared" si="5"/>
        <v>241200000</v>
      </c>
      <c r="J27" s="13" t="s">
        <v>181</v>
      </c>
      <c r="K27" s="13" t="s">
        <v>183</v>
      </c>
      <c r="L27" s="13">
        <v>11000000</v>
      </c>
    </row>
    <row r="28" spans="1:12" x14ac:dyDescent="0.25">
      <c r="D28" s="13" t="s">
        <v>182</v>
      </c>
      <c r="E28" s="13">
        <f t="shared" si="4"/>
        <v>30</v>
      </c>
      <c r="F28" s="29">
        <f t="shared" si="5"/>
        <v>311650000</v>
      </c>
      <c r="J28" s="13" t="s">
        <v>178</v>
      </c>
      <c r="K28" s="13" t="s">
        <v>182</v>
      </c>
      <c r="L28" s="13">
        <v>12090000</v>
      </c>
    </row>
    <row r="30" spans="1:12" x14ac:dyDescent="0.25">
      <c r="D30" s="13" t="s">
        <v>165</v>
      </c>
      <c r="E30" s="13" t="s">
        <v>188</v>
      </c>
      <c r="F30" s="13" t="s">
        <v>170</v>
      </c>
    </row>
    <row r="31" spans="1:12" x14ac:dyDescent="0.25">
      <c r="D31" s="13" t="s">
        <v>175</v>
      </c>
      <c r="E31" s="13">
        <f>SUMIF($C$4:$C$21,D31,$E$4:$E$21)</f>
        <v>8</v>
      </c>
      <c r="F31" s="29">
        <f>SUMIF($C$4:$C$21,D31,$I$4:$I$21)</f>
        <v>942000</v>
      </c>
    </row>
    <row r="32" spans="1:12" x14ac:dyDescent="0.25">
      <c r="D32" s="13" t="s">
        <v>173</v>
      </c>
      <c r="E32" s="13">
        <f t="shared" ref="E32:E37" si="6">SUMIF($C$4:$C$21,D32,$E$4:$E$21)</f>
        <v>15</v>
      </c>
      <c r="F32" s="29">
        <f t="shared" ref="F32:F37" si="7">SUMIF($C$4:$C$21,D32,$I$4:$I$21)</f>
        <v>1701100</v>
      </c>
    </row>
    <row r="33" spans="4:6" x14ac:dyDescent="0.25">
      <c r="D33" s="13" t="s">
        <v>177</v>
      </c>
      <c r="E33" s="13">
        <f t="shared" si="6"/>
        <v>3</v>
      </c>
      <c r="F33" s="29">
        <f t="shared" si="7"/>
        <v>330000</v>
      </c>
    </row>
    <row r="34" spans="4:6" x14ac:dyDescent="0.25">
      <c r="D34" s="13" t="s">
        <v>176</v>
      </c>
      <c r="E34" s="13">
        <f t="shared" si="6"/>
        <v>8</v>
      </c>
      <c r="F34" s="29">
        <f t="shared" si="7"/>
        <v>1360000</v>
      </c>
    </row>
    <row r="35" spans="4:6" x14ac:dyDescent="0.25">
      <c r="D35" s="13" t="s">
        <v>174</v>
      </c>
      <c r="E35" s="13">
        <f t="shared" si="6"/>
        <v>16</v>
      </c>
      <c r="F35" s="29">
        <f t="shared" si="7"/>
        <v>2145000</v>
      </c>
    </row>
    <row r="36" spans="4:6" x14ac:dyDescent="0.25">
      <c r="D36" s="13" t="s">
        <v>172</v>
      </c>
      <c r="E36" s="13">
        <f t="shared" si="6"/>
        <v>10</v>
      </c>
      <c r="F36" s="29">
        <f t="shared" si="7"/>
        <v>1263600</v>
      </c>
    </row>
    <row r="37" spans="4:6" x14ac:dyDescent="0.25">
      <c r="D37" s="13" t="s">
        <v>171</v>
      </c>
      <c r="E37" s="13">
        <f t="shared" si="6"/>
        <v>25</v>
      </c>
      <c r="F37" s="29">
        <f t="shared" si="7"/>
        <v>2935300</v>
      </c>
    </row>
  </sheetData>
  <mergeCells count="1">
    <mergeCell ref="A22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2017-04-11T09:58:19Z</dcterms:created>
  <dcterms:modified xsi:type="dcterms:W3CDTF">2019-05-16T10:02:15Z</dcterms:modified>
</cp:coreProperties>
</file>