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ma\OneDrive - University of Oklahoma\FIN Modeling in Excel\OU OneDrive\Hilton Project\"/>
    </mc:Choice>
  </mc:AlternateContent>
  <xr:revisionPtr revIDLastSave="128" documentId="6_{FFB46F98-975B-4757-B9E2-6DC6B2858B89}" xr6:coauthVersionLast="45" xr6:coauthVersionMax="45" xr10:uidLastSave="{CD77658F-F349-4F9E-AE93-9698443B3B7D}"/>
  <bookViews>
    <workbookView xWindow="-108" yWindow="-108" windowWidth="23256" windowHeight="12576" firstSheet="1" activeTab="1" xr2:uid="{00000000-000D-0000-FFFF-FFFF00000000}"/>
  </bookViews>
  <sheets>
    <sheet name="Sheet1" sheetId="6" state="hidden" r:id="rId1"/>
    <sheet name="Main" sheetId="7" r:id="rId2"/>
    <sheet name="IS" sheetId="10" r:id="rId3"/>
    <sheet name="BS" sheetId="11" r:id="rId4"/>
    <sheet name="CF" sheetId="12" r:id="rId5"/>
    <sheet name="Dashboard Calculations" sheetId="9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1" i="7" l="1"/>
  <c r="I160" i="7" l="1"/>
  <c r="P146" i="7" l="1"/>
  <c r="I81" i="7" l="1"/>
  <c r="C54" i="11" l="1"/>
  <c r="F40" i="10"/>
  <c r="E40" i="10"/>
  <c r="D40" i="10"/>
  <c r="C40" i="10"/>
  <c r="B40" i="10"/>
  <c r="F39" i="10"/>
  <c r="E39" i="10"/>
  <c r="D39" i="10"/>
  <c r="C39" i="10"/>
  <c r="B39" i="10"/>
  <c r="K81" i="7"/>
  <c r="D60" i="9"/>
  <c r="D59" i="9"/>
  <c r="D58" i="9"/>
  <c r="D57" i="9"/>
  <c r="H4" i="7"/>
  <c r="D61" i="9" l="1"/>
  <c r="J36" i="9"/>
  <c r="K36" i="9" s="1"/>
  <c r="P5" i="7"/>
  <c r="O63" i="7"/>
  <c r="P63" i="7" s="1"/>
  <c r="Q63" i="7" s="1"/>
  <c r="R63" i="7" s="1"/>
  <c r="C119" i="7"/>
  <c r="J94" i="7" s="1"/>
  <c r="F54" i="7"/>
  <c r="M157" i="7" s="1"/>
  <c r="E54" i="7"/>
  <c r="L55" i="7" s="1"/>
  <c r="D54" i="7"/>
  <c r="K55" i="7" s="1"/>
  <c r="C54" i="7"/>
  <c r="J55" i="7" s="1"/>
  <c r="B54" i="7"/>
  <c r="I55" i="7" s="1"/>
  <c r="F53" i="7"/>
  <c r="M54" i="7" s="1"/>
  <c r="E53" i="7"/>
  <c r="L54" i="7" s="1"/>
  <c r="L52" i="7" s="1"/>
  <c r="L125" i="7" s="1"/>
  <c r="D53" i="7"/>
  <c r="K54" i="7" s="1"/>
  <c r="K52" i="7" s="1"/>
  <c r="K125" i="7" s="1"/>
  <c r="C53" i="7"/>
  <c r="J54" i="7" s="1"/>
  <c r="B53" i="7"/>
  <c r="I54" i="7" s="1"/>
  <c r="I52" i="7" s="1"/>
  <c r="C12" i="7"/>
  <c r="B12" i="7"/>
  <c r="I35" i="7"/>
  <c r="J35" i="7"/>
  <c r="K35" i="7"/>
  <c r="L35" i="7"/>
  <c r="M35" i="7"/>
  <c r="I36" i="7"/>
  <c r="J36" i="7"/>
  <c r="K36" i="7"/>
  <c r="L36" i="7"/>
  <c r="M36" i="7"/>
  <c r="B28" i="9" s="1"/>
  <c r="B29" i="9" s="1"/>
  <c r="I37" i="7"/>
  <c r="J37" i="7"/>
  <c r="K37" i="7"/>
  <c r="L37" i="7"/>
  <c r="M37" i="7"/>
  <c r="I39" i="7"/>
  <c r="J39" i="7"/>
  <c r="K39" i="7"/>
  <c r="L39" i="7"/>
  <c r="M39" i="7"/>
  <c r="I40" i="7"/>
  <c r="J40" i="7"/>
  <c r="K40" i="7"/>
  <c r="L40" i="7"/>
  <c r="M40" i="7"/>
  <c r="I41" i="7"/>
  <c r="J41" i="7"/>
  <c r="K41" i="7"/>
  <c r="L41" i="7"/>
  <c r="M41" i="7"/>
  <c r="I44" i="7"/>
  <c r="J44" i="7"/>
  <c r="J135" i="7" s="1"/>
  <c r="K44" i="7"/>
  <c r="K135" i="7" s="1"/>
  <c r="L44" i="7"/>
  <c r="L135" i="7" s="1"/>
  <c r="M44" i="7"/>
  <c r="M135" i="7" s="1"/>
  <c r="I45" i="7"/>
  <c r="J45" i="7"/>
  <c r="K45" i="7"/>
  <c r="L45" i="7"/>
  <c r="M45" i="7"/>
  <c r="I47" i="7"/>
  <c r="J47" i="7"/>
  <c r="K47" i="7"/>
  <c r="L47" i="7"/>
  <c r="M47" i="7"/>
  <c r="I48" i="7"/>
  <c r="J48" i="7"/>
  <c r="K48" i="7"/>
  <c r="L48" i="7"/>
  <c r="M48" i="7"/>
  <c r="I50" i="7"/>
  <c r="J50" i="7"/>
  <c r="K50" i="7"/>
  <c r="L50" i="7"/>
  <c r="M50" i="7"/>
  <c r="O58" i="7"/>
  <c r="P58" i="7" s="1"/>
  <c r="Q58" i="7" s="1"/>
  <c r="R58" i="7" s="1"/>
  <c r="O59" i="7"/>
  <c r="P59" i="7" s="1"/>
  <c r="Q59" i="7" s="1"/>
  <c r="R59" i="7" s="1"/>
  <c r="O65" i="7"/>
  <c r="O67" i="7"/>
  <c r="P67" i="7" s="1"/>
  <c r="I75" i="7"/>
  <c r="J75" i="7"/>
  <c r="K75" i="7"/>
  <c r="L75" i="7"/>
  <c r="M75" i="7"/>
  <c r="I76" i="7"/>
  <c r="J76" i="7"/>
  <c r="K76" i="7"/>
  <c r="L76" i="7"/>
  <c r="M76" i="7"/>
  <c r="I80" i="7"/>
  <c r="I79" i="7" s="1"/>
  <c r="J80" i="7"/>
  <c r="K80" i="7"/>
  <c r="L80" i="7"/>
  <c r="M80" i="7"/>
  <c r="J81" i="7"/>
  <c r="L81" i="7"/>
  <c r="M81" i="7"/>
  <c r="I82" i="7"/>
  <c r="J82" i="7"/>
  <c r="K82" i="7"/>
  <c r="L82" i="7"/>
  <c r="M82" i="7"/>
  <c r="I84" i="7"/>
  <c r="J84" i="7"/>
  <c r="K84" i="7"/>
  <c r="L84" i="7"/>
  <c r="M84" i="7"/>
  <c r="I85" i="7"/>
  <c r="J85" i="7"/>
  <c r="K85" i="7"/>
  <c r="L85" i="7"/>
  <c r="M85" i="7"/>
  <c r="N85" i="7" s="1"/>
  <c r="N123" i="7" s="1"/>
  <c r="I87" i="7"/>
  <c r="J87" i="7"/>
  <c r="K87" i="7"/>
  <c r="L87" i="7"/>
  <c r="M87" i="7"/>
  <c r="I89" i="7"/>
  <c r="J89" i="7"/>
  <c r="K89" i="7"/>
  <c r="L89" i="7"/>
  <c r="M89" i="7"/>
  <c r="I90" i="7"/>
  <c r="J90" i="7"/>
  <c r="K90" i="7"/>
  <c r="L90" i="7"/>
  <c r="M90" i="7"/>
  <c r="I91" i="7"/>
  <c r="J91" i="7"/>
  <c r="K91" i="7"/>
  <c r="L91" i="7"/>
  <c r="M91" i="7"/>
  <c r="N91" i="7" s="1"/>
  <c r="I92" i="7"/>
  <c r="J92" i="7"/>
  <c r="K92" i="7"/>
  <c r="L92" i="7"/>
  <c r="M92" i="7"/>
  <c r="N92" i="7" s="1"/>
  <c r="O92" i="7" s="1"/>
  <c r="P92" i="7" s="1"/>
  <c r="Q92" i="7" s="1"/>
  <c r="R92" i="7" s="1"/>
  <c r="I93" i="7"/>
  <c r="J93" i="7"/>
  <c r="K93" i="7"/>
  <c r="L93" i="7"/>
  <c r="M93" i="7"/>
  <c r="N93" i="7" s="1"/>
  <c r="I94" i="7"/>
  <c r="K94" i="7"/>
  <c r="L94" i="7"/>
  <c r="M94" i="7"/>
  <c r="I95" i="7"/>
  <c r="J95" i="7"/>
  <c r="K95" i="7"/>
  <c r="L95" i="7"/>
  <c r="M95" i="7"/>
  <c r="O97" i="7"/>
  <c r="O98" i="7"/>
  <c r="P98" i="7" s="1"/>
  <c r="Q98" i="7" s="1"/>
  <c r="R98" i="7" s="1"/>
  <c r="O103" i="7"/>
  <c r="P103" i="7" s="1"/>
  <c r="Q103" i="7" s="1"/>
  <c r="R103" i="7" s="1"/>
  <c r="O105" i="7"/>
  <c r="P105" i="7" s="1"/>
  <c r="Q105" i="7" s="1"/>
  <c r="R105" i="7" s="1"/>
  <c r="J131" i="7"/>
  <c r="J74" i="7" s="1"/>
  <c r="K130" i="7" s="1"/>
  <c r="K131" i="7"/>
  <c r="K74" i="7" s="1"/>
  <c r="L131" i="7"/>
  <c r="L74" i="7" s="1"/>
  <c r="M74" i="7"/>
  <c r="N130" i="7" s="1"/>
  <c r="Q150" i="7"/>
  <c r="G5" i="9"/>
  <c r="H5" i="9" s="1"/>
  <c r="G4" i="9"/>
  <c r="H4" i="9" s="1"/>
  <c r="C4" i="9" s="1"/>
  <c r="L124" i="7" l="1"/>
  <c r="K124" i="7"/>
  <c r="J124" i="7"/>
  <c r="M124" i="7"/>
  <c r="M52" i="7"/>
  <c r="Q146" i="7"/>
  <c r="M155" i="7"/>
  <c r="N47" i="7"/>
  <c r="L36" i="9"/>
  <c r="M36" i="9" s="1"/>
  <c r="N36" i="9" s="1"/>
  <c r="B26" i="9"/>
  <c r="N36" i="7"/>
  <c r="K58" i="7"/>
  <c r="J110" i="7"/>
  <c r="M55" i="7"/>
  <c r="Q157" i="7"/>
  <c r="J60" i="7"/>
  <c r="O146" i="7"/>
  <c r="L59" i="7"/>
  <c r="K77" i="7"/>
  <c r="K110" i="7"/>
  <c r="J58" i="7"/>
  <c r="M113" i="7"/>
  <c r="M137" i="7" s="1"/>
  <c r="M77" i="7"/>
  <c r="Q155" i="7"/>
  <c r="K104" i="7"/>
  <c r="M103" i="7"/>
  <c r="K105" i="7"/>
  <c r="L104" i="7"/>
  <c r="J103" i="7"/>
  <c r="J101" i="7"/>
  <c r="K113" i="7"/>
  <c r="K137" i="7" s="1"/>
  <c r="M79" i="7"/>
  <c r="M110" i="7"/>
  <c r="K102" i="7"/>
  <c r="J113" i="7"/>
  <c r="J137" i="7" s="1"/>
  <c r="K60" i="7"/>
  <c r="M105" i="7"/>
  <c r="J104" i="7"/>
  <c r="J102" i="7"/>
  <c r="K67" i="7"/>
  <c r="J105" i="7"/>
  <c r="L79" i="7"/>
  <c r="M60" i="7"/>
  <c r="K42" i="7"/>
  <c r="M154" i="7"/>
  <c r="J38" i="7"/>
  <c r="J97" i="7" s="1"/>
  <c r="K103" i="7"/>
  <c r="K101" i="7"/>
  <c r="L113" i="7"/>
  <c r="L137" i="7" s="1"/>
  <c r="L66" i="7"/>
  <c r="I42" i="7"/>
  <c r="I38" i="7"/>
  <c r="I99" i="7" s="1"/>
  <c r="M42" i="7"/>
  <c r="J123" i="7"/>
  <c r="I77" i="7"/>
  <c r="I74" i="7" s="1"/>
  <c r="K38" i="7"/>
  <c r="K97" i="7" s="1"/>
  <c r="J42" i="7"/>
  <c r="L70" i="7"/>
  <c r="M59" i="7"/>
  <c r="J65" i="7"/>
  <c r="K123" i="7"/>
  <c r="L110" i="7"/>
  <c r="O91" i="7"/>
  <c r="P91" i="7" s="1"/>
  <c r="Q91" i="7" s="1"/>
  <c r="R91" i="7" s="1"/>
  <c r="M102" i="7"/>
  <c r="K65" i="7"/>
  <c r="M70" i="7"/>
  <c r="M104" i="7"/>
  <c r="L103" i="7"/>
  <c r="M38" i="7"/>
  <c r="M62" i="7" s="1"/>
  <c r="Q154" i="7"/>
  <c r="M65" i="7"/>
  <c r="N146" i="7" s="1"/>
  <c r="K79" i="7"/>
  <c r="J79" i="7"/>
  <c r="M67" i="7"/>
  <c r="L60" i="7"/>
  <c r="J70" i="7"/>
  <c r="K70" i="7"/>
  <c r="J52" i="7"/>
  <c r="L38" i="7"/>
  <c r="L97" i="7" s="1"/>
  <c r="L58" i="7"/>
  <c r="M58" i="7"/>
  <c r="M123" i="7"/>
  <c r="L105" i="7"/>
  <c r="M101" i="7"/>
  <c r="J77" i="7"/>
  <c r="L130" i="7"/>
  <c r="P97" i="7"/>
  <c r="M125" i="7"/>
  <c r="K66" i="7"/>
  <c r="L123" i="7"/>
  <c r="L102" i="7"/>
  <c r="L101" i="7"/>
  <c r="L77" i="7"/>
  <c r="L65" i="7"/>
  <c r="P65" i="7"/>
  <c r="J67" i="7"/>
  <c r="L42" i="7"/>
  <c r="M66" i="7"/>
  <c r="N66" i="7" s="1"/>
  <c r="M130" i="7"/>
  <c r="O93" i="7"/>
  <c r="P93" i="7" s="1"/>
  <c r="Q93" i="7" s="1"/>
  <c r="R93" i="7" s="1"/>
  <c r="J59" i="7"/>
  <c r="K59" i="7"/>
  <c r="Q67" i="7"/>
  <c r="L67" i="7"/>
  <c r="B27" i="9" l="1"/>
  <c r="N35" i="7" s="1"/>
  <c r="C35" i="9" s="1"/>
  <c r="O85" i="7"/>
  <c r="P85" i="7" s="1"/>
  <c r="Q85" i="7" s="1"/>
  <c r="R85" i="7" s="1"/>
  <c r="C38" i="9"/>
  <c r="O75" i="7"/>
  <c r="L118" i="7"/>
  <c r="L120" i="7" s="1"/>
  <c r="J100" i="7"/>
  <c r="M118" i="7"/>
  <c r="M120" i="7" s="1"/>
  <c r="J118" i="7"/>
  <c r="N60" i="7"/>
  <c r="K100" i="7"/>
  <c r="K63" i="7"/>
  <c r="K99" i="7"/>
  <c r="K61" i="7"/>
  <c r="J64" i="7"/>
  <c r="J62" i="7"/>
  <c r="J63" i="7"/>
  <c r="K43" i="7"/>
  <c r="K46" i="7" s="1"/>
  <c r="K49" i="7" s="1"/>
  <c r="K51" i="7" s="1"/>
  <c r="K98" i="7"/>
  <c r="K62" i="7"/>
  <c r="J43" i="7"/>
  <c r="J46" i="7" s="1"/>
  <c r="J49" i="7" s="1"/>
  <c r="J51" i="7" s="1"/>
  <c r="J109" i="7" s="1"/>
  <c r="J61" i="7"/>
  <c r="J98" i="7"/>
  <c r="J99" i="7"/>
  <c r="K64" i="7"/>
  <c r="I97" i="7"/>
  <c r="L127" i="7"/>
  <c r="N102" i="7"/>
  <c r="N89" i="7" s="1"/>
  <c r="N124" i="7" s="1"/>
  <c r="I98" i="7"/>
  <c r="I100" i="7"/>
  <c r="I43" i="7"/>
  <c r="I46" i="7" s="1"/>
  <c r="I49" i="7" s="1"/>
  <c r="I51" i="7" s="1"/>
  <c r="I53" i="7" s="1"/>
  <c r="I56" i="7" s="1"/>
  <c r="M64" i="7"/>
  <c r="N64" i="7" s="1"/>
  <c r="O64" i="7" s="1"/>
  <c r="P64" i="7" s="1"/>
  <c r="Q64" i="7" s="1"/>
  <c r="R64" i="7" s="1"/>
  <c r="M61" i="7"/>
  <c r="M63" i="7"/>
  <c r="M98" i="7"/>
  <c r="M99" i="7"/>
  <c r="M100" i="7"/>
  <c r="M97" i="7"/>
  <c r="K118" i="7"/>
  <c r="K138" i="7" s="1"/>
  <c r="M43" i="7"/>
  <c r="M46" i="7" s="1"/>
  <c r="M49" i="7" s="1"/>
  <c r="J130" i="7"/>
  <c r="J66" i="7"/>
  <c r="K127" i="7"/>
  <c r="L112" i="7"/>
  <c r="L136" i="7" s="1"/>
  <c r="M112" i="7"/>
  <c r="P75" i="7"/>
  <c r="Q97" i="7"/>
  <c r="R67" i="7"/>
  <c r="M127" i="7"/>
  <c r="L62" i="7"/>
  <c r="L100" i="7"/>
  <c r="L61" i="7"/>
  <c r="L98" i="7"/>
  <c r="L99" i="7"/>
  <c r="O66" i="7"/>
  <c r="K112" i="7"/>
  <c r="J112" i="7"/>
  <c r="J136" i="7" s="1"/>
  <c r="J125" i="7"/>
  <c r="J127" i="7" s="1"/>
  <c r="L43" i="7"/>
  <c r="L46" i="7" s="1"/>
  <c r="L49" i="7" s="1"/>
  <c r="Q65" i="7"/>
  <c r="L64" i="7"/>
  <c r="L63" i="7"/>
  <c r="N70" i="7"/>
  <c r="J138" i="7" l="1"/>
  <c r="J120" i="7"/>
  <c r="N99" i="7"/>
  <c r="B62" i="9" s="1"/>
  <c r="B63" i="9" s="1"/>
  <c r="O60" i="7"/>
  <c r="P60" i="7" s="1"/>
  <c r="Q60" i="7" s="1"/>
  <c r="R60" i="7" s="1"/>
  <c r="B30" i="9"/>
  <c r="L138" i="7"/>
  <c r="J53" i="7"/>
  <c r="J56" i="7" s="1"/>
  <c r="J134" i="7"/>
  <c r="M138" i="7"/>
  <c r="J69" i="7"/>
  <c r="N100" i="7"/>
  <c r="O100" i="7" s="1"/>
  <c r="O102" i="7"/>
  <c r="P102" i="7" s="1"/>
  <c r="Q102" i="7" s="1"/>
  <c r="R102" i="7" s="1"/>
  <c r="N61" i="7"/>
  <c r="K120" i="7"/>
  <c r="K68" i="7"/>
  <c r="K139" i="7" s="1"/>
  <c r="J68" i="7"/>
  <c r="K134" i="7"/>
  <c r="K109" i="7"/>
  <c r="K115" i="7" s="1"/>
  <c r="K69" i="7"/>
  <c r="K53" i="7"/>
  <c r="K56" i="7" s="1"/>
  <c r="M51" i="7"/>
  <c r="M68" i="7"/>
  <c r="M136" i="7"/>
  <c r="O123" i="7"/>
  <c r="O47" i="7"/>
  <c r="K136" i="7"/>
  <c r="R65" i="7"/>
  <c r="Q75" i="7"/>
  <c r="R97" i="7"/>
  <c r="R75" i="7" s="1"/>
  <c r="N55" i="7"/>
  <c r="O70" i="7"/>
  <c r="N54" i="7"/>
  <c r="L68" i="7"/>
  <c r="L51" i="7"/>
  <c r="J115" i="7"/>
  <c r="P66" i="7"/>
  <c r="O99" i="7" l="1"/>
  <c r="C62" i="9" s="1"/>
  <c r="C63" i="9" s="1"/>
  <c r="B31" i="9"/>
  <c r="N37" i="7" s="1"/>
  <c r="O61" i="7"/>
  <c r="P61" i="7" s="1"/>
  <c r="O89" i="7"/>
  <c r="J129" i="7"/>
  <c r="K129" i="7"/>
  <c r="K140" i="7"/>
  <c r="K141" i="7" s="1"/>
  <c r="O55" i="7"/>
  <c r="J140" i="7"/>
  <c r="J139" i="7"/>
  <c r="M134" i="7"/>
  <c r="M109" i="7"/>
  <c r="M115" i="7" s="1"/>
  <c r="M129" i="7" s="1"/>
  <c r="M53" i="7"/>
  <c r="M56" i="7" s="1"/>
  <c r="M69" i="7"/>
  <c r="M139" i="7"/>
  <c r="M140" i="7"/>
  <c r="M146" i="7"/>
  <c r="I145" i="7" s="1"/>
  <c r="P100" i="7"/>
  <c r="P123" i="7"/>
  <c r="P47" i="7"/>
  <c r="O54" i="7"/>
  <c r="P70" i="7"/>
  <c r="Q66" i="7"/>
  <c r="L140" i="7"/>
  <c r="L139" i="7"/>
  <c r="L53" i="7"/>
  <c r="L56" i="7" s="1"/>
  <c r="L134" i="7"/>
  <c r="L109" i="7"/>
  <c r="L115" i="7" s="1"/>
  <c r="L129" i="7" s="1"/>
  <c r="L69" i="7"/>
  <c r="B3" i="9"/>
  <c r="P89" i="7" l="1"/>
  <c r="O124" i="7"/>
  <c r="N68" i="7"/>
  <c r="N139" i="7"/>
  <c r="P99" i="7"/>
  <c r="D62" i="9" s="1"/>
  <c r="D63" i="9" s="1"/>
  <c r="C41" i="9"/>
  <c r="N38" i="7"/>
  <c r="B65" i="9" s="1"/>
  <c r="F5" i="9"/>
  <c r="C3" i="9"/>
  <c r="D4" i="9"/>
  <c r="E4" i="9" s="1"/>
  <c r="C5" i="9"/>
  <c r="F4" i="9"/>
  <c r="P55" i="7"/>
  <c r="J141" i="7"/>
  <c r="N69" i="7"/>
  <c r="O69" i="7" s="1"/>
  <c r="P69" i="7" s="1"/>
  <c r="Q69" i="7" s="1"/>
  <c r="R69" i="7" s="1"/>
  <c r="M141" i="7"/>
  <c r="Q149" i="7" s="1"/>
  <c r="Q152" i="7" s="1"/>
  <c r="L141" i="7"/>
  <c r="Q70" i="7"/>
  <c r="P54" i="7"/>
  <c r="R66" i="7"/>
  <c r="Q100" i="7"/>
  <c r="Q61" i="7"/>
  <c r="Q123" i="7"/>
  <c r="Q47" i="7"/>
  <c r="Q89" i="7" l="1"/>
  <c r="P124" i="7"/>
  <c r="N81" i="7"/>
  <c r="Q99" i="7"/>
  <c r="E62" i="9" s="1"/>
  <c r="E63" i="9" s="1"/>
  <c r="N84" i="7"/>
  <c r="N75" i="7"/>
  <c r="J37" i="9"/>
  <c r="J38" i="9" s="1"/>
  <c r="H7" i="7"/>
  <c r="B14" i="9"/>
  <c r="N41" i="7"/>
  <c r="B19" i="9"/>
  <c r="N45" i="7"/>
  <c r="N76" i="7"/>
  <c r="D3" i="9"/>
  <c r="O68" i="7"/>
  <c r="O139" i="7" s="1"/>
  <c r="D5" i="9"/>
  <c r="Q55" i="7"/>
  <c r="R61" i="7"/>
  <c r="R123" i="7"/>
  <c r="R47" i="7"/>
  <c r="R70" i="7"/>
  <c r="Q54" i="7"/>
  <c r="R100" i="7"/>
  <c r="N113" i="7" l="1"/>
  <c r="N137" i="7" s="1"/>
  <c r="R89" i="7"/>
  <c r="R124" i="7" s="1"/>
  <c r="Q124" i="7"/>
  <c r="B15" i="9"/>
  <c r="B16" i="9"/>
  <c r="B20" i="9"/>
  <c r="B21" i="9"/>
  <c r="R99" i="7"/>
  <c r="N87" i="7"/>
  <c r="N44" i="7"/>
  <c r="N77" i="7"/>
  <c r="E3" i="9"/>
  <c r="P68" i="7"/>
  <c r="P139" i="7" s="1"/>
  <c r="R55" i="7"/>
  <c r="E5" i="9"/>
  <c r="R54" i="7"/>
  <c r="N112" i="7" l="1"/>
  <c r="N136" i="7" s="1"/>
  <c r="N135" i="7"/>
  <c r="N110" i="7"/>
  <c r="B22" i="9"/>
  <c r="N40" i="7" s="1"/>
  <c r="B17" i="9"/>
  <c r="N39" i="7" s="1"/>
  <c r="F62" i="9"/>
  <c r="F63" i="9" s="1"/>
  <c r="N80" i="7"/>
  <c r="F3" i="9"/>
  <c r="R68" i="7" s="1"/>
  <c r="Q68" i="7"/>
  <c r="Q139" i="7" s="1"/>
  <c r="N42" i="7" l="1"/>
  <c r="N43" i="7" s="1"/>
  <c r="N46" i="7" s="1"/>
  <c r="N79" i="7"/>
  <c r="N118" i="7" s="1"/>
  <c r="R139" i="7"/>
  <c r="N120" i="7" l="1"/>
  <c r="N138" i="7"/>
  <c r="I20" i="6" l="1"/>
  <c r="C37" i="9" l="1"/>
  <c r="D37" i="9"/>
  <c r="E37" i="9"/>
  <c r="Q35" i="7" s="1"/>
  <c r="F37" i="9"/>
  <c r="C40" i="9"/>
  <c r="D40" i="9"/>
  <c r="E40" i="9"/>
  <c r="F40" i="9"/>
  <c r="R36" i="7" s="1"/>
  <c r="C43" i="9"/>
  <c r="O37" i="7" s="1"/>
  <c r="D43" i="9"/>
  <c r="E43" i="9"/>
  <c r="F43" i="9"/>
  <c r="O35" i="7"/>
  <c r="D35" i="9" s="1"/>
  <c r="P35" i="7"/>
  <c r="E35" i="9" s="1"/>
  <c r="R35" i="7"/>
  <c r="O36" i="7"/>
  <c r="D38" i="9" s="1"/>
  <c r="P36" i="7"/>
  <c r="E38" i="9" s="1"/>
  <c r="Q36" i="7"/>
  <c r="F38" i="9" s="1"/>
  <c r="P37" i="7"/>
  <c r="P38" i="7" s="1"/>
  <c r="Q37" i="7"/>
  <c r="F41" i="9" s="1"/>
  <c r="R37" i="7"/>
  <c r="P45" i="7"/>
  <c r="P76" i="7"/>
  <c r="P77" i="7"/>
  <c r="R38" i="7" l="1"/>
  <c r="N37" i="9" s="1"/>
  <c r="F19" i="9"/>
  <c r="R41" i="7"/>
  <c r="R76" i="7"/>
  <c r="R77" i="7" s="1"/>
  <c r="F65" i="9"/>
  <c r="R81" i="7" s="1"/>
  <c r="R84" i="7"/>
  <c r="D41" i="9"/>
  <c r="O38" i="7"/>
  <c r="D65" i="9"/>
  <c r="P81" i="7" s="1"/>
  <c r="P84" i="7"/>
  <c r="D19" i="9"/>
  <c r="L37" i="9"/>
  <c r="D14" i="9"/>
  <c r="P41" i="7"/>
  <c r="F35" i="9"/>
  <c r="Q38" i="7"/>
  <c r="E41" i="9"/>
  <c r="F14" i="9" l="1"/>
  <c r="R45" i="7"/>
  <c r="D21" i="9"/>
  <c r="D20" i="9"/>
  <c r="N38" i="9"/>
  <c r="N39" i="9" s="1"/>
  <c r="N41" i="9" s="1"/>
  <c r="N42" i="9" s="1"/>
  <c r="K37" i="9"/>
  <c r="C65" i="9"/>
  <c r="O81" i="7" s="1"/>
  <c r="C14" i="9"/>
  <c r="C19" i="9"/>
  <c r="O41" i="7"/>
  <c r="O45" i="7"/>
  <c r="O76" i="7"/>
  <c r="O77" i="7" s="1"/>
  <c r="O84" i="7"/>
  <c r="F15" i="9"/>
  <c r="F16" i="9"/>
  <c r="F17" i="9" s="1"/>
  <c r="R39" i="7" s="1"/>
  <c r="P87" i="7"/>
  <c r="P113" i="7"/>
  <c r="P137" i="7" s="1"/>
  <c r="R87" i="7"/>
  <c r="R113" i="7"/>
  <c r="R137" i="7" s="1"/>
  <c r="E14" i="9"/>
  <c r="E19" i="9"/>
  <c r="Q41" i="7"/>
  <c r="Q45" i="7"/>
  <c r="Q76" i="7"/>
  <c r="Q77" i="7" s="1"/>
  <c r="E65" i="9"/>
  <c r="Q81" i="7" s="1"/>
  <c r="Q44" i="7" s="1"/>
  <c r="Q84" i="7"/>
  <c r="M37" i="9"/>
  <c r="L38" i="9"/>
  <c r="L39" i="9" s="1"/>
  <c r="L41" i="9" s="1"/>
  <c r="L42" i="9" s="1"/>
  <c r="D16" i="9"/>
  <c r="D15" i="9"/>
  <c r="F20" i="9"/>
  <c r="F21" i="9"/>
  <c r="F22" i="9" s="1"/>
  <c r="R40" i="7" s="1"/>
  <c r="R42" i="7" l="1"/>
  <c r="R43" i="7" s="1"/>
  <c r="D22" i="9"/>
  <c r="P40" i="7" s="1"/>
  <c r="M38" i="9"/>
  <c r="M39" i="9" s="1"/>
  <c r="M41" i="9" s="1"/>
  <c r="M42" i="9" s="1"/>
  <c r="D17" i="9"/>
  <c r="P39" i="7" s="1"/>
  <c r="P42" i="7" s="1"/>
  <c r="P43" i="7" s="1"/>
  <c r="K38" i="9"/>
  <c r="K39" i="9" s="1"/>
  <c r="K41" i="9" s="1"/>
  <c r="K42" i="9" s="1"/>
  <c r="R44" i="7"/>
  <c r="E20" i="9"/>
  <c r="E21" i="9"/>
  <c r="O87" i="7"/>
  <c r="O113" i="7"/>
  <c r="O137" i="7" s="1"/>
  <c r="C20" i="9"/>
  <c r="C21" i="9"/>
  <c r="O44" i="7"/>
  <c r="P44" i="7"/>
  <c r="Q87" i="7"/>
  <c r="Q113" i="7"/>
  <c r="Q137" i="7" s="1"/>
  <c r="Q110" i="7"/>
  <c r="Q135" i="7"/>
  <c r="Q112" i="7"/>
  <c r="Q136" i="7" s="1"/>
  <c r="E15" i="9"/>
  <c r="E16" i="9"/>
  <c r="O112" i="7"/>
  <c r="O136" i="7" s="1"/>
  <c r="P112" i="7"/>
  <c r="P136" i="7" s="1"/>
  <c r="C15" i="9"/>
  <c r="C16" i="9"/>
  <c r="R112" i="7"/>
  <c r="R136" i="7" s="1"/>
  <c r="E17" i="9" l="1"/>
  <c r="Q39" i="7" s="1"/>
  <c r="C22" i="9"/>
  <c r="O40" i="7" s="1"/>
  <c r="E22" i="9"/>
  <c r="Q40" i="7" s="1"/>
  <c r="P110" i="7"/>
  <c r="P135" i="7"/>
  <c r="C17" i="9"/>
  <c r="O39" i="7" s="1"/>
  <c r="O42" i="7" s="1"/>
  <c r="O43" i="7" s="1"/>
  <c r="O46" i="7" s="1"/>
  <c r="O135" i="7"/>
  <c r="O80" i="7"/>
  <c r="O110" i="7"/>
  <c r="R135" i="7"/>
  <c r="R110" i="7"/>
  <c r="P46" i="7"/>
  <c r="R46" i="7"/>
  <c r="Q42" i="7" l="1"/>
  <c r="Q43" i="7" s="1"/>
  <c r="Q46" i="7" s="1"/>
  <c r="P80" i="7"/>
  <c r="O79" i="7"/>
  <c r="O118" i="7" s="1"/>
  <c r="Q80" i="7" l="1"/>
  <c r="P79" i="7"/>
  <c r="P118" i="7" s="1"/>
  <c r="O120" i="7"/>
  <c r="O138" i="7"/>
  <c r="R80" i="7" l="1"/>
  <c r="R79" i="7" s="1"/>
  <c r="Q79" i="7"/>
  <c r="Q118" i="7" s="1"/>
  <c r="P120" i="7"/>
  <c r="P138" i="7"/>
  <c r="R118" i="7" l="1"/>
  <c r="R138" i="7" s="1"/>
  <c r="Q120" i="7"/>
  <c r="Q138" i="7"/>
  <c r="R120" i="7"/>
  <c r="L13" i="7"/>
  <c r="O28" i="7"/>
  <c r="Q28" i="7"/>
  <c r="N48" i="7"/>
  <c r="O48" i="7"/>
  <c r="P48" i="7"/>
  <c r="Q48" i="7"/>
  <c r="R48" i="7"/>
  <c r="N49" i="7"/>
  <c r="O49" i="7"/>
  <c r="P49" i="7"/>
  <c r="Q49" i="7"/>
  <c r="R49" i="7"/>
  <c r="N50" i="7"/>
  <c r="O50" i="7"/>
  <c r="P50" i="7"/>
  <c r="Q50" i="7"/>
  <c r="R50" i="7"/>
  <c r="N51" i="7"/>
  <c r="O51" i="7"/>
  <c r="P51" i="7"/>
  <c r="Q51" i="7"/>
  <c r="R51" i="7"/>
  <c r="N52" i="7"/>
  <c r="O52" i="7"/>
  <c r="P52" i="7"/>
  <c r="Q52" i="7"/>
  <c r="R52" i="7"/>
  <c r="N53" i="7"/>
  <c r="O53" i="7"/>
  <c r="P53" i="7"/>
  <c r="Q53" i="7"/>
  <c r="R53" i="7"/>
  <c r="N56" i="7"/>
  <c r="O56" i="7"/>
  <c r="P56" i="7"/>
  <c r="Q56" i="7"/>
  <c r="R56" i="7"/>
  <c r="N74" i="7"/>
  <c r="O74" i="7"/>
  <c r="P74" i="7"/>
  <c r="Q74" i="7"/>
  <c r="R74" i="7"/>
  <c r="N82" i="7"/>
  <c r="O82" i="7"/>
  <c r="P82" i="7"/>
  <c r="Q82" i="7"/>
  <c r="R82" i="7"/>
  <c r="N90" i="7"/>
  <c r="O90" i="7"/>
  <c r="P90" i="7"/>
  <c r="Q90" i="7"/>
  <c r="R90" i="7"/>
  <c r="N94" i="7"/>
  <c r="O94" i="7"/>
  <c r="P94" i="7"/>
  <c r="Q94" i="7"/>
  <c r="R94" i="7"/>
  <c r="N95" i="7"/>
  <c r="O95" i="7"/>
  <c r="P95" i="7"/>
  <c r="Q95" i="7"/>
  <c r="R95" i="7"/>
  <c r="N109" i="7"/>
  <c r="O109" i="7"/>
  <c r="P109" i="7"/>
  <c r="Q109" i="7"/>
  <c r="R109" i="7"/>
  <c r="N115" i="7"/>
  <c r="O115" i="7"/>
  <c r="P115" i="7"/>
  <c r="Q115" i="7"/>
  <c r="R115" i="7"/>
  <c r="N125" i="7"/>
  <c r="O125" i="7"/>
  <c r="P125" i="7"/>
  <c r="Q125" i="7"/>
  <c r="R125" i="7"/>
  <c r="N127" i="7"/>
  <c r="O127" i="7"/>
  <c r="P127" i="7"/>
  <c r="Q127" i="7"/>
  <c r="R127" i="7"/>
  <c r="N129" i="7"/>
  <c r="O129" i="7"/>
  <c r="P129" i="7"/>
  <c r="Q129" i="7"/>
  <c r="R129" i="7"/>
  <c r="O130" i="7"/>
  <c r="P130" i="7"/>
  <c r="Q130" i="7"/>
  <c r="R130" i="7"/>
  <c r="N131" i="7"/>
  <c r="O131" i="7"/>
  <c r="P131" i="7"/>
  <c r="Q131" i="7"/>
  <c r="R131" i="7"/>
  <c r="N134" i="7"/>
  <c r="O134" i="7"/>
  <c r="P134" i="7"/>
  <c r="Q134" i="7"/>
  <c r="R134" i="7"/>
  <c r="N140" i="7"/>
  <c r="O140" i="7"/>
  <c r="P140" i="7"/>
  <c r="Q140" i="7"/>
  <c r="R140" i="7"/>
  <c r="N141" i="7"/>
  <c r="O141" i="7"/>
  <c r="P141" i="7"/>
  <c r="Q141" i="7"/>
  <c r="R141" i="7"/>
  <c r="M149" i="7"/>
  <c r="M150" i="7"/>
  <c r="M151" i="7"/>
  <c r="Q151" i="7"/>
  <c r="M152" i="7"/>
  <c r="M153" i="7"/>
  <c r="Q153" i="7"/>
  <c r="M156" i="7"/>
  <c r="Q156" i="7"/>
  <c r="M158" i="7"/>
  <c r="Q158" i="7"/>
  <c r="I167" i="7"/>
  <c r="J167" i="7"/>
  <c r="K167" i="7"/>
  <c r="L167" i="7"/>
  <c r="M167" i="7"/>
</calcChain>
</file>

<file path=xl/sharedStrings.xml><?xml version="1.0" encoding="utf-8"?>
<sst xmlns="http://schemas.openxmlformats.org/spreadsheetml/2006/main" count="584" uniqueCount="360">
  <si>
    <t>TOTAL LIABILITIES AND EQUITY (DEFICIT)</t>
  </si>
  <si>
    <t>Total equity (deficit)</t>
  </si>
  <si>
    <t>Noncontrolling interests</t>
  </si>
  <si>
    <t>Total Hilton stockholders' equity (deficit)</t>
  </si>
  <si>
    <t>Accumulated other comprehensive loss</t>
  </si>
  <si>
    <t>Accumulated deficit</t>
  </si>
  <si>
    <t>Additional paid-in capital</t>
  </si>
  <si>
    <t>Treasury stock, at cost; 54,174,645 shares as of December 31, 2019 and 37,289,273 shares as of December 31, 2018</t>
  </si>
  <si>
    <t>Total liabilities (variable interest entities - $260 and $263)</t>
  </si>
  <si>
    <t>Non-current liabilities of discontinued operations</t>
  </si>
  <si>
    <t>Other</t>
  </si>
  <si>
    <t>Liability for guest loyalty program</t>
  </si>
  <si>
    <t>Deferred income tax liabilities</t>
  </si>
  <si>
    <t>Deferred revenues</t>
  </si>
  <si>
    <t>Operating lease liabilities</t>
  </si>
  <si>
    <t>Long-term debt</t>
  </si>
  <si>
    <t>Total current liabilities (variable interest entities - $64 and $56)</t>
  </si>
  <si>
    <t>Current portion of liability for guest loyalty program</t>
  </si>
  <si>
    <t>Income taxes payable</t>
  </si>
  <si>
    <t>Current liabilities of discontinued operations</t>
  </si>
  <si>
    <t>Current portion of deferred revenues</t>
  </si>
  <si>
    <t>Current maturities of long-term debt</t>
  </si>
  <si>
    <t>Accounts payable, accrued expenses and other</t>
  </si>
  <si>
    <t>Current Liabilities:</t>
  </si>
  <si>
    <t>LIABILITIES AND EQUITY (DEFICIT)</t>
  </si>
  <si>
    <t>TOTAL ASSETS</t>
  </si>
  <si>
    <t>Total intangibles and other assets (variable interest entities - $179 and $178)</t>
  </si>
  <si>
    <t>Non-current assets of discontinued operations</t>
  </si>
  <si>
    <t>Deferred income tax assets</t>
  </si>
  <si>
    <t>Investments in affiliates</t>
  </si>
  <si>
    <t>Property and equipment, net</t>
  </si>
  <si>
    <t>Financing receivables, net</t>
  </si>
  <si>
    <t>Operating lease right-of-use assets</t>
  </si>
  <si>
    <t>Other intangible assets, net</t>
  </si>
  <si>
    <t>Management and franchise contracts, net</t>
  </si>
  <si>
    <t>Brands</t>
  </si>
  <si>
    <t>Goodwill</t>
  </si>
  <si>
    <t>Intangibles and Other Assets:</t>
  </si>
  <si>
    <t>Total current assets (variable interest entities - $100 and $90)</t>
  </si>
  <si>
    <t>Current assets of discontinued operations</t>
  </si>
  <si>
    <t>Income taxes receivable</t>
  </si>
  <si>
    <t>Prepaid expenses</t>
  </si>
  <si>
    <t>Current portion of financing receivables, net</t>
  </si>
  <si>
    <t>Inventories</t>
  </si>
  <si>
    <t>Accounts receivable, net of allowance for doubtful accounts of $44 and $42</t>
  </si>
  <si>
    <t>Restricted cash and cash equivalents</t>
  </si>
  <si>
    <t>Cash and cash equivalents</t>
  </si>
  <si>
    <t>Current Assets:</t>
  </si>
  <si>
    <t>ASSETS</t>
  </si>
  <si>
    <t/>
  </si>
  <si>
    <t>HILTON WORLDWIDE HOLDINGS INC.</t>
  </si>
  <si>
    <t>Current maturities of timeshare debt</t>
  </si>
  <si>
    <t>Timeshare debt</t>
  </si>
  <si>
    <t>cash and cash equivalents</t>
  </si>
  <si>
    <t>Effect of exchange rate changes on cash, restricted</t>
  </si>
  <si>
    <t>Net cash used in financing activities</t>
  </si>
  <si>
    <t>Share-based compensation tax withholdings and other</t>
  </si>
  <si>
    <t>Repurchases of common stock</t>
  </si>
  <si>
    <t>Cash transferred in spin-offs</t>
  </si>
  <si>
    <t>Dividends paid</t>
  </si>
  <si>
    <t>Debt issuance costs and redemption premium</t>
  </si>
  <si>
    <t>Repayment of debt</t>
  </si>
  <si>
    <t>Borrowings</t>
  </si>
  <si>
    <t>Financing Activities:</t>
  </si>
  <si>
    <t>Net cash used in investing activities</t>
  </si>
  <si>
    <t>Capitalized software costs</t>
  </si>
  <si>
    <t>Proceeds from asset disposition</t>
  </si>
  <si>
    <t>Payments received on other financing receivables</t>
  </si>
  <si>
    <t>Capital expenditures for property and equipment</t>
  </si>
  <si>
    <t>Investing Activities:</t>
  </si>
  <si>
    <t>Net cash provided by operating activities</t>
  </si>
  <si>
    <t>Change in other liabilities</t>
  </si>
  <si>
    <t>Change in liability for guest loyalty program</t>
  </si>
  <si>
    <t>Change in deferred revenues</t>
  </si>
  <si>
    <t>Other current assets</t>
  </si>
  <si>
    <t>Accounts receivable, net</t>
  </si>
  <si>
    <t>Changes in operating assets and liabilities:</t>
  </si>
  <si>
    <t>Contract acquisition costs</t>
  </si>
  <si>
    <t>Deferred income taxes</t>
  </si>
  <si>
    <t>Distributions from unconsolidated affiliates</t>
  </si>
  <si>
    <t>Amortization of deferred financing costs and other</t>
  </si>
  <si>
    <t>Share-based compensation</t>
  </si>
  <si>
    <t>Loss on debt extinguishment</t>
  </si>
  <si>
    <t>Loss (gain) on foreign currency transactions</t>
  </si>
  <si>
    <t>Gain on sale of assets, net</t>
  </si>
  <si>
    <t>Depreciation and amortization</t>
  </si>
  <si>
    <t>Amortization of contract acquisition costs</t>
  </si>
  <si>
    <t>provided by operating activities:</t>
  </si>
  <si>
    <t>Adjustments to reconcile net income to net cash</t>
  </si>
  <si>
    <t>Net income</t>
  </si>
  <si>
    <t>Operating Activities:</t>
  </si>
  <si>
    <t>Year Ended December 31,</t>
  </si>
  <si>
    <t>(in millions)</t>
  </si>
  <si>
    <t>CONSOLIDATED STATEMENTS OF CASH FLOWS</t>
  </si>
  <si>
    <t>Cash dividends declared per share</t>
  </si>
  <si>
    <t>Diluted</t>
  </si>
  <si>
    <t>Basic</t>
  </si>
  <si>
    <t>Earnings per share:</t>
  </si>
  <si>
    <t>Net income attributable to Hilton stockholders</t>
  </si>
  <si>
    <t>Net income attributable to noncontrolling interests</t>
  </si>
  <si>
    <t>Income tax benefit (expense)</t>
  </si>
  <si>
    <t>Income before income taxes</t>
  </si>
  <si>
    <t>Other non-operating income, net</t>
  </si>
  <si>
    <t>Gain (loss) on foreign currency transactions</t>
  </si>
  <si>
    <t>Equity in earnings from unconsolidated affiliates</t>
  </si>
  <si>
    <t>Interest expense</t>
  </si>
  <si>
    <t>Interest income</t>
  </si>
  <si>
    <t>Operating income</t>
  </si>
  <si>
    <t>Other expenses from managed and franchised properties</t>
  </si>
  <si>
    <t>Other expenses</t>
  </si>
  <si>
    <t>General and administrative</t>
  </si>
  <si>
    <t>Impairment loss</t>
  </si>
  <si>
    <t>Owned and leased hotels</t>
  </si>
  <si>
    <t>Timeshare</t>
  </si>
  <si>
    <t>Expenses</t>
  </si>
  <si>
    <t>Total revenues</t>
  </si>
  <si>
    <t>Other revenues from managed and franchised properties</t>
  </si>
  <si>
    <t>Other revenues</t>
  </si>
  <si>
    <t>Incentive management fees</t>
  </si>
  <si>
    <t>Base and other management fees</t>
  </si>
  <si>
    <t>Franchise and licensing fees</t>
  </si>
  <si>
    <t>Revenues</t>
  </si>
  <si>
    <t>(in millions, except per share data)</t>
  </si>
  <si>
    <t>CONSOLIDATED BALANCE SHEETS (in millions, except share data)</t>
  </si>
  <si>
    <t>Cash</t>
  </si>
  <si>
    <t>Other Current Assets</t>
  </si>
  <si>
    <t>Total Current Assets</t>
  </si>
  <si>
    <t>Accounts receivable</t>
  </si>
  <si>
    <t>Fixed Assets at Cost</t>
  </si>
  <si>
    <t>Accumulated Depreciation</t>
  </si>
  <si>
    <t>Net Fixed Assets</t>
  </si>
  <si>
    <t>Gross Profit</t>
  </si>
  <si>
    <t>Depreciation</t>
  </si>
  <si>
    <t>Profit after tax</t>
  </si>
  <si>
    <t>Dividends</t>
  </si>
  <si>
    <t>Retained Earnings</t>
  </si>
  <si>
    <t>Share Count</t>
  </si>
  <si>
    <t>COGS as % of Sales</t>
  </si>
  <si>
    <t>SG&amp;A as % of Sales</t>
  </si>
  <si>
    <t>Interest payments as % of average debt</t>
  </si>
  <si>
    <t>Interest earned as % of average cash &amp; mkt sec</t>
  </si>
  <si>
    <t>Depreciation as % of average net fixed assets</t>
  </si>
  <si>
    <t>Dividend payout ratio (percent of profit after tax)</t>
  </si>
  <si>
    <t>Share count growth y/y%</t>
  </si>
  <si>
    <t>Debt</t>
  </si>
  <si>
    <t>Stock</t>
  </si>
  <si>
    <t>Consolidated Statement of Cash Flows</t>
  </si>
  <si>
    <t>Cash flow from operating activities</t>
  </si>
  <si>
    <t>Net Income (profit after tax)</t>
  </si>
  <si>
    <t>(+) Depreciation</t>
  </si>
  <si>
    <t>Adjust for changes in net working capital</t>
  </si>
  <si>
    <t>(-) Increase in current assets</t>
  </si>
  <si>
    <t>(+) Increase in current liabilities</t>
  </si>
  <si>
    <t>Net cash from operating activities</t>
  </si>
  <si>
    <t>Cash flow from investing activities</t>
  </si>
  <si>
    <t>(-) Increase in fixed assets at cost</t>
  </si>
  <si>
    <t>Net cash from in investing activities</t>
  </si>
  <si>
    <t>Cash flow from financing activities</t>
  </si>
  <si>
    <t>(+) Increase in debt</t>
  </si>
  <si>
    <t>(+) Increase in stock</t>
  </si>
  <si>
    <t>(-)  Dividends paid</t>
  </si>
  <si>
    <t>Net cash from financing activities</t>
  </si>
  <si>
    <t xml:space="preserve">Net increase in cash and cash equivalents </t>
  </si>
  <si>
    <t xml:space="preserve">Beginning Cash Balance </t>
  </si>
  <si>
    <t xml:space="preserve">Ending Cash Balance </t>
  </si>
  <si>
    <t>Free Cash Flow Calculation</t>
  </si>
  <si>
    <t>(-)  Increase in current assets</t>
  </si>
  <si>
    <t>(-)  Increase in fixed assets at cost</t>
  </si>
  <si>
    <t>(+) after-tax interest on debt</t>
  </si>
  <si>
    <t>(-)  after-tax interest on cash and mkt. securities</t>
  </si>
  <si>
    <t xml:space="preserve">Free cash flow </t>
  </si>
  <si>
    <t>Discounted Cash Flow Valuation</t>
  </si>
  <si>
    <t>Inputs for Weighted Average Cost of Capital</t>
  </si>
  <si>
    <t>Weighted average cost of capital</t>
  </si>
  <si>
    <t>D</t>
  </si>
  <si>
    <t>E</t>
  </si>
  <si>
    <t>Long-term free cash flow growth rate</t>
  </si>
  <si>
    <t>Exit Multiple</t>
  </si>
  <si>
    <t>Perpetual Growth Method</t>
  </si>
  <si>
    <t>Multiples Method</t>
  </si>
  <si>
    <t>Terminal Value</t>
  </si>
  <si>
    <t>Implied input for other methd…</t>
  </si>
  <si>
    <t>multiple:</t>
  </si>
  <si>
    <t>PV of Cash Flows</t>
  </si>
  <si>
    <t>PV of Terminal Value</t>
  </si>
  <si>
    <t>Enterprise Value</t>
  </si>
  <si>
    <t>Plus Cash</t>
  </si>
  <si>
    <t>Less Debt</t>
  </si>
  <si>
    <t>Equity Value</t>
  </si>
  <si>
    <t>Diluted share count</t>
  </si>
  <si>
    <t>Equity Value per Share</t>
  </si>
  <si>
    <t>Debt:</t>
  </si>
  <si>
    <t>TOTAL LIABILITIES</t>
  </si>
  <si>
    <t>Sales G&amp;A</t>
  </si>
  <si>
    <t>EBIT</t>
  </si>
  <si>
    <t>Interest Expense</t>
  </si>
  <si>
    <t>Interest Income</t>
  </si>
  <si>
    <t>Income Before Income Taxes</t>
  </si>
  <si>
    <t>Other Income, net:</t>
  </si>
  <si>
    <t>Income Statement:</t>
  </si>
  <si>
    <t>Shares, basic</t>
  </si>
  <si>
    <t>Shares, diluted</t>
  </si>
  <si>
    <t>Current Liabilities</t>
  </si>
  <si>
    <t>TOTAL EQUITY</t>
  </si>
  <si>
    <t>TOTAL LIABILITIES &amp; SE</t>
  </si>
  <si>
    <t>BALANCE CHECK</t>
  </si>
  <si>
    <t>Balance Sheet</t>
  </si>
  <si>
    <t>Revenue growth y/y%</t>
  </si>
  <si>
    <t>Income After Tax</t>
  </si>
  <si>
    <t>Effective tax rate (% of Income Before Income Taxes)</t>
  </si>
  <si>
    <t>Current Assets as % of Revenues</t>
  </si>
  <si>
    <t>Net fixed Assets as % of Revenues</t>
  </si>
  <si>
    <t>Current Liabilities as % of Revenues</t>
  </si>
  <si>
    <t>Revenues - Franchising and Licensing Fees</t>
  </si>
  <si>
    <t>Revenues - Owned And Leased Hotels</t>
  </si>
  <si>
    <t>Other Revenues</t>
  </si>
  <si>
    <t>TOTAL Revenues</t>
  </si>
  <si>
    <t>SG&amp;A as % of Revenues</t>
  </si>
  <si>
    <t>Other Revenue growth y/y%</t>
  </si>
  <si>
    <t>Revenue - Owned And Leased Hotels growth y/y%</t>
  </si>
  <si>
    <t>Revenue - Franchising and Licensing Fees y/y%</t>
  </si>
  <si>
    <t>Expenses - Owned and Leased Hotels</t>
  </si>
  <si>
    <t>Other Expenses</t>
  </si>
  <si>
    <t>Expenses from managed and franchised properties</t>
  </si>
  <si>
    <t>Expenses - Owned and Leased Hotels as % of Revenues</t>
  </si>
  <si>
    <t>Expenses from managed and franchised properties as % of Revenues</t>
  </si>
  <si>
    <t>Other Expenses as % of Revenues</t>
  </si>
  <si>
    <t>Other Current Assets as % of Revenues</t>
  </si>
  <si>
    <t>Accounts Receivable as % of Revenues</t>
  </si>
  <si>
    <t>Accumulated Depreciation from 10-K</t>
  </si>
  <si>
    <t>Debt Growth y/y%</t>
  </si>
  <si>
    <t>Stock Growth y/y%</t>
  </si>
  <si>
    <t>Common stock, $0.01 par value; 10,000,000,000 authorized</t>
  </si>
  <si>
    <t>shares, 333,159,770 issued and 278,985,125 outstanding as of</t>
  </si>
  <si>
    <t xml:space="preserve">December 31, 2019 and 332,105,163 issued and 294,815,890 outstanding </t>
  </si>
  <si>
    <t>as of December 31, 2018</t>
  </si>
  <si>
    <t>Minimum Wage</t>
  </si>
  <si>
    <t>CAPM</t>
  </si>
  <si>
    <t>EBITDA</t>
  </si>
  <si>
    <t>Net Income</t>
  </si>
  <si>
    <t>Pre-Tax Income</t>
  </si>
  <si>
    <t>Basic Share Count</t>
  </si>
  <si>
    <t>Diluted Share Count</t>
  </si>
  <si>
    <t>Treasury Stock Issued and Outstanding</t>
  </si>
  <si>
    <t>Common Stock Issued and Outstanding</t>
  </si>
  <si>
    <t>Accumulated Other Comprehensive loss Growth y/y%</t>
  </si>
  <si>
    <t>Common Stock Issued and Outstanding Growth y/y%</t>
  </si>
  <si>
    <t>Treasury Stock Issued and Outstanding Growth y/y%</t>
  </si>
  <si>
    <t>Beta</t>
  </si>
  <si>
    <t>S&amp;P 500 2 Year Market Rate of Return</t>
  </si>
  <si>
    <t>Yahoo Finance</t>
  </si>
  <si>
    <t>YCHARTS</t>
  </si>
  <si>
    <t>(2/11/20) Risk Free Rate</t>
  </si>
  <si>
    <t>Treasury</t>
  </si>
  <si>
    <t>Equidam</t>
  </si>
  <si>
    <t>OPERATING PLUG</t>
  </si>
  <si>
    <t>INVESTING PLUG</t>
  </si>
  <si>
    <t>FINANCING PLUG</t>
  </si>
  <si>
    <t>Increase</t>
  </si>
  <si>
    <t>Tax Rate Impact</t>
  </si>
  <si>
    <t>Joe Biden</t>
  </si>
  <si>
    <t>Donald Trump</t>
  </si>
  <si>
    <t>Bernie Sanders</t>
  </si>
  <si>
    <t>Environmental Sustainability Plan</t>
  </si>
  <si>
    <r>
      <t>T</t>
    </r>
    <r>
      <rPr>
        <vertAlign val="subscript"/>
        <sz val="12"/>
        <color theme="1"/>
        <rFont val="Calibri"/>
        <family val="2"/>
        <scheme val="minor"/>
      </rPr>
      <t>c</t>
    </r>
  </si>
  <si>
    <r>
      <t>r</t>
    </r>
    <r>
      <rPr>
        <vertAlign val="subscript"/>
        <sz val="12"/>
        <color theme="1"/>
        <rFont val="Calibri"/>
        <family val="2"/>
        <scheme val="minor"/>
      </rPr>
      <t>D</t>
    </r>
  </si>
  <si>
    <r>
      <t>r</t>
    </r>
    <r>
      <rPr>
        <vertAlign val="subscript"/>
        <sz val="12"/>
        <color theme="1"/>
        <rFont val="Calibri"/>
        <family val="2"/>
        <scheme val="minor"/>
      </rPr>
      <t>E</t>
    </r>
  </si>
  <si>
    <r>
      <t>g</t>
    </r>
    <r>
      <rPr>
        <b/>
        <i/>
        <vertAlign val="subscript"/>
        <sz val="12"/>
        <color theme="1"/>
        <rFont val="Calibri"/>
        <family val="2"/>
        <scheme val="minor"/>
      </rPr>
      <t>LT</t>
    </r>
    <r>
      <rPr>
        <i/>
        <sz val="12"/>
        <color theme="1"/>
        <rFont val="Calibri"/>
        <family val="2"/>
        <scheme val="minor"/>
      </rPr>
      <t>:</t>
    </r>
  </si>
  <si>
    <t>2020 Election - Impact on Corporate Tax</t>
  </si>
  <si>
    <t>2024 Tax Expense</t>
  </si>
  <si>
    <t xml:space="preserve"> Five Year Forecasted Valuation Model</t>
  </si>
  <si>
    <t>Cash Injection</t>
  </si>
  <si>
    <t>Equity Injection</t>
  </si>
  <si>
    <t>Government Bailout</t>
  </si>
  <si>
    <t>Bailout Loans</t>
  </si>
  <si>
    <t>Investing in in technology that helps reduce</t>
  </si>
  <si>
    <t>Key Performance Indicators</t>
  </si>
  <si>
    <t>Tax policy would resut in a __ effective tax rate by 2024</t>
  </si>
  <si>
    <t>Minimum Wage Increase</t>
  </si>
  <si>
    <t>Current</t>
  </si>
  <si>
    <t>Possible</t>
  </si>
  <si>
    <t>Selected</t>
  </si>
  <si>
    <t>TOTAL</t>
  </si>
  <si>
    <t>Expenses - Franchised</t>
  </si>
  <si>
    <t>Expenses - Owned</t>
  </si>
  <si>
    <t xml:space="preserve">+ Water consumption per square meter       </t>
  </si>
  <si>
    <t xml:space="preserve">+ Energy consumption per square meter      </t>
  </si>
  <si>
    <t xml:space="preserve">+ CO2 emissions per square meter                </t>
  </si>
  <si>
    <t xml:space="preserve">+ Landfill waste per square meter                 </t>
  </si>
  <si>
    <t>Base Forecast</t>
  </si>
  <si>
    <t>https://www.forbes.com/sites/anthonynitti/2020/03/06/tale-of-the-tape-comparing-the-tax-plans-of-joe-biden-and-bernie-sanders/#fa99b264443e</t>
  </si>
  <si>
    <t>AirBnB Market Share</t>
  </si>
  <si>
    <t>Coronavirus Economic Impact</t>
  </si>
  <si>
    <t>Revenues - Franchise</t>
  </si>
  <si>
    <t>Revenues - Owned</t>
  </si>
  <si>
    <t>2020 TOTAL Revenues</t>
  </si>
  <si>
    <t>Reduction of revenues due to Covid-19</t>
  </si>
  <si>
    <t>Affected Revenues</t>
  </si>
  <si>
    <t>Forecasted Equity Value Per Share</t>
  </si>
  <si>
    <t>Revenues - Other</t>
  </si>
  <si>
    <t>Original Forecast</t>
  </si>
  <si>
    <t>https://www.reuters.com/article/us-airbnb-results/airbnb-says-second-quarter-revenue-topped-1-billion-idUSKBN1W4001</t>
  </si>
  <si>
    <t>AirBnB Total Revenue</t>
  </si>
  <si>
    <t>Hilton Total Revenue</t>
  </si>
  <si>
    <t>AirBnB/Hilton</t>
  </si>
  <si>
    <t>AirBnB 20% Annual Growth</t>
  </si>
  <si>
    <t>Difference in Hilton Revenue</t>
  </si>
  <si>
    <t>TOTAL After Effect</t>
  </si>
  <si>
    <t>Annual revenue growth of AirBnB and related firms</t>
  </si>
  <si>
    <t>No Growth (0%)</t>
  </si>
  <si>
    <t>Good Growth (5%)</t>
  </si>
  <si>
    <t>Great Growth (15%)</t>
  </si>
  <si>
    <t>Amazing Growth (25%)</t>
  </si>
  <si>
    <t>Accounts Payable</t>
  </si>
  <si>
    <t>Estimated $10bn Bailout</t>
  </si>
  <si>
    <t>Equity</t>
  </si>
  <si>
    <t>Quick Ratio:</t>
  </si>
  <si>
    <t>Increase of AirBnB's Market Share</t>
  </si>
  <si>
    <t>Three-Statement Model</t>
  </si>
  <si>
    <t>Analysis</t>
  </si>
  <si>
    <t>Calculation for February 11th, 2020. Date of 10-K Publishment</t>
  </si>
  <si>
    <t>Environmental Sustainability</t>
  </si>
  <si>
    <t>Water consumption per square meter</t>
  </si>
  <si>
    <t>Landfill waste per square meter</t>
  </si>
  <si>
    <t>CO2 emissions per square meter</t>
  </si>
  <si>
    <t>Energy consumption per square meter</t>
  </si>
  <si>
    <t>Reference: % Reduction Since 2008</t>
  </si>
  <si>
    <t>Net Fixed Assets at Cost Original</t>
  </si>
  <si>
    <t>Sum</t>
  </si>
  <si>
    <t>Original Rate</t>
  </si>
  <si>
    <t>Impact of Covid-19</t>
  </si>
  <si>
    <t>Net increase (decrease) in cash, restricted cash and cash equivalents</t>
  </si>
  <si>
    <t>Cash, restricted cash and cash equivalents, beginning of period</t>
  </si>
  <si>
    <t xml:space="preserve">Cash, restricted cash and cash equivalents, end of period </t>
  </si>
  <si>
    <t>12 Months Ended</t>
  </si>
  <si>
    <t>Dec. 31, 2017</t>
  </si>
  <si>
    <t>Dec. 31, 2018</t>
  </si>
  <si>
    <t>Dec. 31, 2019</t>
  </si>
  <si>
    <t>Income Statement [Abstract]</t>
  </si>
  <si>
    <t>Other income (expense):</t>
  </si>
  <si>
    <t>Basic (in USD per share)</t>
  </si>
  <si>
    <t>Diluted (in USD per share)</t>
  </si>
  <si>
    <t>Weighted-average common shares outstanding:</t>
  </si>
  <si>
    <t>Current assets:</t>
  </si>
  <si>
    <t>Total assets</t>
  </si>
  <si>
    <t>Current liabilities:</t>
  </si>
  <si>
    <t>Stockholders’ equity:</t>
  </si>
  <si>
    <t>Total liabilities and stockholders’ equity</t>
  </si>
  <si>
    <t>Cash flows from operating activities:</t>
  </si>
  <si>
    <t>Adjustments to reconcile net income to net cash used in operating activities:</t>
  </si>
  <si>
    <t>Cash flows from investing activities:</t>
  </si>
  <si>
    <t>Net cash provided by financing activities</t>
  </si>
  <si>
    <t>Dec. 31, 2015</t>
  </si>
  <si>
    <t>Dec. 31, 2016</t>
  </si>
  <si>
    <t>Consolidated Statements of Cash Flows - USD ($) $ in Millions</t>
  </si>
  <si>
    <t>Consolidated Balance Sheets - USD ($) $ in Millions</t>
  </si>
  <si>
    <t>Consolidated Statements of Operations - USD ($) shares in Millions, $ in Millions</t>
  </si>
  <si>
    <t>Reference</t>
  </si>
  <si>
    <t>Remainder (75%)</t>
  </si>
  <si>
    <t>Wage Impact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</si>
</sst>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\x_)"/>
    <numFmt numFmtId="167" formatCode="&quot;$&quot;#,##0.00"/>
    <numFmt numFmtId="168" formatCode="&quot;$&quot;#,##0.0_);\(&quot;$&quot;#,##0.0\)"/>
    <numFmt numFmtId="169" formatCode="#,##0.0_);\(#,##0.0\)"/>
    <numFmt numFmtId="170" formatCode="0.0%_)"/>
    <numFmt numFmtId="171" formatCode="&quot;$&quot;#,##0.0"/>
    <numFmt numFmtId="172" formatCode="0.00%_)"/>
    <numFmt numFmtId="173" formatCode="0.0"/>
    <numFmt numFmtId="174" formatCode="0.0%"/>
    <numFmt numFmtId="175" formatCode="_(&quot;$&quot;* #,##0.00_);_(&quot;$&quot;* \(#,##0.00\);_(&quot;$&quot;* &quot;-&quot;_);_(@_)"/>
    <numFmt numFmtId="176" formatCode="&quot;$&quot;#,##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u/>
      <sz val="10"/>
      <color theme="10"/>
      <name val="Arial"/>
      <family val="2"/>
    </font>
    <font>
      <b/>
      <sz val="13"/>
      <color theme="3"/>
      <name val="Calibri"/>
      <family val="2"/>
      <scheme val="minor"/>
    </font>
    <font>
      <sz val="36"/>
      <color theme="0"/>
      <name val="Walbaum Display SemiBold"/>
      <family val="1"/>
    </font>
    <font>
      <sz val="10"/>
      <name val="Walbaum Display"/>
      <family val="1"/>
    </font>
    <font>
      <sz val="11"/>
      <name val="Walbaum Display"/>
      <family val="1"/>
    </font>
    <font>
      <sz val="28"/>
      <color theme="0"/>
      <name val="Walbaum Display SemiBold"/>
      <family val="1"/>
    </font>
    <font>
      <sz val="16"/>
      <name val="Calibri"/>
      <family val="2"/>
      <scheme val="minor"/>
    </font>
    <font>
      <sz val="14"/>
      <name val="Arial"/>
      <family val="2"/>
    </font>
    <font>
      <sz val="12"/>
      <name val="Walbaum Display"/>
      <family val="1"/>
    </font>
    <font>
      <sz val="18"/>
      <name val="Walbaum Display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sz val="10"/>
      <name val="Walbaum Display Light"/>
      <family val="1"/>
    </font>
    <font>
      <sz val="10.5"/>
      <color rgb="FFFF0000"/>
      <name val="Walbaum Display"/>
      <family val="1"/>
    </font>
    <font>
      <sz val="10.5"/>
      <color theme="8" tint="-0.249977111117893"/>
      <name val="Walbaum Display"/>
      <family val="1"/>
    </font>
    <font>
      <u/>
      <sz val="10"/>
      <name val="Arial"/>
      <family val="2"/>
    </font>
    <font>
      <sz val="12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Walbaum Text"/>
      <family val="1"/>
    </font>
    <font>
      <b/>
      <sz val="12"/>
      <color rgb="FF0099FF"/>
      <name val="Calibri"/>
      <family val="2"/>
      <scheme val="minor"/>
    </font>
    <font>
      <b/>
      <sz val="11"/>
      <name val="Walbaum Display Light"/>
      <family val="1"/>
    </font>
    <font>
      <sz val="16"/>
      <color rgb="FF0099FF"/>
      <name val="Calibri"/>
      <family val="2"/>
      <scheme val="minor"/>
    </font>
    <font>
      <b/>
      <sz val="16"/>
      <color rgb="FF0099FF"/>
      <name val="Calibri"/>
      <family val="2"/>
      <scheme val="minor"/>
    </font>
    <font>
      <b/>
      <u/>
      <sz val="10"/>
      <name val="Arial"/>
      <family val="2"/>
    </font>
    <font>
      <sz val="11"/>
      <name val="Walbaum Display Light"/>
      <family val="1"/>
    </font>
    <font>
      <sz val="8"/>
      <color rgb="FF000000"/>
      <name val="Segoe UI"/>
      <family val="2"/>
    </font>
    <font>
      <b/>
      <sz val="18"/>
      <color theme="0"/>
      <name val="Walbaum Display SemiBold"/>
      <family val="1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E6E6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theme="6" tint="0.39994506668294322"/>
      </right>
      <top/>
      <bottom/>
      <diagonal/>
    </border>
    <border>
      <left style="thin">
        <color theme="6" tint="0.39994506668294322"/>
      </left>
      <right/>
      <top/>
      <bottom/>
      <diagonal/>
    </border>
    <border>
      <left style="thick">
        <color auto="1"/>
      </left>
      <right style="thin">
        <color theme="6" tint="0.39994506668294322"/>
      </right>
      <top/>
      <bottom style="thick">
        <color auto="1"/>
      </bottom>
      <diagonal/>
    </border>
    <border>
      <left style="thin">
        <color theme="6" tint="0.39994506668294322"/>
      </left>
      <right/>
      <top/>
      <bottom style="thick">
        <color auto="1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 style="thick">
        <color auto="1"/>
      </bottom>
      <diagonal/>
    </border>
    <border>
      <left style="thin">
        <color theme="6" tint="0.39994506668294322"/>
      </left>
      <right style="thin">
        <color theme="6" tint="0.39991454817346722"/>
      </right>
      <top/>
      <bottom/>
      <diagonal/>
    </border>
    <border>
      <left style="thin">
        <color theme="6" tint="0.39991454817346722"/>
      </left>
      <right style="thin">
        <color theme="6" tint="0.39991454817346722"/>
      </right>
      <top/>
      <bottom/>
      <diagonal/>
    </border>
    <border>
      <left style="thin">
        <color theme="6" tint="0.39991454817346722"/>
      </left>
      <right style="thick">
        <color auto="1"/>
      </right>
      <top/>
      <bottom/>
      <diagonal/>
    </border>
    <border>
      <left/>
      <right style="thin">
        <color theme="6" tint="0.39991454817346722"/>
      </right>
      <top/>
      <bottom/>
      <diagonal/>
    </border>
    <border>
      <left style="thick">
        <color auto="1"/>
      </left>
      <right/>
      <top/>
      <bottom style="medium">
        <color rgb="FF0099FF"/>
      </bottom>
      <diagonal/>
    </border>
    <border>
      <left/>
      <right/>
      <top/>
      <bottom style="medium">
        <color rgb="FF0099FF"/>
      </bottom>
      <diagonal/>
    </border>
    <border>
      <left/>
      <right style="thick">
        <color auto="1"/>
      </right>
      <top/>
      <bottom style="medium">
        <color rgb="FF0099FF"/>
      </bottom>
      <diagonal/>
    </border>
    <border>
      <left style="thick">
        <color auto="1"/>
      </left>
      <right/>
      <top/>
      <bottom style="thick">
        <color rgb="FF0099FF"/>
      </bottom>
      <diagonal/>
    </border>
    <border>
      <left/>
      <right/>
      <top/>
      <bottom style="thick">
        <color rgb="FF0099FF"/>
      </bottom>
      <diagonal/>
    </border>
    <border>
      <left/>
      <right style="thick">
        <color auto="1"/>
      </right>
      <top/>
      <bottom style="thick">
        <color rgb="FF0099FF"/>
      </bottom>
      <diagonal/>
    </border>
    <border>
      <left style="thick">
        <color auto="1"/>
      </left>
      <right/>
      <top style="thin">
        <color rgb="FF0099FF"/>
      </top>
      <bottom style="double">
        <color rgb="FF0099FF"/>
      </bottom>
      <diagonal/>
    </border>
    <border>
      <left/>
      <right/>
      <top style="thin">
        <color rgb="FF0099FF"/>
      </top>
      <bottom style="double">
        <color rgb="FF0099FF"/>
      </bottom>
      <diagonal/>
    </border>
    <border>
      <left/>
      <right style="thick">
        <color auto="1"/>
      </right>
      <top style="thin">
        <color rgb="FF0099FF"/>
      </top>
      <bottom style="double">
        <color rgb="FF0099FF"/>
      </bottom>
      <diagonal/>
    </border>
    <border>
      <left style="thick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auto="1"/>
      </left>
      <right/>
      <top style="thin">
        <color indexed="64"/>
      </top>
      <bottom style="double">
        <color rgb="FF0099FF"/>
      </bottom>
      <diagonal/>
    </border>
    <border>
      <left/>
      <right/>
      <top style="thin">
        <color indexed="64"/>
      </top>
      <bottom style="double">
        <color rgb="FF0099FF"/>
      </bottom>
      <diagonal/>
    </border>
    <border>
      <left/>
      <right style="thick">
        <color auto="1"/>
      </right>
      <top style="thin">
        <color indexed="64"/>
      </top>
      <bottom style="double">
        <color rgb="FF0099FF"/>
      </bottom>
      <diagonal/>
    </border>
    <border>
      <left style="thick">
        <color auto="1"/>
      </left>
      <right/>
      <top style="thin">
        <color indexed="64"/>
      </top>
      <bottom style="thick">
        <color theme="0" tint="-0.24994659260841701"/>
      </bottom>
      <diagonal/>
    </border>
    <border>
      <left/>
      <right/>
      <top style="thin">
        <color indexed="64"/>
      </top>
      <bottom style="thick">
        <color theme="0" tint="-0.24994659260841701"/>
      </bottom>
      <diagonal/>
    </border>
    <border>
      <left/>
      <right style="thick">
        <color auto="1"/>
      </right>
      <top style="thin">
        <color indexed="64"/>
      </top>
      <bottom style="thick">
        <color theme="0" tint="-0.2499465926084170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13">
    <xf numFmtId="0" fontId="0" fillId="0" borderId="0">
      <alignment vertical="top"/>
    </xf>
    <xf numFmtId="0" fontId="4" fillId="0" borderId="0">
      <alignment vertical="top"/>
    </xf>
    <xf numFmtId="0" fontId="6" fillId="2" borderId="1" applyNumberFormat="0" applyAlignment="0" applyProtection="0"/>
    <xf numFmtId="0" fontId="7" fillId="3" borderId="2" applyNumberFormat="0" applyAlignment="0" applyProtection="0"/>
    <xf numFmtId="0" fontId="3" fillId="0" borderId="0"/>
    <xf numFmtId="9" fontId="3" fillId="0" borderId="0" applyFont="0" applyFill="0" applyBorder="0" applyAlignment="0" applyProtection="0"/>
    <xf numFmtId="0" fontId="8" fillId="0" borderId="18" applyNumberFormat="0" applyFill="0" applyAlignment="0" applyProtection="0"/>
    <xf numFmtId="9" fontId="10" fillId="0" borderId="0" applyFont="0" applyFill="0" applyBorder="0" applyAlignment="0" applyProtection="0"/>
    <xf numFmtId="0" fontId="11" fillId="0" borderId="19" applyNumberFormat="0" applyFill="0" applyAlignment="0" applyProtection="0"/>
    <xf numFmtId="0" fontId="12" fillId="0" borderId="0" applyNumberFormat="0" applyFill="0" applyBorder="0" applyAlignment="0" applyProtection="0">
      <alignment vertical="top"/>
    </xf>
    <xf numFmtId="0" fontId="13" fillId="0" borderId="20" applyNumberFormat="0" applyFill="0" applyAlignment="0" applyProtection="0"/>
    <xf numFmtId="0" fontId="2" fillId="0" borderId="0"/>
    <xf numFmtId="0" fontId="1" fillId="0" borderId="0"/>
  </cellStyleXfs>
  <cellXfs count="336">
    <xf numFmtId="0" fontId="0" fillId="0" borderId="0" xfId="0">
      <alignment vertical="top"/>
    </xf>
    <xf numFmtId="0" fontId="4" fillId="0" borderId="0" xfId="0" applyFont="1">
      <alignment vertical="top"/>
    </xf>
    <xf numFmtId="37" fontId="4" fillId="0" borderId="0" xfId="1" applyNumberFormat="1">
      <alignment vertical="top"/>
    </xf>
    <xf numFmtId="164" fontId="4" fillId="0" borderId="0" xfId="1" applyNumberFormat="1">
      <alignment vertical="top"/>
    </xf>
    <xf numFmtId="0" fontId="4" fillId="0" borderId="0" xfId="1">
      <alignment vertical="top"/>
    </xf>
    <xf numFmtId="0" fontId="0" fillId="0" borderId="0" xfId="0">
      <alignment vertical="top"/>
    </xf>
    <xf numFmtId="165" fontId="4" fillId="0" borderId="0" xfId="1" applyNumberFormat="1">
      <alignment vertical="top"/>
    </xf>
    <xf numFmtId="0" fontId="5" fillId="5" borderId="0" xfId="1" applyFont="1" applyFill="1">
      <alignment vertical="top"/>
    </xf>
    <xf numFmtId="0" fontId="4" fillId="5" borderId="0" xfId="1" applyFill="1">
      <alignment vertical="top"/>
    </xf>
    <xf numFmtId="0" fontId="4" fillId="5" borderId="0" xfId="1" applyFont="1" applyFill="1">
      <alignment vertical="top"/>
    </xf>
    <xf numFmtId="42" fontId="4" fillId="5" borderId="0" xfId="1" applyNumberFormat="1" applyFill="1">
      <alignment vertical="top"/>
    </xf>
    <xf numFmtId="37" fontId="4" fillId="5" borderId="0" xfId="1" applyNumberFormat="1" applyFill="1">
      <alignment vertical="top"/>
    </xf>
    <xf numFmtId="43" fontId="4" fillId="5" borderId="0" xfId="1" applyNumberFormat="1" applyFill="1">
      <alignment vertical="top"/>
    </xf>
    <xf numFmtId="44" fontId="4" fillId="5" borderId="0" xfId="1" applyNumberFormat="1" applyFill="1">
      <alignment vertical="top"/>
    </xf>
    <xf numFmtId="0" fontId="5" fillId="6" borderId="0" xfId="1" applyFont="1" applyFill="1">
      <alignment vertical="top"/>
    </xf>
    <xf numFmtId="0" fontId="4" fillId="6" borderId="0" xfId="1" applyFill="1">
      <alignment vertical="top"/>
    </xf>
    <xf numFmtId="0" fontId="4" fillId="6" borderId="0" xfId="1" applyFont="1" applyFill="1">
      <alignment vertical="top"/>
    </xf>
    <xf numFmtId="42" fontId="4" fillId="6" borderId="0" xfId="1" applyNumberFormat="1" applyFill="1">
      <alignment vertical="top"/>
    </xf>
    <xf numFmtId="37" fontId="4" fillId="6" borderId="0" xfId="1" applyNumberFormat="1" applyFill="1">
      <alignment vertical="top"/>
    </xf>
    <xf numFmtId="43" fontId="4" fillId="6" borderId="0" xfId="1" applyNumberFormat="1" applyFill="1">
      <alignment vertical="top"/>
    </xf>
    <xf numFmtId="0" fontId="5" fillId="7" borderId="0" xfId="0" applyFont="1" applyFill="1">
      <alignment vertical="top"/>
    </xf>
    <xf numFmtId="44" fontId="0" fillId="7" borderId="0" xfId="0" applyNumberFormat="1" applyFill="1">
      <alignment vertical="top"/>
    </xf>
    <xf numFmtId="0" fontId="0" fillId="7" borderId="0" xfId="0" applyFill="1">
      <alignment vertical="top"/>
    </xf>
    <xf numFmtId="0" fontId="4" fillId="7" borderId="0" xfId="0" applyFont="1" applyFill="1">
      <alignment vertical="top"/>
    </xf>
    <xf numFmtId="44" fontId="4" fillId="7" borderId="0" xfId="0" applyNumberFormat="1" applyFont="1" applyFill="1">
      <alignment vertical="top"/>
    </xf>
    <xf numFmtId="165" fontId="4" fillId="7" borderId="0" xfId="0" applyNumberFormat="1" applyFont="1" applyFill="1">
      <alignment vertical="top"/>
    </xf>
    <xf numFmtId="37" fontId="4" fillId="7" borderId="0" xfId="1" applyNumberFormat="1" applyFill="1">
      <alignment vertical="top"/>
    </xf>
    <xf numFmtId="43" fontId="4" fillId="7" borderId="0" xfId="1" applyNumberFormat="1" applyFill="1">
      <alignment vertical="top"/>
    </xf>
    <xf numFmtId="164" fontId="4" fillId="7" borderId="0" xfId="1" applyNumberFormat="1" applyFill="1">
      <alignment vertical="top"/>
    </xf>
    <xf numFmtId="0" fontId="0" fillId="7" borderId="0" xfId="0" applyFont="1" applyFill="1">
      <alignment vertical="top"/>
    </xf>
    <xf numFmtId="0" fontId="0" fillId="6" borderId="0" xfId="0" applyFill="1">
      <alignment vertical="top"/>
    </xf>
    <xf numFmtId="164" fontId="4" fillId="6" borderId="0" xfId="1" applyNumberFormat="1" applyFill="1">
      <alignment vertical="top"/>
    </xf>
    <xf numFmtId="37" fontId="4" fillId="5" borderId="11" xfId="1" applyNumberFormat="1" applyFill="1" applyBorder="1">
      <alignment vertical="top"/>
    </xf>
    <xf numFmtId="0" fontId="4" fillId="5" borderId="11" xfId="1" applyFill="1" applyBorder="1">
      <alignment vertical="top"/>
    </xf>
    <xf numFmtId="37" fontId="5" fillId="5" borderId="0" xfId="1" applyNumberFormat="1" applyFont="1" applyFill="1" applyBorder="1">
      <alignment vertical="top"/>
    </xf>
    <xf numFmtId="37" fontId="8" fillId="5" borderId="18" xfId="6" applyNumberFormat="1" applyFill="1" applyAlignment="1">
      <alignment vertical="top"/>
    </xf>
    <xf numFmtId="37" fontId="5" fillId="5" borderId="0" xfId="1" applyNumberFormat="1" applyFont="1" applyFill="1">
      <alignment vertical="top"/>
    </xf>
    <xf numFmtId="2" fontId="4" fillId="5" borderId="0" xfId="1" applyNumberFormat="1" applyFill="1">
      <alignment vertical="top"/>
    </xf>
    <xf numFmtId="0" fontId="4" fillId="0" borderId="0" xfId="1">
      <alignment vertical="top"/>
    </xf>
    <xf numFmtId="37" fontId="5" fillId="7" borderId="0" xfId="1" applyNumberFormat="1" applyFont="1" applyFill="1">
      <alignment vertical="top"/>
    </xf>
    <xf numFmtId="165" fontId="4" fillId="8" borderId="0" xfId="1" applyNumberFormat="1" applyFill="1">
      <alignment vertical="top"/>
    </xf>
    <xf numFmtId="165" fontId="4" fillId="9" borderId="0" xfId="1" applyNumberFormat="1" applyFill="1">
      <alignment vertical="top"/>
    </xf>
    <xf numFmtId="165" fontId="0" fillId="7" borderId="0" xfId="0" applyNumberFormat="1" applyFill="1">
      <alignment vertical="top"/>
    </xf>
    <xf numFmtId="165" fontId="4" fillId="6" borderId="0" xfId="1" applyNumberFormat="1" applyFill="1">
      <alignment vertical="top"/>
    </xf>
    <xf numFmtId="0" fontId="11" fillId="10" borderId="19" xfId="8" applyFill="1" applyAlignment="1">
      <alignment vertical="top"/>
    </xf>
    <xf numFmtId="0" fontId="0" fillId="8" borderId="0" xfId="0" applyFill="1">
      <alignment vertical="top"/>
    </xf>
    <xf numFmtId="0" fontId="4" fillId="8" borderId="0" xfId="0" applyFont="1" applyFill="1">
      <alignment vertical="top"/>
    </xf>
    <xf numFmtId="0" fontId="4" fillId="8" borderId="0" xfId="1" applyFill="1">
      <alignment vertical="top"/>
    </xf>
    <xf numFmtId="0" fontId="8" fillId="8" borderId="18" xfId="6" applyFill="1" applyAlignment="1">
      <alignment vertical="top"/>
    </xf>
    <xf numFmtId="0" fontId="5" fillId="8" borderId="0" xfId="1" applyFont="1" applyFill="1">
      <alignment vertical="top"/>
    </xf>
    <xf numFmtId="9" fontId="0" fillId="0" borderId="0" xfId="7" applyFont="1" applyAlignment="1">
      <alignment vertical="top"/>
    </xf>
    <xf numFmtId="10" fontId="0" fillId="0" borderId="0" xfId="7" applyNumberFormat="1" applyFont="1" applyAlignment="1">
      <alignment vertical="top"/>
    </xf>
    <xf numFmtId="9" fontId="0" fillId="0" borderId="0" xfId="7" applyNumberFormat="1" applyFont="1" applyAlignment="1">
      <alignment vertical="top"/>
    </xf>
    <xf numFmtId="9" fontId="4" fillId="0" borderId="0" xfId="7" applyFont="1" applyAlignment="1">
      <alignment vertical="top"/>
    </xf>
    <xf numFmtId="37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37" fontId="4" fillId="0" borderId="0" xfId="1" applyNumberFormat="1" applyAlignment="1">
      <alignment horizontal="right" vertical="top"/>
    </xf>
    <xf numFmtId="37" fontId="8" fillId="0" borderId="18" xfId="6" applyNumberFormat="1" applyAlignment="1">
      <alignment horizontal="right" vertical="top"/>
    </xf>
    <xf numFmtId="1" fontId="5" fillId="0" borderId="0" xfId="0" applyNumberFormat="1" applyFont="1" applyAlignment="1">
      <alignment horizontal="right" vertical="top"/>
    </xf>
    <xf numFmtId="0" fontId="11" fillId="11" borderId="19" xfId="8" applyFill="1" applyAlignment="1">
      <alignment vertical="top"/>
    </xf>
    <xf numFmtId="37" fontId="0" fillId="11" borderId="0" xfId="0" applyNumberFormat="1" applyFill="1" applyAlignment="1">
      <alignment horizontal="right" vertical="top"/>
    </xf>
    <xf numFmtId="0" fontId="0" fillId="11" borderId="0" xfId="0" applyFill="1" applyAlignment="1">
      <alignment horizontal="right" vertical="top"/>
    </xf>
    <xf numFmtId="37" fontId="4" fillId="11" borderId="0" xfId="1" applyNumberFormat="1" applyFill="1" applyAlignment="1">
      <alignment horizontal="right" vertical="top"/>
    </xf>
    <xf numFmtId="37" fontId="8" fillId="11" borderId="18" xfId="6" applyNumberFormat="1" applyFill="1" applyAlignment="1">
      <alignment horizontal="right" vertical="top"/>
    </xf>
    <xf numFmtId="1" fontId="5" fillId="11" borderId="0" xfId="0" applyNumberFormat="1" applyFont="1" applyFill="1" applyAlignment="1">
      <alignment horizontal="right" vertical="top"/>
    </xf>
    <xf numFmtId="0" fontId="0" fillId="11" borderId="0" xfId="0" applyFill="1">
      <alignment vertical="top"/>
    </xf>
    <xf numFmtId="0" fontId="4" fillId="11" borderId="0" xfId="1" applyFill="1">
      <alignment vertical="top"/>
    </xf>
    <xf numFmtId="165" fontId="4" fillId="11" borderId="0" xfId="1" applyNumberFormat="1" applyFill="1">
      <alignment vertical="top"/>
    </xf>
    <xf numFmtId="37" fontId="4" fillId="11" borderId="0" xfId="1" applyNumberFormat="1" applyFill="1">
      <alignment vertical="top"/>
    </xf>
    <xf numFmtId="164" fontId="4" fillId="11" borderId="0" xfId="1" applyNumberFormat="1" applyFill="1">
      <alignment vertical="top"/>
    </xf>
    <xf numFmtId="9" fontId="4" fillId="11" borderId="0" xfId="7" applyFont="1" applyFill="1" applyAlignment="1">
      <alignment vertical="top"/>
    </xf>
    <xf numFmtId="0" fontId="0" fillId="9" borderId="0" xfId="0" applyFill="1">
      <alignment vertical="top"/>
    </xf>
    <xf numFmtId="0" fontId="4" fillId="9" borderId="0" xfId="1" applyFill="1">
      <alignment vertical="top"/>
    </xf>
    <xf numFmtId="9" fontId="0" fillId="0" borderId="0" xfId="0" applyNumberFormat="1">
      <alignment vertical="top"/>
    </xf>
    <xf numFmtId="0" fontId="5" fillId="0" borderId="0" xfId="0" applyFont="1">
      <alignment vertical="top"/>
    </xf>
    <xf numFmtId="9" fontId="4" fillId="8" borderId="0" xfId="7" applyFont="1" applyFill="1" applyAlignment="1">
      <alignment vertical="top"/>
    </xf>
    <xf numFmtId="37" fontId="4" fillId="7" borderId="0" xfId="0" applyNumberFormat="1" applyFont="1" applyFill="1">
      <alignment vertical="top"/>
    </xf>
    <xf numFmtId="0" fontId="4" fillId="7" borderId="0" xfId="1" applyFill="1">
      <alignment vertical="top"/>
    </xf>
    <xf numFmtId="0" fontId="12" fillId="0" borderId="0" xfId="9">
      <alignment vertical="top"/>
    </xf>
    <xf numFmtId="0" fontId="0" fillId="12" borderId="0" xfId="0" applyFill="1">
      <alignment vertical="top"/>
    </xf>
    <xf numFmtId="0" fontId="14" fillId="8" borderId="0" xfId="0" applyFont="1" applyFill="1" applyAlignment="1">
      <alignment vertical="center"/>
    </xf>
    <xf numFmtId="0" fontId="15" fillId="8" borderId="0" xfId="0" applyFont="1" applyFill="1">
      <alignment vertical="top"/>
    </xf>
    <xf numFmtId="0" fontId="6" fillId="2" borderId="1" xfId="2" applyAlignment="1">
      <alignment vertical="top"/>
    </xf>
    <xf numFmtId="0" fontId="19" fillId="0" borderId="0" xfId="0" applyFont="1">
      <alignment vertical="top"/>
    </xf>
    <xf numFmtId="0" fontId="0" fillId="8" borderId="21" xfId="0" applyFill="1" applyBorder="1">
      <alignment vertical="top"/>
    </xf>
    <xf numFmtId="0" fontId="15" fillId="8" borderId="0" xfId="0" applyFont="1" applyFill="1" applyBorder="1">
      <alignment vertical="top"/>
    </xf>
    <xf numFmtId="0" fontId="22" fillId="8" borderId="0" xfId="0" applyFont="1" applyFill="1">
      <alignment vertical="top"/>
    </xf>
    <xf numFmtId="42" fontId="22" fillId="8" borderId="0" xfId="1" applyNumberFormat="1" applyFont="1" applyFill="1">
      <alignment vertical="top"/>
    </xf>
    <xf numFmtId="0" fontId="22" fillId="8" borderId="0" xfId="1" applyFont="1" applyFill="1">
      <alignment vertical="top"/>
    </xf>
    <xf numFmtId="37" fontId="22" fillId="8" borderId="0" xfId="1" applyNumberFormat="1" applyFont="1" applyFill="1">
      <alignment vertical="top"/>
    </xf>
    <xf numFmtId="0" fontId="23" fillId="8" borderId="0" xfId="1" applyFont="1" applyFill="1">
      <alignment vertical="top"/>
    </xf>
    <xf numFmtId="37" fontId="23" fillId="8" borderId="0" xfId="1" applyNumberFormat="1" applyFont="1" applyFill="1">
      <alignment vertical="top"/>
    </xf>
    <xf numFmtId="0" fontId="23" fillId="0" borderId="0" xfId="0" applyFont="1">
      <alignment vertical="top"/>
    </xf>
    <xf numFmtId="0" fontId="22" fillId="0" borderId="0" xfId="0" applyFont="1">
      <alignment vertical="top"/>
    </xf>
    <xf numFmtId="37" fontId="22" fillId="8" borderId="0" xfId="0" applyNumberFormat="1" applyFont="1" applyFill="1" applyAlignment="1">
      <alignment horizontal="right" vertical="top"/>
    </xf>
    <xf numFmtId="0" fontId="22" fillId="0" borderId="0" xfId="0" applyFont="1" applyFill="1">
      <alignment vertical="top"/>
    </xf>
    <xf numFmtId="37" fontId="22" fillId="0" borderId="0" xfId="0" applyNumberFormat="1" applyFont="1" applyFill="1" applyAlignment="1">
      <alignment horizontal="right" vertical="top"/>
    </xf>
    <xf numFmtId="37" fontId="22" fillId="0" borderId="0" xfId="0" applyNumberFormat="1" applyFont="1" applyAlignment="1">
      <alignment horizontal="right" vertical="top"/>
    </xf>
    <xf numFmtId="0" fontId="22" fillId="8" borderId="0" xfId="0" applyNumberFormat="1" applyFont="1" applyFill="1" applyAlignment="1">
      <alignment horizontal="right" vertical="top"/>
    </xf>
    <xf numFmtId="37" fontId="24" fillId="8" borderId="18" xfId="6" applyNumberFormat="1" applyFont="1" applyFill="1" applyAlignment="1">
      <alignment horizontal="right" vertical="top"/>
    </xf>
    <xf numFmtId="1" fontId="23" fillId="8" borderId="0" xfId="0" applyNumberFormat="1" applyFont="1" applyFill="1" applyAlignment="1">
      <alignment horizontal="right" vertical="top"/>
    </xf>
    <xf numFmtId="1" fontId="23" fillId="0" borderId="0" xfId="0" applyNumberFormat="1" applyFont="1" applyAlignment="1">
      <alignment horizontal="right" vertical="top"/>
    </xf>
    <xf numFmtId="0" fontId="23" fillId="0" borderId="0" xfId="1" applyFont="1">
      <alignment vertical="top"/>
    </xf>
    <xf numFmtId="37" fontId="23" fillId="0" borderId="0" xfId="1" applyNumberFormat="1" applyFont="1">
      <alignment vertical="top"/>
    </xf>
    <xf numFmtId="0" fontId="22" fillId="12" borderId="21" xfId="0" applyFont="1" applyFill="1" applyBorder="1">
      <alignment vertical="top"/>
    </xf>
    <xf numFmtId="0" fontId="22" fillId="12" borderId="21" xfId="1" applyFont="1" applyFill="1" applyBorder="1">
      <alignment vertical="top"/>
    </xf>
    <xf numFmtId="0" fontId="22" fillId="0" borderId="0" xfId="1" applyFont="1">
      <alignment vertical="top"/>
    </xf>
    <xf numFmtId="9" fontId="22" fillId="0" borderId="0" xfId="7" applyFont="1" applyAlignment="1">
      <alignment vertical="top"/>
    </xf>
    <xf numFmtId="10" fontId="22" fillId="0" borderId="0" xfId="7" applyNumberFormat="1" applyFont="1" applyAlignment="1">
      <alignment vertical="top"/>
    </xf>
    <xf numFmtId="0" fontId="22" fillId="12" borderId="0" xfId="1" applyFont="1" applyFill="1">
      <alignment vertical="top"/>
    </xf>
    <xf numFmtId="165" fontId="22" fillId="8" borderId="0" xfId="1" applyNumberFormat="1" applyFont="1" applyFill="1">
      <alignment vertical="top"/>
    </xf>
    <xf numFmtId="37" fontId="22" fillId="0" borderId="0" xfId="1" applyNumberFormat="1" applyFont="1">
      <alignment vertical="top"/>
    </xf>
    <xf numFmtId="164" fontId="22" fillId="8" borderId="0" xfId="1" applyNumberFormat="1" applyFont="1" applyFill="1">
      <alignment vertical="top"/>
    </xf>
    <xf numFmtId="165" fontId="22" fillId="0" borderId="0" xfId="1" applyNumberFormat="1" applyFont="1">
      <alignment vertical="top"/>
    </xf>
    <xf numFmtId="164" fontId="22" fillId="0" borderId="0" xfId="1" applyNumberFormat="1" applyFont="1">
      <alignment vertical="top"/>
    </xf>
    <xf numFmtId="9" fontId="22" fillId="8" borderId="0" xfId="7" applyFont="1" applyFill="1" applyAlignment="1">
      <alignment vertical="top"/>
    </xf>
    <xf numFmtId="44" fontId="22" fillId="8" borderId="0" xfId="1" applyNumberFormat="1" applyFont="1" applyFill="1">
      <alignment vertical="top"/>
    </xf>
    <xf numFmtId="9" fontId="22" fillId="8" borderId="0" xfId="7" applyNumberFormat="1" applyFont="1" applyFill="1" applyAlignment="1">
      <alignment vertical="top"/>
    </xf>
    <xf numFmtId="0" fontId="24" fillId="0" borderId="0" xfId="4" applyFont="1" applyAlignment="1">
      <alignment horizontal="left"/>
    </xf>
    <xf numFmtId="0" fontId="25" fillId="0" borderId="0" xfId="4" applyFont="1"/>
    <xf numFmtId="168" fontId="25" fillId="0" borderId="0" xfId="4" applyNumberFormat="1" applyFont="1"/>
    <xf numFmtId="0" fontId="25" fillId="0" borderId="0" xfId="4" applyFont="1" applyAlignment="1">
      <alignment horizontal="left" indent="1"/>
    </xf>
    <xf numFmtId="169" fontId="25" fillId="0" borderId="0" xfId="4" applyNumberFormat="1" applyFont="1"/>
    <xf numFmtId="169" fontId="26" fillId="0" borderId="0" xfId="4" applyNumberFormat="1" applyFont="1"/>
    <xf numFmtId="168" fontId="26" fillId="0" borderId="0" xfId="4" applyNumberFormat="1" applyFont="1"/>
    <xf numFmtId="0" fontId="27" fillId="0" borderId="0" xfId="3" applyFont="1" applyFill="1" applyBorder="1"/>
    <xf numFmtId="168" fontId="27" fillId="0" borderId="0" xfId="3" applyNumberFormat="1" applyFont="1" applyFill="1" applyBorder="1"/>
    <xf numFmtId="0" fontId="28" fillId="0" borderId="0" xfId="3" applyFont="1" applyFill="1" applyBorder="1"/>
    <xf numFmtId="169" fontId="26" fillId="0" borderId="0" xfId="3" applyNumberFormat="1" applyFont="1" applyFill="1" applyBorder="1"/>
    <xf numFmtId="169" fontId="25" fillId="8" borderId="0" xfId="4" applyNumberFormat="1" applyFont="1" applyFill="1"/>
    <xf numFmtId="0" fontId="25" fillId="0" borderId="0" xfId="4" applyFont="1" applyBorder="1"/>
    <xf numFmtId="0" fontId="25" fillId="0" borderId="0" xfId="4" applyFont="1" applyBorder="1" applyAlignment="1">
      <alignment horizontal="center"/>
    </xf>
    <xf numFmtId="170" fontId="22" fillId="8" borderId="7" xfId="5" applyNumberFormat="1" applyFont="1" applyFill="1" applyBorder="1" applyAlignment="1">
      <alignment horizontal="right"/>
    </xf>
    <xf numFmtId="170" fontId="22" fillId="0" borderId="10" xfId="5" applyNumberFormat="1" applyFont="1" applyBorder="1" applyAlignment="1">
      <alignment horizontal="center"/>
    </xf>
    <xf numFmtId="170" fontId="22" fillId="0" borderId="11" xfId="5" applyNumberFormat="1" applyFont="1" applyBorder="1" applyAlignment="1">
      <alignment horizontal="center"/>
    </xf>
    <xf numFmtId="165" fontId="22" fillId="0" borderId="11" xfId="4" applyNumberFormat="1" applyFont="1" applyBorder="1" applyAlignment="1">
      <alignment horizontal="center"/>
    </xf>
    <xf numFmtId="0" fontId="30" fillId="0" borderId="0" xfId="9" applyFont="1" applyAlignment="1"/>
    <xf numFmtId="0" fontId="25" fillId="0" borderId="0" xfId="4" applyFont="1" applyAlignment="1">
      <alignment horizontal="left" indent="4"/>
    </xf>
    <xf numFmtId="0" fontId="25" fillId="0" borderId="8" xfId="4" applyFont="1" applyBorder="1"/>
    <xf numFmtId="168" fontId="25" fillId="8" borderId="13" xfId="4" applyNumberFormat="1" applyFont="1" applyFill="1" applyBorder="1"/>
    <xf numFmtId="171" fontId="25" fillId="0" borderId="9" xfId="4" applyNumberFormat="1" applyFont="1" applyBorder="1"/>
    <xf numFmtId="168" fontId="25" fillId="0" borderId="13" xfId="4" applyNumberFormat="1" applyFont="1" applyBorder="1"/>
    <xf numFmtId="0" fontId="31" fillId="0" borderId="0" xfId="4" applyFont="1"/>
    <xf numFmtId="0" fontId="31" fillId="0" borderId="14" xfId="4" applyFont="1" applyBorder="1" applyAlignment="1">
      <alignment horizontal="right"/>
    </xf>
    <xf numFmtId="166" fontId="31" fillId="0" borderId="15" xfId="4" applyNumberFormat="1" applyFont="1" applyBorder="1"/>
    <xf numFmtId="166" fontId="31" fillId="0" borderId="16" xfId="4" applyNumberFormat="1" applyFont="1" applyBorder="1"/>
    <xf numFmtId="172" fontId="31" fillId="0" borderId="15" xfId="4" applyNumberFormat="1" applyFont="1" applyBorder="1"/>
    <xf numFmtId="0" fontId="25" fillId="0" borderId="14" xfId="4" applyFont="1" applyBorder="1"/>
    <xf numFmtId="169" fontId="25" fillId="0" borderId="15" xfId="4" applyNumberFormat="1" applyFont="1" applyBorder="1"/>
    <xf numFmtId="171" fontId="25" fillId="0" borderId="16" xfId="4" applyNumberFormat="1" applyFont="1" applyBorder="1"/>
    <xf numFmtId="0" fontId="25" fillId="0" borderId="10" xfId="4" applyFont="1" applyBorder="1"/>
    <xf numFmtId="169" fontId="25" fillId="0" borderId="17" xfId="4" applyNumberFormat="1" applyFont="1" applyBorder="1"/>
    <xf numFmtId="171" fontId="25" fillId="0" borderId="12" xfId="4" applyNumberFormat="1" applyFont="1" applyBorder="1"/>
    <xf numFmtId="168" fontId="25" fillId="0" borderId="15" xfId="4" applyNumberFormat="1" applyFont="1" applyBorder="1"/>
    <xf numFmtId="173" fontId="25" fillId="0" borderId="12" xfId="4" applyNumberFormat="1" applyFont="1" applyBorder="1"/>
    <xf numFmtId="0" fontId="25" fillId="0" borderId="4" xfId="4" applyFont="1" applyBorder="1"/>
    <xf numFmtId="7" fontId="27" fillId="3" borderId="7" xfId="3" applyNumberFormat="1" applyFont="1" applyBorder="1"/>
    <xf numFmtId="167" fontId="27" fillId="3" borderId="7" xfId="3" applyNumberFormat="1" applyFont="1" applyBorder="1"/>
    <xf numFmtId="0" fontId="22" fillId="0" borderId="0" xfId="1" applyFont="1" applyAlignment="1">
      <alignment horizontal="right" vertical="top"/>
    </xf>
    <xf numFmtId="0" fontId="30" fillId="0" borderId="0" xfId="9" applyFont="1">
      <alignment vertical="top"/>
    </xf>
    <xf numFmtId="0" fontId="0" fillId="12" borderId="24" xfId="0" applyFill="1" applyBorder="1">
      <alignment vertical="top"/>
    </xf>
    <xf numFmtId="171" fontId="25" fillId="0" borderId="3" xfId="4" applyNumberFormat="1" applyFont="1" applyBorder="1"/>
    <xf numFmtId="10" fontId="25" fillId="0" borderId="0" xfId="4" applyNumberFormat="1" applyFont="1" applyBorder="1"/>
    <xf numFmtId="171" fontId="25" fillId="0" borderId="0" xfId="4" applyNumberFormat="1" applyFont="1" applyBorder="1"/>
    <xf numFmtId="171" fontId="25" fillId="0" borderId="11" xfId="4" applyNumberFormat="1" applyFont="1" applyBorder="1"/>
    <xf numFmtId="173" fontId="25" fillId="0" borderId="11" xfId="4" applyNumberFormat="1" applyFont="1" applyBorder="1"/>
    <xf numFmtId="0" fontId="0" fillId="12" borderId="23" xfId="0" applyFill="1" applyBorder="1">
      <alignment vertical="top"/>
    </xf>
    <xf numFmtId="0" fontId="19" fillId="12" borderId="23" xfId="0" applyFont="1" applyFill="1" applyBorder="1">
      <alignment vertical="top"/>
    </xf>
    <xf numFmtId="0" fontId="15" fillId="8" borderId="0" xfId="0" applyFont="1" applyFill="1" applyBorder="1" applyAlignment="1">
      <alignment horizontal="left" vertical="top"/>
    </xf>
    <xf numFmtId="0" fontId="0" fillId="8" borderId="0" xfId="0" applyFill="1" applyBorder="1">
      <alignment vertical="top"/>
    </xf>
    <xf numFmtId="0" fontId="34" fillId="8" borderId="0" xfId="0" applyFont="1" applyFill="1" applyBorder="1" applyAlignment="1">
      <alignment horizontal="left" vertical="top"/>
    </xf>
    <xf numFmtId="0" fontId="35" fillId="8" borderId="0" xfId="0" applyFont="1" applyFill="1" applyBorder="1" applyAlignment="1">
      <alignment horizontal="left" vertical="top"/>
    </xf>
    <xf numFmtId="10" fontId="22" fillId="8" borderId="0" xfId="7" applyNumberFormat="1" applyFont="1" applyFill="1" applyAlignment="1">
      <alignment vertical="top"/>
    </xf>
    <xf numFmtId="0" fontId="0" fillId="12" borderId="0" xfId="0" applyFill="1" applyBorder="1">
      <alignment vertical="top"/>
    </xf>
    <xf numFmtId="0" fontId="4" fillId="8" borderId="0" xfId="0" applyFont="1" applyFill="1" applyBorder="1">
      <alignment vertical="top"/>
    </xf>
    <xf numFmtId="165" fontId="37" fillId="12" borderId="0" xfId="1" applyNumberFormat="1" applyFont="1" applyFill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13" fillId="0" borderId="20" xfId="10" applyAlignment="1">
      <alignment vertical="top"/>
    </xf>
    <xf numFmtId="167" fontId="0" fillId="0" borderId="0" xfId="0" applyNumberFormat="1">
      <alignment vertical="top"/>
    </xf>
    <xf numFmtId="176" fontId="0" fillId="0" borderId="0" xfId="0" applyNumberFormat="1">
      <alignment vertical="top"/>
    </xf>
    <xf numFmtId="9" fontId="40" fillId="0" borderId="0" xfId="1" applyNumberFormat="1" applyFont="1">
      <alignment vertical="top"/>
    </xf>
    <xf numFmtId="174" fontId="40" fillId="0" borderId="0" xfId="1" applyNumberFormat="1" applyFont="1">
      <alignment vertical="top"/>
    </xf>
    <xf numFmtId="10" fontId="40" fillId="8" borderId="0" xfId="1" applyNumberFormat="1" applyFont="1" applyFill="1">
      <alignment vertical="top"/>
    </xf>
    <xf numFmtId="10" fontId="40" fillId="0" borderId="0" xfId="1" applyNumberFormat="1" applyFont="1">
      <alignment vertical="top"/>
    </xf>
    <xf numFmtId="9" fontId="9" fillId="8" borderId="0" xfId="7" applyFont="1" applyFill="1" applyBorder="1" applyAlignment="1">
      <alignment horizontal="center" vertical="top"/>
    </xf>
    <xf numFmtId="9" fontId="9" fillId="8" borderId="21" xfId="7" applyFont="1" applyFill="1" applyBorder="1" applyAlignment="1">
      <alignment horizontal="center" vertical="top"/>
    </xf>
    <xf numFmtId="0" fontId="12" fillId="0" borderId="0" xfId="9" applyAlignment="1">
      <alignment horizontal="left" vertical="top"/>
    </xf>
    <xf numFmtId="42" fontId="18" fillId="8" borderId="21" xfId="1" applyNumberFormat="1" applyFont="1" applyFill="1" applyBorder="1" applyAlignment="1">
      <alignment horizontal="center" vertical="top"/>
    </xf>
    <xf numFmtId="175" fontId="18" fillId="8" borderId="0" xfId="1" applyNumberFormat="1" applyFont="1" applyFill="1" applyBorder="1" applyAlignment="1">
      <alignment vertical="center"/>
    </xf>
    <xf numFmtId="175" fontId="42" fillId="8" borderId="0" xfId="1" applyNumberFormat="1" applyFont="1" applyFill="1" applyBorder="1" applyAlignment="1">
      <alignment horizontal="right" vertical="center"/>
    </xf>
    <xf numFmtId="176" fontId="5" fillId="0" borderId="0" xfId="0" applyNumberFormat="1" applyFont="1">
      <alignment vertical="top"/>
    </xf>
    <xf numFmtId="0" fontId="5" fillId="0" borderId="0" xfId="0" applyFont="1" applyAlignment="1">
      <alignment horizontal="left" vertical="top"/>
    </xf>
    <xf numFmtId="167" fontId="5" fillId="0" borderId="0" xfId="0" applyNumberFormat="1" applyFont="1">
      <alignment vertical="top"/>
    </xf>
    <xf numFmtId="176" fontId="4" fillId="0" borderId="0" xfId="0" applyNumberFormat="1" applyFont="1">
      <alignment vertical="top"/>
    </xf>
    <xf numFmtId="0" fontId="36" fillId="0" borderId="0" xfId="0" applyFont="1" applyAlignment="1">
      <alignment horizontal="left" vertical="top"/>
    </xf>
    <xf numFmtId="0" fontId="36" fillId="0" borderId="0" xfId="0" applyFont="1">
      <alignment vertical="top"/>
    </xf>
    <xf numFmtId="0" fontId="20" fillId="8" borderId="0" xfId="0" applyFont="1" applyFill="1" applyBorder="1" applyAlignment="1">
      <alignment horizontal="center" vertical="top"/>
    </xf>
    <xf numFmtId="9" fontId="5" fillId="0" borderId="0" xfId="7" applyFont="1" applyAlignment="1">
      <alignment vertical="top"/>
    </xf>
    <xf numFmtId="176" fontId="44" fillId="0" borderId="0" xfId="0" applyNumberFormat="1" applyFont="1">
      <alignment vertical="top"/>
    </xf>
    <xf numFmtId="0" fontId="15" fillId="8" borderId="28" xfId="0" applyFont="1" applyFill="1" applyBorder="1">
      <alignment vertical="top"/>
    </xf>
    <xf numFmtId="0" fontId="16" fillId="8" borderId="27" xfId="0" quotePrefix="1" applyFont="1" applyFill="1" applyBorder="1" applyAlignment="1">
      <alignment horizontal="center" vertical="top"/>
    </xf>
    <xf numFmtId="0" fontId="0" fillId="8" borderId="28" xfId="0" applyFill="1" applyBorder="1">
      <alignment vertical="top"/>
    </xf>
    <xf numFmtId="0" fontId="16" fillId="8" borderId="29" xfId="0" quotePrefix="1" applyFont="1" applyFill="1" applyBorder="1">
      <alignment vertical="top"/>
    </xf>
    <xf numFmtId="0" fontId="35" fillId="8" borderId="30" xfId="0" applyFont="1" applyFill="1" applyBorder="1" applyAlignment="1">
      <alignment horizontal="left" vertical="top"/>
    </xf>
    <xf numFmtId="0" fontId="41" fillId="8" borderId="27" xfId="0" applyFont="1" applyFill="1" applyBorder="1" applyAlignment="1">
      <alignment horizontal="center" vertical="top"/>
    </xf>
    <xf numFmtId="0" fontId="15" fillId="14" borderId="0" xfId="0" applyFont="1" applyFill="1" applyBorder="1">
      <alignment vertical="top"/>
    </xf>
    <xf numFmtId="0" fontId="15" fillId="14" borderId="0" xfId="0" applyFont="1" applyFill="1">
      <alignment vertical="top"/>
    </xf>
    <xf numFmtId="9" fontId="36" fillId="0" borderId="0" xfId="7" applyFont="1" applyAlignment="1">
      <alignment vertical="top"/>
    </xf>
    <xf numFmtId="0" fontId="15" fillId="8" borderId="32" xfId="0" applyFont="1" applyFill="1" applyBorder="1">
      <alignment vertical="top"/>
    </xf>
    <xf numFmtId="0" fontId="15" fillId="8" borderId="33" xfId="0" applyFont="1" applyFill="1" applyBorder="1">
      <alignment vertical="top"/>
    </xf>
    <xf numFmtId="0" fontId="15" fillId="8" borderId="30" xfId="0" applyFont="1" applyFill="1" applyBorder="1">
      <alignment vertical="top"/>
    </xf>
    <xf numFmtId="0" fontId="39" fillId="8" borderId="32" xfId="0" applyFont="1" applyFill="1" applyBorder="1" applyAlignment="1">
      <alignment horizontal="left" vertical="top"/>
    </xf>
    <xf numFmtId="0" fontId="15" fillId="8" borderId="31" xfId="0" applyFont="1" applyFill="1" applyBorder="1">
      <alignment vertical="top"/>
    </xf>
    <xf numFmtId="0" fontId="15" fillId="8" borderId="37" xfId="0" applyFont="1" applyFill="1" applyBorder="1">
      <alignment vertical="top"/>
    </xf>
    <xf numFmtId="0" fontId="20" fillId="8" borderId="28" xfId="0" applyFont="1" applyFill="1" applyBorder="1" applyAlignment="1">
      <alignment horizontal="right" vertical="top"/>
    </xf>
    <xf numFmtId="0" fontId="4" fillId="9" borderId="0" xfId="0" applyFont="1" applyFill="1" applyAlignment="1">
      <alignment horizontal="right" vertical="top"/>
    </xf>
    <xf numFmtId="9" fontId="0" fillId="9" borderId="0" xfId="0" applyNumberFormat="1" applyFill="1">
      <alignment vertical="top"/>
    </xf>
    <xf numFmtId="9" fontId="0" fillId="9" borderId="0" xfId="7" applyFont="1" applyFill="1" applyAlignment="1">
      <alignment vertical="top"/>
    </xf>
    <xf numFmtId="0" fontId="21" fillId="13" borderId="3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left" vertical="top"/>
    </xf>
    <xf numFmtId="176" fontId="4" fillId="0" borderId="7" xfId="0" applyNumberFormat="1" applyFont="1" applyBorder="1" applyAlignment="1">
      <alignment horizontal="left" vertical="top"/>
    </xf>
    <xf numFmtId="0" fontId="5" fillId="0" borderId="7" xfId="0" applyFont="1" applyBorder="1" applyAlignment="1">
      <alignment horizontal="right" vertical="top"/>
    </xf>
    <xf numFmtId="176" fontId="4" fillId="0" borderId="7" xfId="0" applyNumberFormat="1" applyFont="1" applyBorder="1">
      <alignment vertical="top"/>
    </xf>
    <xf numFmtId="0" fontId="15" fillId="8" borderId="0" xfId="0" applyFont="1" applyFill="1" applyAlignment="1">
      <alignment horizontal="center" vertical="top"/>
    </xf>
    <xf numFmtId="7" fontId="15" fillId="8" borderId="0" xfId="0" applyNumberFormat="1" applyFont="1" applyFill="1" applyBorder="1" applyAlignment="1">
      <alignment horizontal="center" vertical="top"/>
    </xf>
    <xf numFmtId="0" fontId="39" fillId="8" borderId="27" xfId="0" applyFont="1" applyFill="1" applyBorder="1" applyAlignment="1">
      <alignment horizontal="center"/>
    </xf>
    <xf numFmtId="173" fontId="22" fillId="0" borderId="0" xfId="1" applyNumberFormat="1" applyFont="1">
      <alignment vertical="top"/>
    </xf>
    <xf numFmtId="0" fontId="15" fillId="12" borderId="0" xfId="0" applyFont="1" applyFill="1">
      <alignment vertical="top"/>
    </xf>
    <xf numFmtId="0" fontId="15" fillId="12" borderId="0" xfId="0" applyFont="1" applyFill="1" applyBorder="1">
      <alignment vertical="top"/>
    </xf>
    <xf numFmtId="0" fontId="24" fillId="13" borderId="41" xfId="8" applyFont="1" applyFill="1" applyBorder="1" applyAlignment="1">
      <alignment vertical="top"/>
    </xf>
    <xf numFmtId="0" fontId="24" fillId="13" borderId="42" xfId="8" applyFont="1" applyFill="1" applyBorder="1" applyAlignment="1">
      <alignment vertical="top"/>
    </xf>
    <xf numFmtId="0" fontId="24" fillId="13" borderId="43" xfId="8" applyFont="1" applyFill="1" applyBorder="1" applyAlignment="1">
      <alignment vertical="top"/>
    </xf>
    <xf numFmtId="0" fontId="24" fillId="8" borderId="44" xfId="6" applyFont="1" applyFill="1" applyBorder="1" applyAlignment="1">
      <alignment vertical="top"/>
    </xf>
    <xf numFmtId="37" fontId="24" fillId="8" borderId="45" xfId="6" applyNumberFormat="1" applyFont="1" applyFill="1" applyBorder="1" applyAlignment="1">
      <alignment horizontal="right" vertical="top"/>
    </xf>
    <xf numFmtId="37" fontId="24" fillId="0" borderId="45" xfId="6" applyNumberFormat="1" applyFont="1" applyBorder="1" applyAlignment="1">
      <alignment horizontal="right" vertical="top"/>
    </xf>
    <xf numFmtId="37" fontId="24" fillId="8" borderId="46" xfId="6" applyNumberFormat="1" applyFont="1" applyFill="1" applyBorder="1" applyAlignment="1">
      <alignment horizontal="right" vertical="top"/>
    </xf>
    <xf numFmtId="0" fontId="23" fillId="0" borderId="44" xfId="1" applyFont="1" applyBorder="1">
      <alignment vertical="top"/>
    </xf>
    <xf numFmtId="42" fontId="23" fillId="8" borderId="45" xfId="1" applyNumberFormat="1" applyFont="1" applyFill="1" applyBorder="1">
      <alignment vertical="top"/>
    </xf>
    <xf numFmtId="42" fontId="23" fillId="8" borderId="46" xfId="1" applyNumberFormat="1" applyFont="1" applyFill="1" applyBorder="1">
      <alignment vertical="top"/>
    </xf>
    <xf numFmtId="170" fontId="25" fillId="8" borderId="11" xfId="5" applyNumberFormat="1" applyFont="1" applyFill="1" applyBorder="1" applyAlignment="1">
      <alignment horizontal="center"/>
    </xf>
    <xf numFmtId="6" fontId="25" fillId="8" borderId="12" xfId="4" applyNumberFormat="1" applyFont="1" applyFill="1" applyBorder="1" applyAlignment="1">
      <alignment horizontal="center"/>
    </xf>
    <xf numFmtId="170" fontId="25" fillId="8" borderId="7" xfId="5" applyNumberFormat="1" applyFont="1" applyFill="1" applyBorder="1" applyAlignment="1">
      <alignment horizontal="right"/>
    </xf>
    <xf numFmtId="166" fontId="25" fillId="8" borderId="7" xfId="2" applyNumberFormat="1" applyFont="1" applyFill="1" applyBorder="1" applyAlignment="1">
      <alignment horizontal="right"/>
    </xf>
    <xf numFmtId="0" fontId="24" fillId="8" borderId="47" xfId="6" applyFont="1" applyFill="1" applyBorder="1" applyAlignment="1">
      <alignment vertical="top"/>
    </xf>
    <xf numFmtId="37" fontId="24" fillId="8" borderId="48" xfId="6" applyNumberFormat="1" applyFont="1" applyFill="1" applyBorder="1" applyAlignment="1">
      <alignment horizontal="right" vertical="top"/>
    </xf>
    <xf numFmtId="37" fontId="24" fillId="0" borderId="48" xfId="6" applyNumberFormat="1" applyFont="1" applyBorder="1" applyAlignment="1">
      <alignment horizontal="right" vertical="top"/>
    </xf>
    <xf numFmtId="37" fontId="24" fillId="8" borderId="49" xfId="6" applyNumberFormat="1" applyFont="1" applyFill="1" applyBorder="1" applyAlignment="1">
      <alignment horizontal="right" vertical="top"/>
    </xf>
    <xf numFmtId="0" fontId="27" fillId="3" borderId="50" xfId="3" applyFont="1" applyBorder="1"/>
    <xf numFmtId="0" fontId="27" fillId="3" borderId="51" xfId="3" applyFont="1" applyBorder="1"/>
    <xf numFmtId="168" fontId="27" fillId="3" borderId="51" xfId="3" applyNumberFormat="1" applyFont="1" applyBorder="1"/>
    <xf numFmtId="168" fontId="27" fillId="3" borderId="52" xfId="3" applyNumberFormat="1" applyFont="1" applyBorder="1"/>
    <xf numFmtId="0" fontId="24" fillId="4" borderId="53" xfId="4" applyFont="1" applyFill="1" applyBorder="1"/>
    <xf numFmtId="0" fontId="24" fillId="4" borderId="54" xfId="4" applyFont="1" applyFill="1" applyBorder="1"/>
    <xf numFmtId="168" fontId="24" fillId="4" borderId="54" xfId="4" applyNumberFormat="1" applyFont="1" applyFill="1" applyBorder="1"/>
    <xf numFmtId="168" fontId="24" fillId="4" borderId="55" xfId="4" applyNumberFormat="1" applyFont="1" applyFill="1" applyBorder="1"/>
    <xf numFmtId="0" fontId="25" fillId="12" borderId="0" xfId="4" applyFont="1" applyFill="1"/>
    <xf numFmtId="0" fontId="22" fillId="0" borderId="0" xfId="1" applyFont="1" applyAlignment="1">
      <alignment horizontal="left" vertical="top"/>
    </xf>
    <xf numFmtId="0" fontId="0" fillId="8" borderId="16" xfId="0" applyFill="1" applyBorder="1">
      <alignment vertical="top"/>
    </xf>
    <xf numFmtId="0" fontId="24" fillId="13" borderId="42" xfId="8" applyFont="1" applyFill="1" applyBorder="1" applyAlignment="1">
      <alignment horizontal="center"/>
    </xf>
    <xf numFmtId="0" fontId="0" fillId="12" borderId="43" xfId="0" applyFill="1" applyBorder="1">
      <alignment vertical="top"/>
    </xf>
    <xf numFmtId="0" fontId="0" fillId="12" borderId="41" xfId="0" applyFill="1" applyBorder="1">
      <alignment vertical="top"/>
    </xf>
    <xf numFmtId="174" fontId="5" fillId="0" borderId="0" xfId="7" applyNumberFormat="1" applyFont="1" applyAlignment="1">
      <alignment vertical="top"/>
    </xf>
    <xf numFmtId="176" fontId="44" fillId="0" borderId="0" xfId="0" applyNumberFormat="1" applyFont="1" applyAlignment="1">
      <alignment horizontal="right" vertical="top"/>
    </xf>
    <xf numFmtId="167" fontId="18" fillId="8" borderId="28" xfId="1" applyNumberFormat="1" applyFont="1" applyFill="1" applyBorder="1" applyAlignment="1">
      <alignment vertical="center"/>
    </xf>
    <xf numFmtId="167" fontId="18" fillId="8" borderId="24" xfId="1" applyNumberFormat="1" applyFont="1" applyFill="1" applyBorder="1" applyAlignment="1">
      <alignment vertical="center"/>
    </xf>
    <xf numFmtId="0" fontId="20" fillId="8" borderId="0" xfId="0" applyFont="1" applyFill="1" applyBorder="1" applyAlignment="1">
      <alignment horizontal="right" vertical="top"/>
    </xf>
    <xf numFmtId="0" fontId="33" fillId="8" borderId="27" xfId="0" applyFont="1" applyFill="1" applyBorder="1" applyAlignment="1">
      <alignment horizontal="center"/>
    </xf>
    <xf numFmtId="37" fontId="4" fillId="7" borderId="0" xfId="1" applyNumberFormat="1" applyFont="1" applyFill="1">
      <alignment vertical="top"/>
    </xf>
    <xf numFmtId="0" fontId="48" fillId="0" borderId="0" xfId="12" applyFont="1" applyBorder="1" applyAlignment="1">
      <alignment horizontal="center" vertical="center" wrapText="1"/>
    </xf>
    <xf numFmtId="0" fontId="49" fillId="8" borderId="0" xfId="12" applyFont="1" applyFill="1" applyAlignment="1">
      <alignment horizontal="center" vertical="center" wrapText="1"/>
    </xf>
    <xf numFmtId="0" fontId="9" fillId="8" borderId="0" xfId="12" applyFont="1" applyFill="1" applyAlignment="1">
      <alignment horizontal="center" vertical="center" wrapText="1"/>
    </xf>
    <xf numFmtId="0" fontId="50" fillId="0" borderId="0" xfId="0" applyFont="1">
      <alignment vertical="top"/>
    </xf>
    <xf numFmtId="0" fontId="49" fillId="8" borderId="0" xfId="12" applyFont="1" applyFill="1" applyAlignment="1">
      <alignment vertical="top" wrapText="1"/>
    </xf>
    <xf numFmtId="44" fontId="9" fillId="8" borderId="0" xfId="0" applyNumberFormat="1" applyFont="1" applyFill="1">
      <alignment vertical="top"/>
    </xf>
    <xf numFmtId="0" fontId="9" fillId="8" borderId="0" xfId="0" applyFont="1" applyFill="1">
      <alignment vertical="top"/>
    </xf>
    <xf numFmtId="165" fontId="9" fillId="8" borderId="0" xfId="0" applyNumberFormat="1" applyFont="1" applyFill="1">
      <alignment vertical="top"/>
    </xf>
    <xf numFmtId="37" fontId="9" fillId="8" borderId="0" xfId="1" applyNumberFormat="1" applyFont="1" applyFill="1">
      <alignment vertical="top"/>
    </xf>
    <xf numFmtId="43" fontId="9" fillId="8" borderId="0" xfId="1" applyNumberFormat="1" applyFont="1" applyFill="1">
      <alignment vertical="top"/>
    </xf>
    <xf numFmtId="164" fontId="9" fillId="8" borderId="0" xfId="1" applyNumberFormat="1" applyFont="1" applyFill="1">
      <alignment vertical="top"/>
    </xf>
    <xf numFmtId="0" fontId="9" fillId="8" borderId="0" xfId="12" applyFont="1" applyFill="1" applyAlignment="1">
      <alignment vertical="top" wrapText="1"/>
    </xf>
    <xf numFmtId="0" fontId="9" fillId="8" borderId="0" xfId="1" applyFont="1" applyFill="1">
      <alignment vertical="top"/>
    </xf>
    <xf numFmtId="0" fontId="50" fillId="8" borderId="0" xfId="0" applyFont="1" applyFill="1" applyBorder="1">
      <alignment vertical="top"/>
    </xf>
    <xf numFmtId="0" fontId="49" fillId="8" borderId="0" xfId="0" applyFont="1" applyFill="1" applyBorder="1" applyAlignment="1">
      <alignment vertical="top" wrapText="1"/>
    </xf>
    <xf numFmtId="0" fontId="9" fillId="8" borderId="0" xfId="0" applyFont="1" applyFill="1" applyBorder="1">
      <alignment vertical="top"/>
    </xf>
    <xf numFmtId="0" fontId="9" fillId="8" borderId="0" xfId="1" applyFont="1" applyFill="1" applyBorder="1">
      <alignment vertical="top"/>
    </xf>
    <xf numFmtId="42" fontId="9" fillId="8" borderId="0" xfId="1" applyNumberFormat="1" applyFont="1" applyFill="1" applyBorder="1">
      <alignment vertical="top"/>
    </xf>
    <xf numFmtId="37" fontId="9" fillId="8" borderId="0" xfId="1" applyNumberFormat="1" applyFont="1" applyFill="1" applyBorder="1">
      <alignment vertical="top"/>
    </xf>
    <xf numFmtId="37" fontId="1" fillId="8" borderId="0" xfId="6" applyNumberFormat="1" applyFont="1" applyFill="1" applyBorder="1" applyAlignment="1">
      <alignment vertical="top"/>
    </xf>
    <xf numFmtId="43" fontId="9" fillId="8" borderId="0" xfId="1" applyNumberFormat="1" applyFont="1" applyFill="1" applyBorder="1">
      <alignment vertical="top"/>
    </xf>
    <xf numFmtId="0" fontId="49" fillId="8" borderId="0" xfId="12" applyFont="1" applyFill="1" applyBorder="1" applyAlignment="1">
      <alignment vertical="top" wrapText="1"/>
    </xf>
    <xf numFmtId="0" fontId="9" fillId="8" borderId="0" xfId="12" applyFont="1" applyFill="1" applyBorder="1" applyAlignment="1">
      <alignment vertical="top" wrapText="1"/>
    </xf>
    <xf numFmtId="44" fontId="9" fillId="8" borderId="0" xfId="1" applyNumberFormat="1" applyFont="1" applyFill="1" applyBorder="1">
      <alignment vertical="top"/>
    </xf>
    <xf numFmtId="2" fontId="9" fillId="8" borderId="0" xfId="1" applyNumberFormat="1" applyFont="1" applyFill="1" applyBorder="1">
      <alignment vertical="top"/>
    </xf>
    <xf numFmtId="42" fontId="9" fillId="8" borderId="0" xfId="1" applyNumberFormat="1" applyFont="1" applyFill="1">
      <alignment vertical="top"/>
    </xf>
    <xf numFmtId="0" fontId="49" fillId="8" borderId="0" xfId="1" applyFont="1" applyFill="1">
      <alignment vertical="top"/>
    </xf>
    <xf numFmtId="0" fontId="25" fillId="0" borderId="4" xfId="4" applyFont="1" applyBorder="1" applyAlignment="1">
      <alignment horizontal="center"/>
    </xf>
    <xf numFmtId="0" fontId="25" fillId="0" borderId="5" xfId="4" applyFont="1" applyBorder="1" applyAlignment="1">
      <alignment horizontal="center"/>
    </xf>
    <xf numFmtId="0" fontId="25" fillId="0" borderId="6" xfId="4" applyFont="1" applyBorder="1" applyAlignment="1">
      <alignment horizontal="center"/>
    </xf>
    <xf numFmtId="0" fontId="25" fillId="0" borderId="59" xfId="4" applyFont="1" applyBorder="1" applyAlignment="1">
      <alignment horizontal="center"/>
    </xf>
    <xf numFmtId="0" fontId="17" fillId="12" borderId="41" xfId="0" applyFont="1" applyFill="1" applyBorder="1" applyAlignment="1">
      <alignment horizontal="center" vertical="center"/>
    </xf>
    <xf numFmtId="0" fontId="17" fillId="12" borderId="42" xfId="0" applyFont="1" applyFill="1" applyBorder="1" applyAlignment="1">
      <alignment horizontal="center" vertical="center"/>
    </xf>
    <xf numFmtId="0" fontId="17" fillId="12" borderId="43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 vertical="top"/>
    </xf>
    <xf numFmtId="0" fontId="21" fillId="13" borderId="40" xfId="0" applyFont="1" applyFill="1" applyBorder="1" applyAlignment="1">
      <alignment horizontal="center" vertical="top"/>
    </xf>
    <xf numFmtId="0" fontId="16" fillId="8" borderId="0" xfId="0" applyFont="1" applyFill="1" applyBorder="1" applyAlignment="1">
      <alignment horizontal="center" vertical="top"/>
    </xf>
    <xf numFmtId="0" fontId="33" fillId="8" borderId="34" xfId="0" applyFont="1" applyFill="1" applyBorder="1" applyAlignment="1">
      <alignment horizontal="center" vertical="top"/>
    </xf>
    <xf numFmtId="0" fontId="33" fillId="8" borderId="35" xfId="0" applyFont="1" applyFill="1" applyBorder="1" applyAlignment="1">
      <alignment horizontal="center" vertical="top"/>
    </xf>
    <xf numFmtId="176" fontId="43" fillId="8" borderId="27" xfId="1" applyNumberFormat="1" applyFont="1" applyFill="1" applyBorder="1" applyAlignment="1">
      <alignment horizontal="center" vertical="center"/>
    </xf>
    <xf numFmtId="0" fontId="41" fillId="8" borderId="34" xfId="0" applyFont="1" applyFill="1" applyBorder="1" applyAlignment="1">
      <alignment horizontal="center" vertical="top"/>
    </xf>
    <xf numFmtId="0" fontId="41" fillId="8" borderId="35" xfId="0" applyFont="1" applyFill="1" applyBorder="1" applyAlignment="1">
      <alignment horizontal="center" vertical="top"/>
    </xf>
    <xf numFmtId="5" fontId="43" fillId="8" borderId="32" xfId="1" applyNumberFormat="1" applyFont="1" applyFill="1" applyBorder="1" applyAlignment="1">
      <alignment horizontal="left" vertical="top"/>
    </xf>
    <xf numFmtId="5" fontId="43" fillId="8" borderId="31" xfId="1" applyNumberFormat="1" applyFont="1" applyFill="1" applyBorder="1" applyAlignment="1">
      <alignment horizontal="left" vertical="top"/>
    </xf>
    <xf numFmtId="0" fontId="16" fillId="8" borderId="0" xfId="0" applyFont="1" applyFill="1" applyAlignment="1">
      <alignment horizontal="center" vertical="top"/>
    </xf>
    <xf numFmtId="0" fontId="45" fillId="8" borderId="35" xfId="0" applyFont="1" applyFill="1" applyBorder="1" applyAlignment="1">
      <alignment horizontal="center" vertical="top"/>
    </xf>
    <xf numFmtId="0" fontId="45" fillId="8" borderId="36" xfId="0" applyFont="1" applyFill="1" applyBorder="1" applyAlignment="1">
      <alignment horizontal="center" vertical="top"/>
    </xf>
    <xf numFmtId="0" fontId="41" fillId="8" borderId="36" xfId="0" applyFont="1" applyFill="1" applyBorder="1" applyAlignment="1">
      <alignment horizontal="center" vertical="top"/>
    </xf>
    <xf numFmtId="0" fontId="25" fillId="0" borderId="0" xfId="4" applyFont="1" applyBorder="1" applyAlignment="1">
      <alignment horizontal="center"/>
    </xf>
    <xf numFmtId="0" fontId="22" fillId="0" borderId="0" xfId="1" applyFont="1" applyAlignment="1">
      <alignment horizontal="center" vertical="top"/>
    </xf>
    <xf numFmtId="9" fontId="43" fillId="8" borderId="27" xfId="7" applyFont="1" applyFill="1" applyBorder="1" applyAlignment="1">
      <alignment horizontal="center" vertical="center"/>
    </xf>
    <xf numFmtId="7" fontId="43" fillId="8" borderId="0" xfId="1" applyNumberFormat="1" applyFont="1" applyFill="1" applyBorder="1" applyAlignment="1">
      <alignment horizontal="center" vertical="top"/>
    </xf>
    <xf numFmtId="0" fontId="47" fillId="12" borderId="25" xfId="0" applyFont="1" applyFill="1" applyBorder="1" applyAlignment="1">
      <alignment horizontal="center" vertical="center"/>
    </xf>
    <xf numFmtId="0" fontId="47" fillId="12" borderId="22" xfId="0" applyFont="1" applyFill="1" applyBorder="1" applyAlignment="1">
      <alignment horizontal="center" vertical="center"/>
    </xf>
    <xf numFmtId="0" fontId="47" fillId="12" borderId="26" xfId="0" applyFont="1" applyFill="1" applyBorder="1" applyAlignment="1">
      <alignment horizontal="center" vertical="center"/>
    </xf>
    <xf numFmtId="0" fontId="47" fillId="12" borderId="56" xfId="0" applyFont="1" applyFill="1" applyBorder="1" applyAlignment="1">
      <alignment horizontal="center" vertical="center"/>
    </xf>
    <xf numFmtId="0" fontId="47" fillId="12" borderId="57" xfId="0" applyFont="1" applyFill="1" applyBorder="1" applyAlignment="1">
      <alignment horizontal="center" vertical="center"/>
    </xf>
    <xf numFmtId="0" fontId="47" fillId="12" borderId="58" xfId="0" applyFont="1" applyFill="1" applyBorder="1" applyAlignment="1">
      <alignment horizontal="center" vertical="center"/>
    </xf>
    <xf numFmtId="0" fontId="49" fillId="8" borderId="0" xfId="12" applyFont="1" applyFill="1" applyBorder="1" applyAlignment="1">
      <alignment horizontal="center" vertical="center" wrapText="1"/>
    </xf>
    <xf numFmtId="0" fontId="48" fillId="0" borderId="0" xfId="12" applyFont="1" applyBorder="1" applyAlignment="1">
      <alignment horizontal="center" vertical="center" wrapText="1"/>
    </xf>
    <xf numFmtId="0" fontId="49" fillId="8" borderId="0" xfId="12" applyFont="1" applyFill="1" applyAlignment="1">
      <alignment horizontal="center" vertical="center" wrapText="1"/>
    </xf>
    <xf numFmtId="0" fontId="1" fillId="8" borderId="0" xfId="12" applyFont="1" applyFill="1"/>
    <xf numFmtId="0" fontId="9" fillId="8" borderId="0" xfId="12" applyFont="1" applyFill="1" applyAlignment="1">
      <alignment horizontal="center" vertical="center" wrapText="1"/>
    </xf>
    <xf numFmtId="0" fontId="44" fillId="0" borderId="0" xfId="0" applyFont="1" applyAlignment="1">
      <alignment horizontal="center" vertical="top"/>
    </xf>
    <xf numFmtId="0" fontId="38" fillId="12" borderId="0" xfId="0" applyFont="1" applyFill="1" applyAlignment="1">
      <alignment horizontal="center" vertical="top"/>
    </xf>
    <xf numFmtId="0" fontId="16" fillId="8" borderId="23" xfId="0" quotePrefix="1" applyFont="1" applyFill="1" applyBorder="1" applyAlignment="1">
      <alignment horizontal="left" vertical="top"/>
    </xf>
    <xf numFmtId="0" fontId="16" fillId="8" borderId="60" xfId="0" quotePrefix="1" applyFont="1" applyFill="1" applyBorder="1" applyAlignment="1">
      <alignment horizontal="left" vertical="top"/>
    </xf>
  </cellXfs>
  <cellStyles count="13">
    <cellStyle name="Heading 1" xfId="8" builtinId="16"/>
    <cellStyle name="Heading 2" xfId="10" builtinId="17"/>
    <cellStyle name="Hyperlink" xfId="9" builtinId="8"/>
    <cellStyle name="Input" xfId="2" builtinId="20"/>
    <cellStyle name="Normal" xfId="0" builtinId="0"/>
    <cellStyle name="Normal 2" xfId="1" xr:uid="{00000000-0005-0000-0000-000002000000}"/>
    <cellStyle name="Normal 3" xfId="4" xr:uid="{00000000-0005-0000-0000-000003000000}"/>
    <cellStyle name="Normal 4" xfId="11" xr:uid="{8B4CD304-B01E-45DE-9A74-B5475FB87D4A}"/>
    <cellStyle name="Normal 5" xfId="12" xr:uid="{FA952325-627D-4C43-BF53-83C1BB401DE2}"/>
    <cellStyle name="Output" xfId="3" builtinId="21"/>
    <cellStyle name="Percent" xfId="7" builtinId="5"/>
    <cellStyle name="Percent 2" xfId="5" xr:uid="{00000000-0005-0000-0000-000005000000}"/>
    <cellStyle name="Total" xfId="6" builtinId="25"/>
  </cellStyles>
  <dxfs count="0"/>
  <tableStyles count="0" defaultTableStyle="TableStyleMedium2" defaultPivotStyle="PivotStyleLight16"/>
  <colors>
    <mruColors>
      <color rgb="FF0099FF"/>
      <color rgb="FF00CCFF"/>
      <color rgb="FFFF7C80"/>
      <color rgb="FF450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Walbaum Display" panose="02070503090703020303" pitchFamily="18" charset="0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Walbaum Display" panose="02070503090703020303" pitchFamily="18" charset="0"/>
              </a:rPr>
              <a:t>Forecasted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Walbaum Display" panose="02070503090703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 w="19050">
              <a:solidFill>
                <a:srgbClr val="0099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Main!$N$34:$R$34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Main!$N$56:$R$56</c:f>
              <c:numCache>
                <c:formatCode>_("$"* #,##0_);_("$"* \(#,##0\);_("$"* "-"_);_(@_)</c:formatCode>
                <c:ptCount val="5"/>
                <c:pt idx="0">
                  <c:v>752.40550672547852</c:v>
                </c:pt>
                <c:pt idx="1">
                  <c:v>1008.8221881134918</c:v>
                </c:pt>
                <c:pt idx="2">
                  <c:v>964.21926495566515</c:v>
                </c:pt>
                <c:pt idx="3">
                  <c:v>947.98948334222837</c:v>
                </c:pt>
                <c:pt idx="4">
                  <c:v>949.84019856817338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0-4A94-BB60-6951684613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137536"/>
        <c:axId val="518128352"/>
      </c:barChart>
      <c:catAx>
        <c:axId val="5181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rgbClr val="0099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28352"/>
        <c:crosses val="autoZero"/>
        <c:auto val="1"/>
        <c:lblAlgn val="ctr"/>
        <c:lblOffset val="100"/>
        <c:noMultiLvlLbl val="0"/>
      </c:catAx>
      <c:valAx>
        <c:axId val="518128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Walbaum Display" panose="02070503090703020303" pitchFamily="18" charset="0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Walbaum Display" panose="02070503090703020303" pitchFamily="18" charset="0"/>
              </a:rPr>
              <a:t>Revenues</a:t>
            </a:r>
            <a:r>
              <a:rPr lang="en-US" sz="1200" baseline="0">
                <a:solidFill>
                  <a:schemeClr val="tx1"/>
                </a:solidFill>
                <a:latin typeface="Walbaum Display" panose="02070503090703020303" pitchFamily="18" charset="0"/>
              </a:rPr>
              <a:t> - Franchises vs Owned/Leased Hotels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Walbaum Display" panose="02070503090703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2292213473316"/>
          <c:y val="0.18181365531354976"/>
          <c:w val="0.84732152230971125"/>
          <c:h val="0.55618397553497934"/>
        </c:manualLayout>
      </c:layout>
      <c:lineChart>
        <c:grouping val="standard"/>
        <c:varyColors val="0"/>
        <c:ser>
          <c:idx val="0"/>
          <c:order val="0"/>
          <c:tx>
            <c:strRef>
              <c:f>Main!$H$35</c:f>
              <c:strCache>
                <c:ptCount val="1"/>
                <c:pt idx="0">
                  <c:v>Revenues - Franchising and Licensing Fees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99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Main!$N$34:$R$34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Main!$N$35:$R$35</c:f>
              <c:numCache>
                <c:formatCode>_("$"* #,##0_);_("$"* \(#,##0\);_("$"* "-"_);_(@_)</c:formatCode>
                <c:ptCount val="5"/>
                <c:pt idx="0">
                  <c:v>1506.1760000000004</c:v>
                </c:pt>
                <c:pt idx="1">
                  <c:v>2097.3500800000002</c:v>
                </c:pt>
                <c:pt idx="2">
                  <c:v>2324.4930936640003</c:v>
                </c:pt>
                <c:pt idx="3">
                  <c:v>2563.6485656056207</c:v>
                </c:pt>
                <c:pt idx="4">
                  <c:v>2814.2214991443384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DBE-8329-84A5A55CB800}"/>
            </c:ext>
          </c:extLst>
        </c:ser>
        <c:ser>
          <c:idx val="1"/>
          <c:order val="1"/>
          <c:tx>
            <c:strRef>
              <c:f>Main!$H$36</c:f>
              <c:strCache>
                <c:ptCount val="1"/>
                <c:pt idx="0">
                  <c:v>Revenues - Owned And Leased Hotels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Main!$N$34:$R$34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Main!$N$36:$R$36</c:f>
              <c:numCache>
                <c:formatCode>#,##0_);\(#,##0\)</c:formatCode>
                <c:ptCount val="5"/>
                <c:pt idx="0">
                  <c:v>1171.7280000000001</c:v>
                </c:pt>
                <c:pt idx="1">
                  <c:v>1508.5998000000002</c:v>
                </c:pt>
                <c:pt idx="2">
                  <c:v>1553.8577940000002</c:v>
                </c:pt>
                <c:pt idx="3">
                  <c:v>1600.4735278200003</c:v>
                </c:pt>
                <c:pt idx="4">
                  <c:v>1648.4877336546003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E-4DBE-8329-84A5A55CB8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8148688"/>
        <c:axId val="518156232"/>
      </c:lineChart>
      <c:catAx>
        <c:axId val="5181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99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232"/>
        <c:crosses val="autoZero"/>
        <c:auto val="1"/>
        <c:lblAlgn val="ctr"/>
        <c:lblOffset val="100"/>
        <c:noMultiLvlLbl val="0"/>
      </c:catAx>
      <c:valAx>
        <c:axId val="518156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Walbaum Display" panose="02070503090703020303" pitchFamily="18" charset="0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Walbaum Display" panose="02070503090703020303" pitchFamily="18" charset="0"/>
              </a:rPr>
              <a:t>Quick Ratio</a:t>
            </a:r>
            <a:r>
              <a:rPr lang="en-US" sz="1200" baseline="0">
                <a:solidFill>
                  <a:sysClr val="windowText" lastClr="000000"/>
                </a:solidFill>
                <a:latin typeface="Walbaum Display" panose="02070503090703020303" pitchFamily="18" charset="0"/>
              </a:rPr>
              <a:t> (Current Assets/Current Liabilities)</a:t>
            </a:r>
            <a:endParaRPr lang="en-US" sz="1200">
              <a:solidFill>
                <a:sysClr val="windowText" lastClr="000000"/>
              </a:solidFill>
              <a:latin typeface="Walbaum Display" panose="02070503090703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Walbaum Display" panose="02070503090703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Main!$H$167</c:f>
              <c:strCache>
                <c:ptCount val="1"/>
                <c:pt idx="0">
                  <c:v>Quick Ratio:</c:v>
                </c:pt>
              </c:strCache>
            </c:strRef>
          </c:tx>
          <c:spPr>
            <a:solidFill>
              <a:srgbClr val="0099FF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Main!$N$34:$R$34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Main!$I$167:$M$167</c:f>
              <c:numCache>
                <c:formatCode>0.0</c:formatCode>
                <c:ptCount val="5"/>
                <c:pt idx="0">
                  <c:v>1.9568928346195933</c:v>
                </c:pt>
                <c:pt idx="1">
                  <c:v>1.1971209873400284</c:v>
                </c:pt>
                <c:pt idx="2">
                  <c:v>1.4352192642318367</c:v>
                </c:pt>
                <c:pt idx="3">
                  <c:v>1.6405209637534575</c:v>
                </c:pt>
                <c:pt idx="4">
                  <c:v>1.8329577482896899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E-4372-8D85-6A49A980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05968"/>
        <c:axId val="569110232"/>
      </c:barChart>
      <c:catAx>
        <c:axId val="5691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99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10232"/>
        <c:crosses val="autoZero"/>
        <c:auto val="1"/>
        <c:lblAlgn val="ctr"/>
        <c:lblOffset val="100"/>
        <c:noMultiLvlLbl val="0"/>
      </c:catAx>
      <c:valAx>
        <c:axId val="569110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List" dx="26" fmlaLink="'Dashboard Calculations'!$I$46" fmlaRange="'Dashboard Calculations'!$D$48:$D$50" sel="1" val="0"/>
</file>

<file path=xl/ctrlProps/ctrlProp11.xml><?xml version="1.0" encoding="utf-8"?>
<formControlPr xmlns="http://schemas.microsoft.com/office/spreadsheetml/2009/9/main" objectType="Spin" dx="26" fmlaLink="'Dashboard Calculations'!$I$25" inc="10" max="80" page="10" val="20"/>
</file>

<file path=xl/ctrlProps/ctrlProp12.xml><?xml version="1.0" encoding="utf-8"?>
<formControlPr xmlns="http://schemas.microsoft.com/office/spreadsheetml/2009/9/main" objectType="List" dx="26" fmlaLink="'Dashboard Calculations'!$I$34" fmlaRange="'Dashboard Calculations'!$O$36:$O$39" noThreeD="1" sel="1" val="0"/>
</file>

<file path=xl/ctrlProps/ctrlProp2.xml><?xml version="1.0" encoding="utf-8"?>
<formControlPr xmlns="http://schemas.microsoft.com/office/spreadsheetml/2009/9/main" objectType="Radio" firstButton="1" fmlaLink="'Dashboard Calculations'!$I$3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CheckBox" fmlaLink="'Dashboard Calculations'!$C$57" lockText="1"/>
</file>

<file path=xl/ctrlProps/ctrlProp5.xml><?xml version="1.0" encoding="utf-8"?>
<formControlPr xmlns="http://schemas.microsoft.com/office/spreadsheetml/2009/9/main" objectType="CheckBox" fmlaLink="'Dashboard Calculations'!$C$58" lockText="1"/>
</file>

<file path=xl/ctrlProps/ctrlProp6.xml><?xml version="1.0" encoding="utf-8"?>
<formControlPr xmlns="http://schemas.microsoft.com/office/spreadsheetml/2009/9/main" objectType="CheckBox" fmlaLink="'Dashboard Calculations'!$C$59" lockText="1"/>
</file>

<file path=xl/ctrlProps/ctrlProp7.xml><?xml version="1.0" encoding="utf-8"?>
<formControlPr xmlns="http://schemas.microsoft.com/office/spreadsheetml/2009/9/main" objectType="CheckBox" fmlaLink="'Dashboard Calculations'!$C$60" lockText="1"/>
</file>

<file path=xl/ctrlProps/ctrlProp8.xml><?xml version="1.0" encoding="utf-8"?>
<formControlPr xmlns="http://schemas.microsoft.com/office/spreadsheetml/2009/9/main" objectType="Scroll" dx="26" fmlaLink="'Dashboard Calculations'!$I$13" horiz="1" inc="25" max="1200" min="725" page="50" val="725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110672</xdr:colOff>
      <xdr:row>0</xdr:row>
      <xdr:rowOff>48224</xdr:rowOff>
    </xdr:from>
    <xdr:to>
      <xdr:col>7</xdr:col>
      <xdr:colOff>1657350</xdr:colOff>
      <xdr:row>0</xdr:row>
      <xdr:rowOff>662325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2847" y="48224"/>
          <a:ext cx="1546678" cy="614101"/>
        </a:xfrm>
        <a:prstGeom prst="rect">
          <a:avLst/>
        </a:prstGeom>
      </xdr:spPr>
    </xdr:pic>
    <xdr:clientData/>
  </xdr:twoCellAnchor>
  <xdr:twoCellAnchor>
    <xdr:from>
      <xdr:col>13</xdr:col>
      <xdr:colOff>20411</xdr:colOff>
      <xdr:row>33</xdr:row>
      <xdr:rowOff>1814</xdr:rowOff>
    </xdr:from>
    <xdr:to>
      <xdr:col>13</xdr:col>
      <xdr:colOff>20411</xdr:colOff>
      <xdr:row>140</xdr:row>
      <xdr:rowOff>197412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1345636" y="7069364"/>
          <a:ext cx="0" cy="21836398"/>
        </a:xfrm>
        <a:prstGeom prst="line">
          <a:avLst/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891540</xdr:colOff>
          <xdr:row>10</xdr:row>
          <xdr:rowOff>83820</xdr:rowOff>
        </xdr:from>
        <xdr:to>
          <xdr:col>10</xdr:col>
          <xdr:colOff>792480</xdr:colOff>
          <xdr:row>14</xdr:row>
          <xdr:rowOff>7620</xdr:rowOff>
        </xdr:to>
        <xdr:sp macro="" textlink="">
          <xdr:nvSpPr>
            <xdr:cNvPr id="4102" name="Group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2020 Election Results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579120</xdr:colOff>
          <xdr:row>10</xdr:row>
          <xdr:rowOff>182880</xdr:rowOff>
        </xdr:from>
        <xdr:to>
          <xdr:col>10</xdr:col>
          <xdr:colOff>876300</xdr:colOff>
          <xdr:row>12</xdr:row>
          <xdr:rowOff>22860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579120</xdr:colOff>
          <xdr:row>11</xdr:row>
          <xdr:rowOff>182880</xdr:rowOff>
        </xdr:from>
        <xdr:to>
          <xdr:col>10</xdr:col>
          <xdr:colOff>876300</xdr:colOff>
          <xdr:row>13</xdr:row>
          <xdr:rowOff>30480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3657600</xdr:colOff>
          <xdr:row>9</xdr:row>
          <xdr:rowOff>213360</xdr:rowOff>
        </xdr:from>
        <xdr:to>
          <xdr:col>7</xdr:col>
          <xdr:colOff>3954780</xdr:colOff>
          <xdr:row>11</xdr:row>
          <xdr:rowOff>22860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3657600</xdr:colOff>
          <xdr:row>10</xdr:row>
          <xdr:rowOff>175260</xdr:rowOff>
        </xdr:from>
        <xdr:to>
          <xdr:col>7</xdr:col>
          <xdr:colOff>3947160</xdr:colOff>
          <xdr:row>12</xdr:row>
          <xdr:rowOff>22860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3657600</xdr:colOff>
          <xdr:row>11</xdr:row>
          <xdr:rowOff>182880</xdr:rowOff>
        </xdr:from>
        <xdr:to>
          <xdr:col>7</xdr:col>
          <xdr:colOff>3947160</xdr:colOff>
          <xdr:row>13</xdr:row>
          <xdr:rowOff>30480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3657600</xdr:colOff>
          <xdr:row>12</xdr:row>
          <xdr:rowOff>190500</xdr:rowOff>
        </xdr:from>
        <xdr:to>
          <xdr:col>7</xdr:col>
          <xdr:colOff>3947160</xdr:colOff>
          <xdr:row>14</xdr:row>
          <xdr:rowOff>30480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28575</xdr:colOff>
      <xdr:row>15</xdr:row>
      <xdr:rowOff>295275</xdr:rowOff>
    </xdr:from>
    <xdr:to>
      <xdr:col>8</xdr:col>
      <xdr:colOff>9525</xdr:colOff>
      <xdr:row>30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295274</xdr:rowOff>
    </xdr:from>
    <xdr:to>
      <xdr:col>13</xdr:col>
      <xdr:colOff>9524</xdr:colOff>
      <xdr:row>30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251460</xdr:colOff>
          <xdr:row>5</xdr:row>
          <xdr:rowOff>83820</xdr:rowOff>
        </xdr:from>
        <xdr:to>
          <xdr:col>17</xdr:col>
          <xdr:colOff>807720</xdr:colOff>
          <xdr:row>6</xdr:row>
          <xdr:rowOff>76200</xdr:rowOff>
        </xdr:to>
        <xdr:sp macro="" textlink="">
          <xdr:nvSpPr>
            <xdr:cNvPr id="4118" name="Scroll Bar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579120</xdr:colOff>
          <xdr:row>12</xdr:row>
          <xdr:rowOff>167640</xdr:rowOff>
        </xdr:from>
        <xdr:to>
          <xdr:col>10</xdr:col>
          <xdr:colOff>876300</xdr:colOff>
          <xdr:row>14</xdr:row>
          <xdr:rowOff>22860</xdr:rowOff>
        </xdr:to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320040</xdr:colOff>
          <xdr:row>4</xdr:row>
          <xdr:rowOff>22860</xdr:rowOff>
        </xdr:from>
        <xdr:to>
          <xdr:col>11</xdr:col>
          <xdr:colOff>594360</xdr:colOff>
          <xdr:row>6</xdr:row>
          <xdr:rowOff>38100</xdr:rowOff>
        </xdr:to>
        <xdr:sp macro="" textlink="">
          <xdr:nvSpPr>
            <xdr:cNvPr id="4129" name="List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2659380</xdr:colOff>
          <xdr:row>3</xdr:row>
          <xdr:rowOff>0</xdr:rowOff>
        </xdr:from>
        <xdr:to>
          <xdr:col>7</xdr:col>
          <xdr:colOff>3009900</xdr:colOff>
          <xdr:row>5</xdr:row>
          <xdr:rowOff>22860</xdr:rowOff>
        </xdr:to>
        <xdr:sp macro="" textlink="">
          <xdr:nvSpPr>
            <xdr:cNvPr id="4130" name="Spinner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9525</xdr:colOff>
      <xdr:row>15</xdr:row>
      <xdr:rowOff>295276</xdr:rowOff>
    </xdr:from>
    <xdr:to>
      <xdr:col>17</xdr:col>
      <xdr:colOff>962025</xdr:colOff>
      <xdr:row>23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693420</xdr:colOff>
          <xdr:row>10</xdr:row>
          <xdr:rowOff>144780</xdr:rowOff>
        </xdr:from>
        <xdr:to>
          <xdr:col>17</xdr:col>
          <xdr:colOff>327660</xdr:colOff>
          <xdr:row>13</xdr:row>
          <xdr:rowOff>144780</xdr:rowOff>
        </xdr:to>
        <xdr:sp macro="" textlink="">
          <xdr:nvSpPr>
            <xdr:cNvPr id="4131" name="List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uters.com/article/us-airbnb-results/airbnb-says-second-quarter-revenue-topped-1-billion-idUSKBN1W4001" TargetMode="External"/><Relationship Id="rId2" Type="http://schemas.openxmlformats.org/officeDocument/2006/relationships/hyperlink" Target="https://www.forbes.com/sites/anthonynitti/2020/03/06/tale-of-the-tape-comparing-the-tax-plans-of-joe-biden-and-bernie-sanders/" TargetMode="External"/><Relationship Id="rId1" Type="http://schemas.openxmlformats.org/officeDocument/2006/relationships/hyperlink" Target="https://www.hotelmanagement.net/operate/how-increases-compensation-labor-costs-are-leading-to-cost-sav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86D4-B760-4677-97AB-4C0DE5EAAB35}">
  <dimension ref="B2:I61"/>
  <sheetViews>
    <sheetView showGridLines="0" workbookViewId="0">
      <selection activeCell="F22" sqref="F22"/>
    </sheetView>
  </sheetViews>
  <sheetFormatPr defaultRowHeight="13.2" x14ac:dyDescent="0.25"/>
  <cols>
    <col min="2" max="2" width="45.33203125" bestFit="1" customWidth="1"/>
    <col min="3" max="3" width="28" bestFit="1" customWidth="1"/>
    <col min="8" max="8" width="3.33203125" customWidth="1"/>
  </cols>
  <sheetData>
    <row r="2" spans="2:8" ht="20.399999999999999" thickBot="1" x14ac:dyDescent="0.3">
      <c r="B2" s="44" t="s">
        <v>199</v>
      </c>
      <c r="C2" s="59">
        <v>2015</v>
      </c>
      <c r="D2" s="44">
        <v>2016</v>
      </c>
      <c r="E2" s="44">
        <v>2017</v>
      </c>
      <c r="F2" s="44">
        <v>2018</v>
      </c>
      <c r="G2" s="44">
        <v>2019</v>
      </c>
      <c r="H2" s="71"/>
    </row>
    <row r="3" spans="2:8" ht="13.8" thickTop="1" x14ac:dyDescent="0.25">
      <c r="B3" s="1" t="s">
        <v>121</v>
      </c>
      <c r="C3" s="60">
        <v>11272</v>
      </c>
      <c r="D3" s="54">
        <v>11663</v>
      </c>
      <c r="E3" s="54">
        <v>8131</v>
      </c>
      <c r="F3" s="54">
        <v>8906</v>
      </c>
      <c r="G3" s="54">
        <v>9452</v>
      </c>
      <c r="H3" s="71"/>
    </row>
    <row r="4" spans="2:8" x14ac:dyDescent="0.25">
      <c r="B4" s="1" t="s">
        <v>114</v>
      </c>
      <c r="C4" s="60">
        <v>-4074</v>
      </c>
      <c r="D4" s="54">
        <v>-4063</v>
      </c>
      <c r="E4" s="54">
        <v>-1269</v>
      </c>
      <c r="F4" s="54">
        <v>-1332</v>
      </c>
      <c r="G4" s="54">
        <v>-1254</v>
      </c>
      <c r="H4" s="71"/>
    </row>
    <row r="5" spans="2:8" x14ac:dyDescent="0.25">
      <c r="B5" s="5" t="s">
        <v>131</v>
      </c>
      <c r="C5" s="60">
        <v>7198</v>
      </c>
      <c r="D5" s="54">
        <v>7600</v>
      </c>
      <c r="E5" s="54">
        <v>6862</v>
      </c>
      <c r="F5" s="54">
        <v>7574</v>
      </c>
      <c r="G5" s="54">
        <v>8198</v>
      </c>
      <c r="H5" s="71"/>
    </row>
    <row r="6" spans="2:8" x14ac:dyDescent="0.25">
      <c r="B6" s="5"/>
      <c r="C6" s="61"/>
      <c r="D6" s="55"/>
      <c r="E6" s="55"/>
      <c r="F6" s="55"/>
      <c r="G6" s="55"/>
      <c r="H6" s="71"/>
    </row>
    <row r="7" spans="2:8" x14ac:dyDescent="0.25">
      <c r="B7" s="5" t="s">
        <v>193</v>
      </c>
      <c r="C7" s="60">
        <v>-611</v>
      </c>
      <c r="D7" s="54">
        <v>-616</v>
      </c>
      <c r="E7" s="54">
        <v>-439</v>
      </c>
      <c r="F7" s="54">
        <v>-443</v>
      </c>
      <c r="G7" s="54">
        <v>-441</v>
      </c>
      <c r="H7" s="71"/>
    </row>
    <row r="8" spans="2:8" x14ac:dyDescent="0.25">
      <c r="B8" s="5" t="s">
        <v>194</v>
      </c>
      <c r="C8" s="60">
        <v>6587</v>
      </c>
      <c r="D8" s="54">
        <v>6984</v>
      </c>
      <c r="E8" s="54">
        <v>6423</v>
      </c>
      <c r="F8" s="54">
        <v>7131</v>
      </c>
      <c r="G8" s="54">
        <v>7757</v>
      </c>
      <c r="H8" s="71"/>
    </row>
    <row r="9" spans="2:8" x14ac:dyDescent="0.25">
      <c r="B9" s="5" t="s">
        <v>195</v>
      </c>
      <c r="C9" s="60">
        <v>-575</v>
      </c>
      <c r="D9" s="54">
        <v>-587</v>
      </c>
      <c r="E9" s="54">
        <v>-351</v>
      </c>
      <c r="F9" s="54">
        <v>-371</v>
      </c>
      <c r="G9" s="54">
        <v>-414</v>
      </c>
      <c r="H9" s="71"/>
    </row>
    <row r="10" spans="2:8" x14ac:dyDescent="0.25">
      <c r="B10" s="5" t="s">
        <v>196</v>
      </c>
      <c r="C10" s="60">
        <v>19</v>
      </c>
      <c r="D10" s="54">
        <v>12</v>
      </c>
      <c r="E10" s="54">
        <v>0</v>
      </c>
      <c r="F10" s="54">
        <v>0</v>
      </c>
      <c r="G10" s="54">
        <v>0</v>
      </c>
      <c r="H10" s="71"/>
    </row>
    <row r="11" spans="2:8" x14ac:dyDescent="0.25">
      <c r="B11" s="45" t="s">
        <v>198</v>
      </c>
      <c r="C11" s="62">
        <v>-42</v>
      </c>
      <c r="D11" s="56">
        <v>-39</v>
      </c>
      <c r="E11" s="56">
        <v>-28</v>
      </c>
      <c r="F11" s="56">
        <v>17</v>
      </c>
      <c r="G11" s="56">
        <v>1</v>
      </c>
      <c r="H11" s="71"/>
    </row>
    <row r="12" spans="2:8" x14ac:dyDescent="0.25">
      <c r="B12" s="45" t="s">
        <v>132</v>
      </c>
      <c r="C12" s="60">
        <v>-692</v>
      </c>
      <c r="D12" s="54">
        <v>-686</v>
      </c>
      <c r="E12" s="54">
        <v>-336</v>
      </c>
      <c r="F12" s="54">
        <v>-325</v>
      </c>
      <c r="G12" s="54">
        <v>-346</v>
      </c>
      <c r="H12" s="71"/>
    </row>
    <row r="13" spans="2:8" x14ac:dyDescent="0.25">
      <c r="B13" s="46" t="s">
        <v>197</v>
      </c>
      <c r="C13" s="60">
        <v>5297</v>
      </c>
      <c r="D13" s="54">
        <v>5684</v>
      </c>
      <c r="E13" s="54">
        <v>5708</v>
      </c>
      <c r="F13" s="54">
        <v>6452</v>
      </c>
      <c r="G13" s="54">
        <v>6998</v>
      </c>
      <c r="H13" s="71"/>
    </row>
    <row r="14" spans="2:8" x14ac:dyDescent="0.25">
      <c r="B14" s="47" t="s">
        <v>100</v>
      </c>
      <c r="C14" s="60">
        <v>-80</v>
      </c>
      <c r="D14" s="54">
        <v>-891</v>
      </c>
      <c r="E14" s="54">
        <v>336</v>
      </c>
      <c r="F14" s="54">
        <v>-309</v>
      </c>
      <c r="G14" s="54">
        <v>-358</v>
      </c>
      <c r="H14" s="71"/>
    </row>
    <row r="15" spans="2:8" x14ac:dyDescent="0.25">
      <c r="B15" s="47" t="s">
        <v>208</v>
      </c>
      <c r="C15" s="60">
        <v>5217</v>
      </c>
      <c r="D15" s="54">
        <v>4793</v>
      </c>
      <c r="E15" s="54">
        <v>6044</v>
      </c>
      <c r="F15" s="54">
        <v>6143</v>
      </c>
      <c r="G15" s="54">
        <v>6640</v>
      </c>
      <c r="H15" s="71"/>
    </row>
    <row r="16" spans="2:8" x14ac:dyDescent="0.25">
      <c r="B16" s="47" t="s">
        <v>134</v>
      </c>
      <c r="C16" s="60">
        <v>-138.09836065573771</v>
      </c>
      <c r="D16" s="54">
        <v>-275.77358490566036</v>
      </c>
      <c r="E16" s="54">
        <v>-194.73053892215572</v>
      </c>
      <c r="F16" s="54">
        <v>-181.18577075098815</v>
      </c>
      <c r="G16" s="54">
        <v>-172.18241042345278</v>
      </c>
      <c r="H16" s="71"/>
    </row>
    <row r="17" spans="2:9" ht="15" thickBot="1" x14ac:dyDescent="0.3">
      <c r="B17" s="48" t="s">
        <v>135</v>
      </c>
      <c r="C17" s="63">
        <v>5078.9016393442625</v>
      </c>
      <c r="D17" s="57">
        <v>4517.2264150943392</v>
      </c>
      <c r="E17" s="57">
        <v>5849.2694610778444</v>
      </c>
      <c r="F17" s="57">
        <v>5961.814229249012</v>
      </c>
      <c r="G17" s="57">
        <v>6467.8175895765471</v>
      </c>
      <c r="H17" s="71"/>
    </row>
    <row r="18" spans="2:9" ht="13.8" thickTop="1" x14ac:dyDescent="0.25">
      <c r="B18" s="49" t="s">
        <v>136</v>
      </c>
      <c r="C18" s="64">
        <v>328.80562060889935</v>
      </c>
      <c r="D18" s="58">
        <v>328.30188679245282</v>
      </c>
      <c r="E18" s="58">
        <v>324.55089820359285</v>
      </c>
      <c r="F18" s="58">
        <v>301.97628458498025</v>
      </c>
      <c r="G18" s="58">
        <v>286.97068403908798</v>
      </c>
      <c r="H18" s="71"/>
    </row>
    <row r="19" spans="2:9" x14ac:dyDescent="0.25">
      <c r="B19" s="71"/>
      <c r="C19" s="71"/>
      <c r="D19" s="71"/>
      <c r="E19" s="72"/>
      <c r="F19" s="72"/>
      <c r="G19" s="72"/>
      <c r="H19" s="71"/>
    </row>
    <row r="20" spans="2:9" x14ac:dyDescent="0.25">
      <c r="B20" s="5" t="s">
        <v>207</v>
      </c>
      <c r="C20" s="65"/>
      <c r="D20" s="50">
        <v>3.4687721788502435E-2</v>
      </c>
      <c r="E20" s="50">
        <v>-0.30283803481094063</v>
      </c>
      <c r="F20" s="50">
        <v>9.531422949206747E-2</v>
      </c>
      <c r="G20" s="50">
        <v>6.1306984055692793E-2</v>
      </c>
      <c r="H20" s="71"/>
      <c r="I20" s="73">
        <f>AVERAGE(D20:G20)</f>
        <v>-2.7882274868669482E-2</v>
      </c>
    </row>
    <row r="21" spans="2:9" x14ac:dyDescent="0.25">
      <c r="B21" s="5" t="s">
        <v>137</v>
      </c>
      <c r="C21" s="65"/>
      <c r="D21" s="50">
        <v>-0.34836662951213238</v>
      </c>
      <c r="E21" s="50">
        <v>-0.15606936416184972</v>
      </c>
      <c r="F21" s="50">
        <v>-0.14956209297103076</v>
      </c>
      <c r="G21" s="50">
        <v>-0.13267033432077868</v>
      </c>
      <c r="H21" s="71"/>
    </row>
    <row r="22" spans="2:9" x14ac:dyDescent="0.25">
      <c r="B22" s="5" t="s">
        <v>138</v>
      </c>
      <c r="C22" s="65"/>
      <c r="D22" s="50">
        <v>-5.2816599502700852E-2</v>
      </c>
      <c r="E22" s="50">
        <v>-5.399089902840979E-2</v>
      </c>
      <c r="F22" s="50">
        <v>-4.9741747136761737E-2</v>
      </c>
      <c r="G22" s="50">
        <v>-4.6656792213288195E-2</v>
      </c>
      <c r="H22" s="71"/>
    </row>
    <row r="23" spans="2:9" x14ac:dyDescent="0.25">
      <c r="B23" s="5" t="s">
        <v>139</v>
      </c>
      <c r="C23" s="65"/>
      <c r="D23" s="50">
        <v>-3.3633186271701143E-2</v>
      </c>
      <c r="E23" s="50">
        <v>-2.5340215861098078E-2</v>
      </c>
      <c r="F23" s="50">
        <v>-3.5592651220799153E-2</v>
      </c>
      <c r="G23" s="50">
        <v>-3.5414884516680921E-2</v>
      </c>
      <c r="H23" s="71"/>
    </row>
    <row r="24" spans="2:9" x14ac:dyDescent="0.25">
      <c r="B24" s="45" t="s">
        <v>140</v>
      </c>
      <c r="C24" s="65"/>
      <c r="D24" s="50">
        <v>1.4362657091561939E-2</v>
      </c>
      <c r="E24" s="52">
        <v>0</v>
      </c>
      <c r="F24" s="52">
        <v>0</v>
      </c>
      <c r="G24" s="52">
        <v>0</v>
      </c>
      <c r="H24" s="71"/>
    </row>
    <row r="25" spans="2:9" x14ac:dyDescent="0.25">
      <c r="B25" s="45" t="s">
        <v>141</v>
      </c>
      <c r="C25" s="65"/>
      <c r="D25" s="50">
        <v>-3.0861975886269571E-2</v>
      </c>
      <c r="E25" s="50">
        <v>-2.8301886792452831E-2</v>
      </c>
      <c r="F25" s="50">
        <v>-2.8184892897406989E-2</v>
      </c>
      <c r="G25" s="50">
        <v>-2.800485633346823E-2</v>
      </c>
      <c r="H25" s="71"/>
    </row>
    <row r="26" spans="2:9" x14ac:dyDescent="0.25">
      <c r="B26" s="46" t="s">
        <v>209</v>
      </c>
      <c r="C26" s="65"/>
      <c r="D26" s="51">
        <v>-0.15675580577058409</v>
      </c>
      <c r="E26" s="51">
        <v>-5.8864751226348981E-2</v>
      </c>
      <c r="F26" s="51">
        <v>-4.7892126472411659E-2</v>
      </c>
      <c r="G26" s="51">
        <v>-5.1157473563875393E-2</v>
      </c>
      <c r="H26" s="71"/>
    </row>
    <row r="27" spans="2:9" x14ac:dyDescent="0.25">
      <c r="B27" s="47" t="s">
        <v>142</v>
      </c>
      <c r="C27" s="65"/>
      <c r="D27" s="50">
        <v>-5.7536737931496003E-2</v>
      </c>
      <c r="E27" s="50">
        <v>-3.2218818484804054E-2</v>
      </c>
      <c r="F27" s="50">
        <v>-2.9494672106623498E-2</v>
      </c>
      <c r="G27" s="50">
        <v>-2.5931085907146503E-2</v>
      </c>
      <c r="H27" s="71"/>
    </row>
    <row r="28" spans="2:9" x14ac:dyDescent="0.25">
      <c r="B28" s="47" t="s">
        <v>143</v>
      </c>
      <c r="C28" s="65"/>
      <c r="D28" s="51">
        <v>-1.5320109659734404E-3</v>
      </c>
      <c r="E28" s="51">
        <v>-1.1425425012044688E-2</v>
      </c>
      <c r="F28" s="51">
        <v>-6.9556466315651377E-2</v>
      </c>
      <c r="G28" s="51">
        <v>-4.9691321179459957E-2</v>
      </c>
      <c r="H28" s="71"/>
    </row>
    <row r="29" spans="2:9" x14ac:dyDescent="0.25">
      <c r="B29" s="38"/>
      <c r="C29" s="66"/>
      <c r="D29" s="38"/>
      <c r="E29" s="38"/>
      <c r="F29" s="38"/>
      <c r="G29" s="38"/>
    </row>
    <row r="30" spans="2:9" x14ac:dyDescent="0.25">
      <c r="B30" s="38"/>
      <c r="C30" s="66"/>
      <c r="D30" s="38"/>
      <c r="E30" s="38"/>
      <c r="F30" s="38"/>
      <c r="G30" s="38"/>
    </row>
    <row r="31" spans="2:9" ht="20.399999999999999" thickBot="1" x14ac:dyDescent="0.3">
      <c r="B31" s="44" t="s">
        <v>206</v>
      </c>
      <c r="C31" s="59">
        <v>2015</v>
      </c>
      <c r="D31" s="44">
        <v>2016</v>
      </c>
      <c r="E31" s="44">
        <v>2017</v>
      </c>
      <c r="F31" s="44">
        <v>2018</v>
      </c>
      <c r="G31" s="44">
        <v>2019</v>
      </c>
    </row>
    <row r="32" spans="2:9" ht="13.8" thickTop="1" x14ac:dyDescent="0.25">
      <c r="B32" s="38" t="s">
        <v>48</v>
      </c>
      <c r="C32" s="66"/>
      <c r="D32" s="38"/>
      <c r="E32" s="38"/>
      <c r="F32" s="38"/>
      <c r="G32" s="38"/>
    </row>
    <row r="33" spans="2:7" x14ac:dyDescent="0.25">
      <c r="B33" s="38"/>
      <c r="C33" s="66"/>
      <c r="D33" s="38"/>
      <c r="E33" s="38"/>
      <c r="F33" s="38"/>
      <c r="G33" s="38"/>
    </row>
    <row r="34" spans="2:7" x14ac:dyDescent="0.25">
      <c r="B34" s="38" t="s">
        <v>124</v>
      </c>
      <c r="C34" s="67">
        <v>609</v>
      </c>
      <c r="D34" s="6">
        <v>1062</v>
      </c>
      <c r="E34" s="6">
        <v>570</v>
      </c>
      <c r="F34" s="6">
        <v>403</v>
      </c>
      <c r="G34" s="6">
        <v>538</v>
      </c>
    </row>
    <row r="35" spans="2:7" x14ac:dyDescent="0.25">
      <c r="B35" s="38" t="s">
        <v>127</v>
      </c>
      <c r="C35" s="68">
        <v>876</v>
      </c>
      <c r="D35" s="2">
        <v>755</v>
      </c>
      <c r="E35" s="2">
        <v>998</v>
      </c>
      <c r="F35" s="2">
        <v>1150</v>
      </c>
      <c r="G35" s="2">
        <v>1261</v>
      </c>
    </row>
    <row r="36" spans="2:7" x14ac:dyDescent="0.25">
      <c r="B36" s="38" t="s">
        <v>125</v>
      </c>
      <c r="C36" s="69">
        <v>1100</v>
      </c>
      <c r="D36" s="3">
        <v>1740</v>
      </c>
      <c r="E36" s="3">
        <v>418</v>
      </c>
      <c r="F36" s="3">
        <v>430</v>
      </c>
      <c r="G36" s="3">
        <v>294</v>
      </c>
    </row>
    <row r="37" spans="2:7" x14ac:dyDescent="0.25">
      <c r="B37" s="38" t="s">
        <v>126</v>
      </c>
      <c r="C37" s="67">
        <v>2585</v>
      </c>
      <c r="D37" s="40">
        <v>3557</v>
      </c>
      <c r="E37" s="40">
        <v>1986</v>
      </c>
      <c r="F37" s="40">
        <v>1983</v>
      </c>
      <c r="G37" s="40">
        <v>2093</v>
      </c>
    </row>
    <row r="38" spans="2:7" x14ac:dyDescent="0.25">
      <c r="B38" s="38"/>
      <c r="C38" s="66"/>
      <c r="D38" s="38"/>
      <c r="E38" s="38"/>
      <c r="F38" s="38"/>
      <c r="G38" s="38"/>
    </row>
    <row r="39" spans="2:7" x14ac:dyDescent="0.25">
      <c r="B39" s="38"/>
      <c r="C39" s="66"/>
      <c r="D39" s="38"/>
      <c r="E39" s="38"/>
      <c r="F39" s="38"/>
      <c r="G39" s="38"/>
    </row>
    <row r="40" spans="2:7" x14ac:dyDescent="0.25">
      <c r="B40" s="38" t="s">
        <v>128</v>
      </c>
      <c r="C40" s="67">
        <v>23037</v>
      </c>
      <c r="D40" s="6">
        <v>22654</v>
      </c>
      <c r="E40" s="6">
        <v>12322</v>
      </c>
      <c r="F40" s="6">
        <v>12012</v>
      </c>
      <c r="G40" s="6">
        <v>12864</v>
      </c>
    </row>
    <row r="41" spans="2:7" x14ac:dyDescent="0.25">
      <c r="B41" s="38" t="s">
        <v>129</v>
      </c>
      <c r="C41" s="68">
        <v>-2120</v>
      </c>
      <c r="D41" s="2">
        <v>-426</v>
      </c>
      <c r="E41" s="2">
        <v>-450</v>
      </c>
      <c r="F41" s="2">
        <v>-481</v>
      </c>
      <c r="G41" s="2">
        <v>-509</v>
      </c>
    </row>
    <row r="42" spans="2:7" x14ac:dyDescent="0.25">
      <c r="B42" s="38" t="s">
        <v>130</v>
      </c>
      <c r="C42" s="68">
        <v>20917</v>
      </c>
      <c r="D42" s="2">
        <v>22228</v>
      </c>
      <c r="E42" s="2">
        <v>11872</v>
      </c>
      <c r="F42" s="2">
        <v>11531</v>
      </c>
      <c r="G42" s="2">
        <v>12355</v>
      </c>
    </row>
    <row r="43" spans="2:7" x14ac:dyDescent="0.25">
      <c r="B43" s="38" t="s">
        <v>25</v>
      </c>
      <c r="C43" s="67">
        <v>23502</v>
      </c>
      <c r="D43" s="41">
        <v>25785</v>
      </c>
      <c r="E43" s="41">
        <v>13858</v>
      </c>
      <c r="F43" s="41">
        <v>13514</v>
      </c>
      <c r="G43" s="41">
        <v>14448</v>
      </c>
    </row>
    <row r="44" spans="2:7" x14ac:dyDescent="0.25">
      <c r="B44" s="38"/>
      <c r="C44" s="66"/>
      <c r="D44" s="6"/>
      <c r="E44" s="6"/>
      <c r="F44" s="6"/>
      <c r="G44" s="6"/>
    </row>
    <row r="45" spans="2:7" x14ac:dyDescent="0.25">
      <c r="B45" s="38"/>
      <c r="C45" s="66"/>
      <c r="D45" s="38"/>
      <c r="E45" s="38"/>
      <c r="F45" s="38"/>
      <c r="G45" s="38"/>
    </row>
    <row r="46" spans="2:7" x14ac:dyDescent="0.25">
      <c r="B46" s="38" t="s">
        <v>202</v>
      </c>
      <c r="C46" s="67">
        <v>2443</v>
      </c>
      <c r="D46" s="6">
        <v>2684</v>
      </c>
      <c r="E46" s="6">
        <v>2208</v>
      </c>
      <c r="F46" s="6">
        <v>2615</v>
      </c>
      <c r="G46" s="6">
        <v>2871</v>
      </c>
    </row>
    <row r="47" spans="2:7" x14ac:dyDescent="0.25">
      <c r="B47" s="38" t="s">
        <v>191</v>
      </c>
      <c r="C47" s="67">
        <v>17228</v>
      </c>
      <c r="D47" s="40">
        <v>17678</v>
      </c>
      <c r="E47" s="40">
        <v>10025</v>
      </c>
      <c r="F47" s="40">
        <v>10822</v>
      </c>
      <c r="G47" s="40">
        <v>12558</v>
      </c>
    </row>
    <row r="48" spans="2:7" x14ac:dyDescent="0.25">
      <c r="B48" s="38"/>
      <c r="C48" s="66"/>
      <c r="D48" s="38"/>
      <c r="E48" s="38"/>
      <c r="F48" s="38"/>
      <c r="G48" s="38"/>
    </row>
    <row r="49" spans="2:7" x14ac:dyDescent="0.25">
      <c r="B49" s="38" t="s">
        <v>192</v>
      </c>
      <c r="C49" s="67">
        <v>19671</v>
      </c>
      <c r="D49" s="6">
        <v>20362</v>
      </c>
      <c r="E49" s="6">
        <v>12233</v>
      </c>
      <c r="F49" s="6">
        <v>13437</v>
      </c>
      <c r="G49" s="6">
        <v>15429</v>
      </c>
    </row>
    <row r="50" spans="2:7" x14ac:dyDescent="0.25">
      <c r="B50" s="38"/>
      <c r="C50" s="66"/>
      <c r="D50" s="38"/>
      <c r="E50" s="38"/>
      <c r="F50" s="38"/>
      <c r="G50" s="38"/>
    </row>
    <row r="51" spans="2:7" x14ac:dyDescent="0.25">
      <c r="B51" s="38" t="s">
        <v>145</v>
      </c>
      <c r="C51" s="67">
        <v>10151</v>
      </c>
      <c r="D51" s="6">
        <v>10220</v>
      </c>
      <c r="E51" s="6">
        <v>10298</v>
      </c>
      <c r="F51" s="6">
        <v>10372</v>
      </c>
      <c r="G51" s="6">
        <v>10489</v>
      </c>
    </row>
    <row r="52" spans="2:7" x14ac:dyDescent="0.25">
      <c r="B52" s="38" t="s">
        <v>5</v>
      </c>
      <c r="C52" s="67">
        <v>-4176</v>
      </c>
      <c r="D52" s="6">
        <v>-4324</v>
      </c>
      <c r="E52" s="6">
        <v>-7338</v>
      </c>
      <c r="F52" s="6">
        <v>-7199</v>
      </c>
      <c r="G52" s="6">
        <v>-6805</v>
      </c>
    </row>
    <row r="53" spans="2:7" x14ac:dyDescent="0.25">
      <c r="B53" s="38" t="s">
        <v>203</v>
      </c>
      <c r="C53" s="67">
        <v>5951</v>
      </c>
      <c r="D53" s="6">
        <v>5849</v>
      </c>
      <c r="E53" s="6">
        <v>2075</v>
      </c>
      <c r="F53" s="6">
        <v>558</v>
      </c>
      <c r="G53" s="6">
        <v>-472</v>
      </c>
    </row>
    <row r="54" spans="2:7" x14ac:dyDescent="0.25">
      <c r="B54" s="38" t="s">
        <v>204</v>
      </c>
      <c r="C54" s="67">
        <v>25622</v>
      </c>
      <c r="D54" s="41">
        <v>26211</v>
      </c>
      <c r="E54" s="41">
        <v>14308</v>
      </c>
      <c r="F54" s="41">
        <v>13995</v>
      </c>
      <c r="G54" s="41">
        <v>14957</v>
      </c>
    </row>
    <row r="55" spans="2:7" x14ac:dyDescent="0.25">
      <c r="B55" s="38"/>
      <c r="C55" s="66"/>
      <c r="D55" s="38"/>
      <c r="E55" s="38"/>
      <c r="F55" s="38"/>
      <c r="G55" s="38"/>
    </row>
    <row r="56" spans="2:7" x14ac:dyDescent="0.25">
      <c r="B56" s="38" t="s">
        <v>205</v>
      </c>
      <c r="C56" s="67">
        <v>2120</v>
      </c>
      <c r="D56" s="43">
        <v>426</v>
      </c>
      <c r="E56" s="43">
        <v>450</v>
      </c>
      <c r="F56" s="43">
        <v>481</v>
      </c>
      <c r="G56" s="43">
        <v>509</v>
      </c>
    </row>
    <row r="57" spans="2:7" x14ac:dyDescent="0.25">
      <c r="B57" s="38"/>
      <c r="C57" s="66"/>
      <c r="D57" s="38"/>
      <c r="E57" s="38"/>
      <c r="F57" s="38"/>
      <c r="G57" s="38"/>
    </row>
    <row r="58" spans="2:7" x14ac:dyDescent="0.25">
      <c r="B58" s="38"/>
      <c r="C58" s="66"/>
      <c r="D58" s="38"/>
      <c r="E58" s="38"/>
      <c r="F58" s="38"/>
      <c r="G58" s="38"/>
    </row>
    <row r="59" spans="2:7" x14ac:dyDescent="0.25">
      <c r="B59" s="38" t="s">
        <v>210</v>
      </c>
      <c r="C59" s="70">
        <v>0.22932931156848829</v>
      </c>
      <c r="D59" s="53">
        <v>0.30498156563491385</v>
      </c>
      <c r="E59" s="53">
        <v>0.24425039970483337</v>
      </c>
      <c r="F59" s="53">
        <v>0.22265888165281833</v>
      </c>
      <c r="G59" s="53">
        <v>0.22143461701227254</v>
      </c>
    </row>
    <row r="60" spans="2:7" x14ac:dyDescent="0.25">
      <c r="B60" s="38" t="s">
        <v>211</v>
      </c>
      <c r="C60" s="70">
        <v>1.8556600425833925</v>
      </c>
      <c r="D60" s="53">
        <v>1.9058561262110949</v>
      </c>
      <c r="E60" s="53">
        <v>1.4600910097159021</v>
      </c>
      <c r="F60" s="53">
        <v>1.2947451156523693</v>
      </c>
      <c r="G60" s="53">
        <v>1.307130765975455</v>
      </c>
    </row>
    <row r="61" spans="2:7" x14ac:dyDescent="0.25">
      <c r="B61" s="38" t="s">
        <v>212</v>
      </c>
      <c r="C61" s="70">
        <v>0.21673172462739532</v>
      </c>
      <c r="D61" s="53">
        <v>0.23012946926176797</v>
      </c>
      <c r="E61" s="53">
        <v>0.27155331447546427</v>
      </c>
      <c r="F61" s="53">
        <v>0.29362227711655065</v>
      </c>
      <c r="G61" s="53">
        <v>0.30374523910283535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2944-5AC7-430C-8F05-BEFF797011EB}">
  <sheetPr codeName="Sheet1">
    <pageSetUpPr autoPageBreaks="0"/>
  </sheetPr>
  <dimension ref="A1:AH180"/>
  <sheetViews>
    <sheetView showGridLines="0" tabSelected="1" topLeftCell="G1" zoomScale="80" zoomScaleNormal="80" workbookViewId="0">
      <pane ySplit="1" topLeftCell="A2" activePane="bottomLeft" state="frozen"/>
      <selection activeCell="G1" sqref="G1"/>
      <selection pane="bottomLeft" activeCell="N31" sqref="N31"/>
    </sheetView>
  </sheetViews>
  <sheetFormatPr defaultRowHeight="13.2" x14ac:dyDescent="0.25"/>
  <cols>
    <col min="1" max="1" width="71.33203125" hidden="1" customWidth="1"/>
    <col min="2" max="2" width="8.88671875" hidden="1" customWidth="1"/>
    <col min="3" max="3" width="23.109375" hidden="1" customWidth="1"/>
    <col min="4" max="4" width="12" hidden="1" customWidth="1"/>
    <col min="5" max="5" width="12.6640625" hidden="1" customWidth="1"/>
    <col min="6" max="6" width="11.6640625" hidden="1" customWidth="1"/>
    <col min="7" max="7" width="31.5546875" style="173" customWidth="1"/>
    <col min="8" max="8" width="67.6640625" style="173" customWidth="1"/>
    <col min="9" max="9" width="13.21875" style="173" customWidth="1"/>
    <col min="10" max="10" width="14.109375" style="173" customWidth="1"/>
    <col min="11" max="12" width="13.21875" style="173" customWidth="1"/>
    <col min="13" max="13" width="12.21875" style="173" customWidth="1"/>
    <col min="14" max="16" width="13.21875" style="173" customWidth="1"/>
    <col min="17" max="17" width="13" style="173" bestFit="1" customWidth="1"/>
    <col min="18" max="18" width="14.33203125" style="173" customWidth="1"/>
    <col min="19" max="19" width="85.88671875" style="173" bestFit="1" customWidth="1"/>
    <col min="20" max="20" width="14.33203125" bestFit="1" customWidth="1"/>
    <col min="21" max="21" width="12.5546875" bestFit="1" customWidth="1"/>
    <col min="22" max="22" width="14" bestFit="1" customWidth="1"/>
    <col min="23" max="23" width="13.44140625" bestFit="1" customWidth="1"/>
    <col min="24" max="24" width="14" bestFit="1" customWidth="1"/>
    <col min="25" max="25" width="13.44140625" bestFit="1" customWidth="1"/>
    <col min="26" max="26" width="12.5546875" bestFit="1" customWidth="1"/>
    <col min="27" max="27" width="13.44140625" bestFit="1" customWidth="1"/>
    <col min="28" max="28" width="14" bestFit="1" customWidth="1"/>
    <col min="29" max="29" width="13.44140625" bestFit="1" customWidth="1"/>
    <col min="30" max="30" width="8.88671875" style="45"/>
  </cols>
  <sheetData>
    <row r="1" spans="1:34" ht="57" customHeight="1" thickBot="1" x14ac:dyDescent="0.3">
      <c r="A1" s="7" t="s">
        <v>50</v>
      </c>
      <c r="B1" s="8"/>
      <c r="C1" s="8"/>
      <c r="D1" s="8"/>
      <c r="E1" s="8"/>
      <c r="F1" s="8"/>
      <c r="G1" s="260"/>
      <c r="H1" s="300" t="s">
        <v>270</v>
      </c>
      <c r="I1" s="301"/>
      <c r="J1" s="301"/>
      <c r="K1" s="301"/>
      <c r="L1" s="301"/>
      <c r="M1" s="301"/>
      <c r="N1" s="301"/>
      <c r="O1" s="301"/>
      <c r="P1" s="301"/>
      <c r="Q1" s="301"/>
      <c r="R1" s="302"/>
      <c r="S1" s="261"/>
      <c r="AD1" s="80"/>
      <c r="AE1" s="80"/>
      <c r="AF1" s="80"/>
      <c r="AG1" s="80"/>
      <c r="AH1" s="80"/>
    </row>
    <row r="2" spans="1:34" ht="26.4" thickTop="1" thickBot="1" x14ac:dyDescent="0.3">
      <c r="A2" s="7" t="s">
        <v>122</v>
      </c>
      <c r="B2" s="8" t="s">
        <v>49</v>
      </c>
      <c r="C2" s="8" t="s">
        <v>91</v>
      </c>
      <c r="D2" s="8"/>
      <c r="E2" s="8"/>
      <c r="F2" s="8"/>
      <c r="G2" s="160"/>
      <c r="H2" s="219" t="s">
        <v>330</v>
      </c>
      <c r="I2" s="303" t="s">
        <v>273</v>
      </c>
      <c r="J2" s="303"/>
      <c r="K2" s="303"/>
      <c r="L2" s="303"/>
      <c r="M2" s="303"/>
      <c r="N2" s="303" t="s">
        <v>236</v>
      </c>
      <c r="O2" s="303"/>
      <c r="P2" s="303"/>
      <c r="Q2" s="303"/>
      <c r="R2" s="304"/>
      <c r="S2" s="166"/>
    </row>
    <row r="3" spans="1:34" ht="13.8" x14ac:dyDescent="0.3">
      <c r="A3" s="8" t="s">
        <v>49</v>
      </c>
      <c r="B3" s="8">
        <v>2015</v>
      </c>
      <c r="C3" s="8">
        <v>2016</v>
      </c>
      <c r="D3" s="8">
        <v>2017</v>
      </c>
      <c r="E3" s="8">
        <v>2018</v>
      </c>
      <c r="F3" s="8">
        <v>2019</v>
      </c>
      <c r="G3" s="160"/>
      <c r="H3" s="267" t="s">
        <v>296</v>
      </c>
      <c r="I3" s="306" t="s">
        <v>314</v>
      </c>
      <c r="J3" s="307"/>
      <c r="K3" s="307"/>
      <c r="L3" s="307"/>
      <c r="M3" s="307"/>
      <c r="N3" s="200"/>
      <c r="O3" s="81"/>
      <c r="P3" s="81"/>
      <c r="Q3" s="81"/>
      <c r="R3" s="81"/>
      <c r="S3" s="166"/>
    </row>
    <row r="4" spans="1:34" ht="13.8" customHeight="1" x14ac:dyDescent="0.25">
      <c r="A4" s="7" t="s">
        <v>121</v>
      </c>
      <c r="B4" s="8"/>
      <c r="C4" s="8"/>
      <c r="D4" s="8"/>
      <c r="E4" s="8"/>
      <c r="F4" s="8"/>
      <c r="G4" s="160"/>
      <c r="H4" s="319">
        <f>'Dashboard Calculations'!I25/100</f>
        <v>0.2</v>
      </c>
      <c r="I4" s="200"/>
      <c r="J4" s="85"/>
      <c r="K4" s="85"/>
      <c r="L4" s="85"/>
      <c r="M4" s="209"/>
      <c r="N4" s="215" t="s">
        <v>279</v>
      </c>
      <c r="O4" s="169"/>
      <c r="P4" s="197" t="s">
        <v>281</v>
      </c>
      <c r="Q4" s="189"/>
      <c r="R4" s="266" t="s">
        <v>280</v>
      </c>
      <c r="S4" s="166"/>
    </row>
    <row r="5" spans="1:34" ht="15" customHeight="1" x14ac:dyDescent="0.25">
      <c r="A5" s="9" t="s">
        <v>120</v>
      </c>
      <c r="B5" s="11">
        <v>1601</v>
      </c>
      <c r="C5" s="11">
        <v>1701</v>
      </c>
      <c r="D5" s="10">
        <v>1321</v>
      </c>
      <c r="E5" s="10">
        <v>1530</v>
      </c>
      <c r="F5" s="10">
        <v>1681</v>
      </c>
      <c r="G5" s="160"/>
      <c r="H5" s="319"/>
      <c r="I5" s="200"/>
      <c r="J5" s="305"/>
      <c r="K5" s="305"/>
      <c r="L5" s="85"/>
      <c r="M5" s="85"/>
      <c r="N5" s="264">
        <v>7.25</v>
      </c>
      <c r="O5" s="189"/>
      <c r="P5" s="190">
        <f>'Dashboard Calculations'!I13/100</f>
        <v>7.25</v>
      </c>
      <c r="Q5" s="189"/>
      <c r="R5" s="265">
        <v>12</v>
      </c>
      <c r="S5" s="166"/>
    </row>
    <row r="6" spans="1:34" ht="15.6" customHeight="1" x14ac:dyDescent="0.3">
      <c r="A6" s="9" t="s">
        <v>113</v>
      </c>
      <c r="B6" s="11">
        <v>1308</v>
      </c>
      <c r="C6" s="11">
        <v>1390</v>
      </c>
      <c r="D6" s="10"/>
      <c r="E6" s="10"/>
      <c r="F6" s="10"/>
      <c r="G6" s="160"/>
      <c r="H6" s="226" t="s">
        <v>295</v>
      </c>
      <c r="I6" s="200"/>
      <c r="J6" s="169"/>
      <c r="K6" s="169"/>
      <c r="L6" s="85"/>
      <c r="M6" s="209"/>
      <c r="N6" s="200"/>
      <c r="O6" s="189"/>
      <c r="P6" s="189"/>
      <c r="Q6" s="189"/>
      <c r="R6" s="81"/>
      <c r="S6" s="166"/>
    </row>
    <row r="7" spans="1:34" ht="15" customHeight="1" x14ac:dyDescent="0.25">
      <c r="A7" s="9" t="s">
        <v>119</v>
      </c>
      <c r="B7" s="11"/>
      <c r="C7" s="11"/>
      <c r="D7" s="11">
        <v>324</v>
      </c>
      <c r="E7" s="11">
        <v>321</v>
      </c>
      <c r="F7" s="11">
        <v>332</v>
      </c>
      <c r="G7" s="160"/>
      <c r="H7" s="308">
        <f>N38</f>
        <v>7970.2369110298105</v>
      </c>
      <c r="I7" s="200"/>
      <c r="J7" s="305"/>
      <c r="K7" s="305"/>
      <c r="L7" s="85"/>
      <c r="M7" s="209"/>
      <c r="N7" s="200"/>
      <c r="O7" s="85"/>
      <c r="P7" s="85"/>
      <c r="Q7" s="85"/>
      <c r="R7" s="85"/>
      <c r="S7" s="166"/>
    </row>
    <row r="8" spans="1:34" s="5" customFormat="1" ht="13.8" customHeight="1" x14ac:dyDescent="0.25">
      <c r="A8" s="9"/>
      <c r="B8" s="11"/>
      <c r="C8" s="11"/>
      <c r="D8" s="11"/>
      <c r="E8" s="11"/>
      <c r="F8" s="11"/>
      <c r="G8" s="160"/>
      <c r="H8" s="308"/>
      <c r="I8" s="200"/>
      <c r="J8" s="85"/>
      <c r="K8" s="85"/>
      <c r="L8" s="85"/>
      <c r="M8" s="209"/>
      <c r="N8" s="200"/>
      <c r="O8" s="85"/>
      <c r="P8" s="85"/>
      <c r="Q8" s="85"/>
      <c r="R8" s="85"/>
      <c r="S8" s="166"/>
      <c r="AD8" s="45"/>
    </row>
    <row r="9" spans="1:34" ht="25.8" thickBot="1" x14ac:dyDescent="0.3">
      <c r="A9" s="9" t="s">
        <v>118</v>
      </c>
      <c r="B9" s="8"/>
      <c r="C9" s="8"/>
      <c r="D9" s="11">
        <v>222</v>
      </c>
      <c r="E9" s="11">
        <v>235</v>
      </c>
      <c r="F9" s="11">
        <v>230</v>
      </c>
      <c r="G9" s="160"/>
      <c r="H9" s="219" t="s">
        <v>263</v>
      </c>
      <c r="I9" s="303" t="s">
        <v>268</v>
      </c>
      <c r="J9" s="303"/>
      <c r="K9" s="303"/>
      <c r="L9" s="303"/>
      <c r="M9" s="303"/>
      <c r="N9" s="303" t="s">
        <v>317</v>
      </c>
      <c r="O9" s="303"/>
      <c r="P9" s="303"/>
      <c r="Q9" s="303"/>
      <c r="R9" s="304"/>
      <c r="S9" s="166"/>
    </row>
    <row r="10" spans="1:34" ht="17.399999999999999" customHeight="1" x14ac:dyDescent="0.25">
      <c r="A10" s="9" t="s">
        <v>112</v>
      </c>
      <c r="B10" s="10">
        <v>4233</v>
      </c>
      <c r="C10" s="10">
        <v>4126</v>
      </c>
      <c r="D10" s="11">
        <v>1432</v>
      </c>
      <c r="E10" s="11">
        <v>1484</v>
      </c>
      <c r="F10" s="11">
        <v>1422</v>
      </c>
      <c r="G10" s="160"/>
      <c r="H10" s="205" t="s">
        <v>275</v>
      </c>
      <c r="I10" s="309" t="s">
        <v>277</v>
      </c>
      <c r="J10" s="310"/>
      <c r="K10" s="310"/>
      <c r="L10" s="310"/>
      <c r="M10" s="310"/>
      <c r="N10" s="310" t="s">
        <v>308</v>
      </c>
      <c r="O10" s="310"/>
      <c r="P10" s="310"/>
      <c r="Q10" s="310"/>
      <c r="R10" s="316"/>
      <c r="S10" s="166"/>
    </row>
    <row r="11" spans="1:34" ht="15" x14ac:dyDescent="0.25">
      <c r="A11" s="8" t="s">
        <v>117</v>
      </c>
      <c r="B11" s="33"/>
      <c r="C11" s="33"/>
      <c r="D11" s="32">
        <v>105</v>
      </c>
      <c r="E11" s="32">
        <v>98</v>
      </c>
      <c r="F11" s="32">
        <v>101</v>
      </c>
      <c r="G11" s="160"/>
      <c r="H11" s="201" t="s">
        <v>285</v>
      </c>
      <c r="I11" s="202"/>
      <c r="J11" s="168"/>
      <c r="K11" s="168"/>
      <c r="L11" s="174"/>
      <c r="M11" s="214"/>
      <c r="N11" s="314"/>
      <c r="O11" s="314"/>
      <c r="P11" s="314"/>
      <c r="Q11" s="314"/>
      <c r="R11" s="315"/>
      <c r="S11" s="166"/>
    </row>
    <row r="12" spans="1:34" ht="15" x14ac:dyDescent="0.25">
      <c r="A12" s="8" t="s">
        <v>49</v>
      </c>
      <c r="B12" s="36">
        <f>SUM(B6:B10)</f>
        <v>5541</v>
      </c>
      <c r="C12" s="36">
        <f>SUM(C6:C10)</f>
        <v>5516</v>
      </c>
      <c r="D12" s="36">
        <v>3404</v>
      </c>
      <c r="E12" s="36">
        <v>3668</v>
      </c>
      <c r="F12" s="36">
        <v>3766</v>
      </c>
      <c r="G12" s="160"/>
      <c r="H12" s="201" t="s">
        <v>288</v>
      </c>
      <c r="I12" s="202"/>
      <c r="J12" s="170" t="s">
        <v>261</v>
      </c>
      <c r="K12" s="185">
        <v>0.28000000000000003</v>
      </c>
      <c r="L12" s="212" t="s">
        <v>269</v>
      </c>
      <c r="M12" s="213"/>
      <c r="N12" s="200"/>
      <c r="O12" s="81"/>
      <c r="P12" s="81"/>
      <c r="Q12" s="81"/>
      <c r="R12" s="81"/>
      <c r="S12" s="166"/>
    </row>
    <row r="13" spans="1:34" ht="15" customHeight="1" x14ac:dyDescent="0.25">
      <c r="A13" s="8" t="s">
        <v>116</v>
      </c>
      <c r="B13" s="11">
        <v>4130</v>
      </c>
      <c r="C13" s="11">
        <v>4446</v>
      </c>
      <c r="D13" s="11">
        <v>4727</v>
      </c>
      <c r="E13" s="11">
        <v>5238</v>
      </c>
      <c r="F13" s="11">
        <v>5686</v>
      </c>
      <c r="G13" s="160"/>
      <c r="H13" s="201" t="s">
        <v>287</v>
      </c>
      <c r="I13" s="202"/>
      <c r="J13" s="171" t="s">
        <v>260</v>
      </c>
      <c r="K13" s="185">
        <v>0.38</v>
      </c>
      <c r="L13" s="311">
        <f ca="1">(R50)</f>
        <v>-688.81294820885273</v>
      </c>
      <c r="M13" s="312"/>
      <c r="N13" s="200"/>
      <c r="O13" s="81"/>
      <c r="P13" s="81"/>
      <c r="Q13" s="81"/>
      <c r="R13" s="81"/>
      <c r="S13" s="166"/>
    </row>
    <row r="14" spans="1:34" ht="15.6" customHeight="1" thickBot="1" x14ac:dyDescent="0.3">
      <c r="A14" s="8" t="s">
        <v>115</v>
      </c>
      <c r="B14" s="35">
        <v>11272</v>
      </c>
      <c r="C14" s="35">
        <v>11663</v>
      </c>
      <c r="D14" s="35">
        <v>8131</v>
      </c>
      <c r="E14" s="35">
        <v>8906</v>
      </c>
      <c r="F14" s="35">
        <v>9452</v>
      </c>
      <c r="G14" s="160"/>
      <c r="H14" s="201" t="s">
        <v>286</v>
      </c>
      <c r="I14" s="202"/>
      <c r="J14" s="171" t="s">
        <v>262</v>
      </c>
      <c r="K14" s="185">
        <v>0.48</v>
      </c>
      <c r="L14" s="311"/>
      <c r="M14" s="312"/>
      <c r="N14" s="200"/>
      <c r="O14" s="81"/>
      <c r="P14" s="81"/>
      <c r="Q14" s="81"/>
      <c r="R14" s="81"/>
      <c r="S14" s="166"/>
    </row>
    <row r="15" spans="1:34" s="5" customFormat="1" ht="15.6" customHeight="1" thickTop="1" thickBot="1" x14ac:dyDescent="0.3">
      <c r="A15" s="8"/>
      <c r="B15" s="35"/>
      <c r="C15" s="35"/>
      <c r="D15" s="35"/>
      <c r="E15" s="35"/>
      <c r="F15" s="35"/>
      <c r="G15" s="160"/>
      <c r="H15" s="203"/>
      <c r="I15" s="204"/>
      <c r="J15" s="186"/>
      <c r="K15" s="188"/>
      <c r="L15" s="84"/>
      <c r="M15" s="210"/>
      <c r="N15" s="211"/>
      <c r="O15" s="81"/>
      <c r="P15" s="81"/>
      <c r="Q15" s="81"/>
      <c r="R15" s="81"/>
      <c r="S15" s="166"/>
      <c r="AD15" s="45"/>
    </row>
    <row r="16" spans="1:34" ht="24" customHeight="1" thickTop="1" x14ac:dyDescent="0.25">
      <c r="A16" s="8"/>
      <c r="B16" s="8"/>
      <c r="C16" s="8"/>
      <c r="D16" s="8"/>
      <c r="E16" s="8"/>
      <c r="F16" s="8"/>
      <c r="G16" s="160"/>
      <c r="H16" s="321" t="s">
        <v>276</v>
      </c>
      <c r="I16" s="322"/>
      <c r="J16" s="322"/>
      <c r="K16" s="322"/>
      <c r="L16" s="322"/>
      <c r="M16" s="322"/>
      <c r="N16" s="322"/>
      <c r="O16" s="322"/>
      <c r="P16" s="322"/>
      <c r="Q16" s="322"/>
      <c r="R16" s="323"/>
      <c r="S16" s="166"/>
    </row>
    <row r="17" spans="1:19" ht="13.8" x14ac:dyDescent="0.25">
      <c r="A17" s="7" t="s">
        <v>114</v>
      </c>
      <c r="B17" s="8"/>
      <c r="C17" s="8"/>
      <c r="D17" s="8"/>
      <c r="E17" s="8"/>
      <c r="F17" s="8"/>
      <c r="G17" s="160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166"/>
    </row>
    <row r="18" spans="1:19" ht="13.8" x14ac:dyDescent="0.25">
      <c r="A18" s="8" t="s">
        <v>113</v>
      </c>
      <c r="B18" s="11">
        <v>897</v>
      </c>
      <c r="C18" s="11">
        <v>948</v>
      </c>
      <c r="D18" s="11"/>
      <c r="E18" s="8"/>
      <c r="F18" s="8"/>
      <c r="G18" s="160"/>
      <c r="H18" s="81"/>
      <c r="I18" s="81"/>
      <c r="J18" s="81"/>
      <c r="K18" s="81"/>
      <c r="L18" s="81"/>
      <c r="M18" s="85"/>
      <c r="N18" s="85"/>
      <c r="O18" s="81"/>
      <c r="P18" s="81"/>
      <c r="Q18" s="81"/>
      <c r="R18" s="81"/>
      <c r="S18" s="166"/>
    </row>
    <row r="19" spans="1:19" ht="13.8" x14ac:dyDescent="0.25">
      <c r="A19" s="8" t="s">
        <v>112</v>
      </c>
      <c r="B19" s="11">
        <v>3168</v>
      </c>
      <c r="C19" s="11">
        <v>3100</v>
      </c>
      <c r="D19" s="11">
        <v>1269</v>
      </c>
      <c r="E19" s="11">
        <v>1332</v>
      </c>
      <c r="F19" s="11">
        <v>1254</v>
      </c>
      <c r="G19" s="160"/>
      <c r="H19" s="81"/>
      <c r="I19" s="81"/>
      <c r="J19" s="81"/>
      <c r="K19" s="81"/>
      <c r="L19" s="81"/>
      <c r="M19" s="85"/>
      <c r="N19" s="85"/>
      <c r="O19" s="81"/>
      <c r="P19" s="81"/>
      <c r="Q19" s="81"/>
      <c r="R19" s="81"/>
      <c r="S19" s="166"/>
    </row>
    <row r="20" spans="1:19" ht="13.8" x14ac:dyDescent="0.25">
      <c r="A20" s="8" t="s">
        <v>111</v>
      </c>
      <c r="B20" s="11">
        <v>9</v>
      </c>
      <c r="C20" s="11">
        <v>15</v>
      </c>
      <c r="D20" s="11"/>
      <c r="E20" s="11"/>
      <c r="F20" s="11"/>
      <c r="G20" s="160"/>
      <c r="H20" s="81"/>
      <c r="I20" s="81"/>
      <c r="J20" s="81"/>
      <c r="K20" s="81"/>
      <c r="L20" s="81"/>
      <c r="M20" s="85"/>
      <c r="N20" s="85"/>
      <c r="O20" s="81"/>
      <c r="P20" s="81"/>
      <c r="Q20" s="81"/>
      <c r="R20" s="81"/>
      <c r="S20" s="166"/>
    </row>
    <row r="21" spans="1:19" ht="13.8" x14ac:dyDescent="0.25">
      <c r="A21" s="8" t="s">
        <v>85</v>
      </c>
      <c r="B21" s="11">
        <v>692</v>
      </c>
      <c r="C21" s="11">
        <v>686</v>
      </c>
      <c r="D21" s="11">
        <v>336</v>
      </c>
      <c r="E21" s="11">
        <v>325</v>
      </c>
      <c r="F21" s="11">
        <v>346</v>
      </c>
      <c r="G21" s="160"/>
      <c r="H21" s="81"/>
      <c r="I21" s="81"/>
      <c r="J21" s="81"/>
      <c r="K21" s="81"/>
      <c r="L21" s="81"/>
      <c r="M21" s="85"/>
      <c r="N21" s="85"/>
      <c r="O21" s="81"/>
      <c r="P21" s="81"/>
      <c r="Q21" s="81"/>
      <c r="R21" s="81"/>
      <c r="S21" s="166"/>
    </row>
    <row r="22" spans="1:19" ht="13.8" x14ac:dyDescent="0.25">
      <c r="A22" s="8" t="s">
        <v>110</v>
      </c>
      <c r="B22" s="11">
        <v>611</v>
      </c>
      <c r="C22" s="11">
        <v>616</v>
      </c>
      <c r="D22" s="11">
        <v>439</v>
      </c>
      <c r="E22" s="11">
        <v>443</v>
      </c>
      <c r="F22" s="11">
        <v>441</v>
      </c>
      <c r="G22" s="160"/>
      <c r="H22" s="81"/>
      <c r="I22" s="81"/>
      <c r="J22" s="81"/>
      <c r="K22" s="81"/>
      <c r="L22" s="81"/>
      <c r="M22" s="85"/>
      <c r="N22" s="85"/>
      <c r="O22" s="81"/>
      <c r="P22" s="81"/>
      <c r="Q22" s="81"/>
      <c r="R22" s="81"/>
      <c r="S22" s="166"/>
    </row>
    <row r="23" spans="1:19" ht="13.8" x14ac:dyDescent="0.25">
      <c r="A23" s="9" t="s">
        <v>109</v>
      </c>
      <c r="B23" s="33"/>
      <c r="C23" s="33"/>
      <c r="D23" s="32">
        <v>56</v>
      </c>
      <c r="E23" s="32">
        <v>51</v>
      </c>
      <c r="F23" s="32">
        <v>72</v>
      </c>
      <c r="G23" s="160"/>
      <c r="H23" s="81"/>
      <c r="I23" s="81"/>
      <c r="J23" s="81"/>
      <c r="K23" s="81"/>
      <c r="L23" s="81"/>
      <c r="M23" s="85"/>
      <c r="N23" s="85"/>
      <c r="O23" s="81"/>
      <c r="P23" s="81"/>
      <c r="Q23" s="81"/>
      <c r="R23" s="81"/>
      <c r="S23" s="166"/>
    </row>
    <row r="24" spans="1:19" ht="13.8" x14ac:dyDescent="0.25">
      <c r="A24" s="8" t="s">
        <v>49</v>
      </c>
      <c r="B24" s="34">
        <v>5377</v>
      </c>
      <c r="C24" s="34">
        <v>5365</v>
      </c>
      <c r="D24" s="34">
        <v>2100</v>
      </c>
      <c r="E24" s="34">
        <v>2151</v>
      </c>
      <c r="F24" s="34">
        <v>2113</v>
      </c>
      <c r="G24" s="160"/>
      <c r="H24" s="81"/>
      <c r="I24" s="81"/>
      <c r="J24" s="81"/>
      <c r="K24" s="81"/>
      <c r="L24" s="81"/>
      <c r="M24" s="85"/>
      <c r="N24" s="206"/>
      <c r="O24" s="207"/>
      <c r="P24" s="207"/>
      <c r="Q24" s="207"/>
      <c r="R24" s="207"/>
      <c r="S24" s="166"/>
    </row>
    <row r="25" spans="1:19" ht="15" x14ac:dyDescent="0.25">
      <c r="A25" s="8" t="s">
        <v>108</v>
      </c>
      <c r="B25" s="11">
        <v>4130</v>
      </c>
      <c r="C25" s="11">
        <v>4446</v>
      </c>
      <c r="D25" s="11">
        <v>4899</v>
      </c>
      <c r="E25" s="11">
        <v>5323</v>
      </c>
      <c r="F25" s="11">
        <v>5763</v>
      </c>
      <c r="G25" s="160"/>
      <c r="H25" s="81"/>
      <c r="I25" s="81"/>
      <c r="J25" s="81"/>
      <c r="K25" s="81"/>
      <c r="L25" s="81"/>
      <c r="M25" s="85"/>
      <c r="N25" s="85"/>
      <c r="O25" s="313" t="s">
        <v>298</v>
      </c>
      <c r="P25" s="313"/>
      <c r="Q25" s="313"/>
      <c r="R25" s="81"/>
      <c r="S25" s="166"/>
    </row>
    <row r="26" spans="1:19" ht="15" thickBot="1" x14ac:dyDescent="0.3">
      <c r="A26" s="8"/>
      <c r="B26" s="35">
        <v>9507</v>
      </c>
      <c r="C26" s="35">
        <v>9811</v>
      </c>
      <c r="D26" s="35">
        <v>6999</v>
      </c>
      <c r="E26" s="35">
        <v>7474</v>
      </c>
      <c r="F26" s="35">
        <v>7876</v>
      </c>
      <c r="G26" s="160"/>
      <c r="H26" s="81"/>
      <c r="I26" s="81"/>
      <c r="J26" s="81"/>
      <c r="K26" s="81"/>
      <c r="L26" s="81"/>
      <c r="M26" s="85"/>
      <c r="N26" s="85"/>
      <c r="O26" s="81"/>
      <c r="P26" s="81"/>
      <c r="Q26" s="81"/>
      <c r="R26" s="81"/>
      <c r="S26" s="166"/>
    </row>
    <row r="27" spans="1:19" ht="14.4" thickTop="1" x14ac:dyDescent="0.25">
      <c r="A27" s="8"/>
      <c r="B27" s="8"/>
      <c r="C27" s="8"/>
      <c r="D27" s="8"/>
      <c r="E27" s="8"/>
      <c r="F27" s="8"/>
      <c r="G27" s="160"/>
      <c r="H27" s="81"/>
      <c r="I27" s="81"/>
      <c r="J27" s="81"/>
      <c r="K27" s="81"/>
      <c r="L27" s="81"/>
      <c r="M27" s="85"/>
      <c r="N27" s="85"/>
      <c r="O27" s="224" t="s">
        <v>178</v>
      </c>
      <c r="P27" s="81"/>
      <c r="Q27" s="81" t="s">
        <v>179</v>
      </c>
      <c r="R27" s="81"/>
      <c r="S27" s="166"/>
    </row>
    <row r="28" spans="1:19" ht="13.8" customHeight="1" x14ac:dyDescent="0.25">
      <c r="A28" s="8" t="s">
        <v>84</v>
      </c>
      <c r="B28" s="11">
        <v>306</v>
      </c>
      <c r="C28" s="11">
        <v>9</v>
      </c>
      <c r="D28" s="12">
        <v>0</v>
      </c>
      <c r="E28" s="12">
        <v>0</v>
      </c>
      <c r="F28" s="11">
        <v>81</v>
      </c>
      <c r="G28" s="160"/>
      <c r="H28" s="81"/>
      <c r="I28" s="81"/>
      <c r="J28" s="81"/>
      <c r="K28" s="81"/>
      <c r="L28" s="81"/>
      <c r="M28" s="85"/>
      <c r="N28" s="85"/>
      <c r="O28" s="320">
        <f ca="1">M158</f>
        <v>70.286755868336698</v>
      </c>
      <c r="P28" s="225"/>
      <c r="Q28" s="320">
        <f ca="1">Q158</f>
        <v>78.686008896948024</v>
      </c>
      <c r="R28" s="81"/>
      <c r="S28" s="166"/>
    </row>
    <row r="29" spans="1:19" ht="13.8" customHeight="1" x14ac:dyDescent="0.25">
      <c r="A29" s="8"/>
      <c r="B29" s="8"/>
      <c r="C29" s="8"/>
      <c r="D29" s="8"/>
      <c r="E29" s="8"/>
      <c r="F29" s="8"/>
      <c r="G29" s="160"/>
      <c r="H29" s="81"/>
      <c r="I29" s="81"/>
      <c r="J29" s="81"/>
      <c r="K29" s="81"/>
      <c r="L29" s="81"/>
      <c r="M29" s="85"/>
      <c r="N29" s="85"/>
      <c r="O29" s="320"/>
      <c r="P29" s="225"/>
      <c r="Q29" s="320"/>
      <c r="R29" s="81"/>
      <c r="S29" s="166"/>
    </row>
    <row r="30" spans="1:19" ht="13.8" x14ac:dyDescent="0.25">
      <c r="A30" s="8" t="s">
        <v>107</v>
      </c>
      <c r="B30" s="11">
        <v>2071</v>
      </c>
      <c r="C30" s="11">
        <v>1861</v>
      </c>
      <c r="D30" s="11">
        <v>1132</v>
      </c>
      <c r="E30" s="11">
        <v>1432</v>
      </c>
      <c r="F30" s="11">
        <v>1657</v>
      </c>
      <c r="G30" s="160"/>
      <c r="H30" s="81"/>
      <c r="I30" s="81"/>
      <c r="J30" s="81"/>
      <c r="K30" s="81"/>
      <c r="L30" s="81"/>
      <c r="M30" s="85"/>
      <c r="N30" s="85"/>
      <c r="O30" s="81"/>
      <c r="P30" s="81"/>
      <c r="Q30" s="81"/>
      <c r="R30" s="81"/>
      <c r="S30" s="166"/>
    </row>
    <row r="31" spans="1:19" ht="13.8" x14ac:dyDescent="0.25">
      <c r="A31" s="8"/>
      <c r="B31" s="8"/>
      <c r="C31" s="8"/>
      <c r="D31" s="8"/>
      <c r="E31" s="8"/>
      <c r="F31" s="8"/>
      <c r="G31" s="160"/>
      <c r="H31" s="81"/>
      <c r="I31" s="81"/>
      <c r="J31" s="81"/>
      <c r="K31" s="81"/>
      <c r="L31" s="81"/>
      <c r="M31" s="85"/>
      <c r="N31" s="85"/>
      <c r="O31" s="81"/>
      <c r="P31" s="81"/>
      <c r="Q31" s="81"/>
      <c r="R31" s="81"/>
      <c r="S31" s="166"/>
    </row>
    <row r="32" spans="1:19" s="45" customFormat="1" ht="14.4" thickBot="1" x14ac:dyDescent="0.3">
      <c r="A32" s="8" t="s">
        <v>106</v>
      </c>
      <c r="B32" s="11">
        <v>19</v>
      </c>
      <c r="C32" s="11">
        <v>12</v>
      </c>
      <c r="D32" s="8"/>
      <c r="E32" s="8"/>
      <c r="F32" s="8"/>
      <c r="G32" s="160"/>
      <c r="H32" s="228"/>
      <c r="I32" s="228"/>
      <c r="J32" s="228"/>
      <c r="K32" s="228"/>
      <c r="L32" s="228"/>
      <c r="M32" s="229"/>
      <c r="N32" s="229"/>
      <c r="O32" s="228"/>
      <c r="P32" s="228"/>
      <c r="Q32" s="228"/>
      <c r="R32" s="228"/>
      <c r="S32" s="166"/>
    </row>
    <row r="33" spans="1:23" ht="21.6" customHeight="1" thickTop="1" x14ac:dyDescent="0.25">
      <c r="A33" s="8" t="s">
        <v>105</v>
      </c>
      <c r="B33" s="11">
        <v>-575</v>
      </c>
      <c r="C33" s="11">
        <v>-587</v>
      </c>
      <c r="D33" s="11">
        <v>-351</v>
      </c>
      <c r="E33" s="11">
        <v>-371</v>
      </c>
      <c r="F33" s="11">
        <v>-414</v>
      </c>
      <c r="G33" s="160"/>
      <c r="H33" s="321" t="s">
        <v>318</v>
      </c>
      <c r="I33" s="322"/>
      <c r="J33" s="322"/>
      <c r="K33" s="322"/>
      <c r="L33" s="322"/>
      <c r="M33" s="322"/>
      <c r="N33" s="322"/>
      <c r="O33" s="322"/>
      <c r="P33" s="322"/>
      <c r="Q33" s="322"/>
      <c r="R33" s="323"/>
      <c r="S33" s="166"/>
    </row>
    <row r="34" spans="1:23" ht="16.2" thickBot="1" x14ac:dyDescent="0.3">
      <c r="A34" s="8" t="s">
        <v>104</v>
      </c>
      <c r="B34" s="11">
        <v>23</v>
      </c>
      <c r="C34" s="11">
        <v>8</v>
      </c>
      <c r="D34" s="11"/>
      <c r="E34" s="11"/>
      <c r="F34" s="11"/>
      <c r="G34" s="160"/>
      <c r="H34" s="230" t="s">
        <v>199</v>
      </c>
      <c r="I34" s="231">
        <v>2015</v>
      </c>
      <c r="J34" s="231">
        <v>2016</v>
      </c>
      <c r="K34" s="231">
        <v>2017</v>
      </c>
      <c r="L34" s="231">
        <v>2018</v>
      </c>
      <c r="M34" s="231">
        <v>2019</v>
      </c>
      <c r="N34" s="231">
        <v>2020</v>
      </c>
      <c r="O34" s="231">
        <v>2021</v>
      </c>
      <c r="P34" s="231">
        <v>2022</v>
      </c>
      <c r="Q34" s="231">
        <v>2023</v>
      </c>
      <c r="R34" s="232">
        <v>2024</v>
      </c>
      <c r="S34" s="166"/>
    </row>
    <row r="35" spans="1:23" ht="16.2" thickTop="1" x14ac:dyDescent="0.25">
      <c r="A35" s="8" t="s">
        <v>103</v>
      </c>
      <c r="B35" s="11">
        <v>-41</v>
      </c>
      <c r="C35" s="11">
        <v>-13</v>
      </c>
      <c r="D35" s="11">
        <v>3</v>
      </c>
      <c r="E35" s="11">
        <v>-11</v>
      </c>
      <c r="F35" s="11">
        <v>-2</v>
      </c>
      <c r="G35" s="160"/>
      <c r="H35" s="86" t="s">
        <v>213</v>
      </c>
      <c r="I35" s="87">
        <f>Main!B5</f>
        <v>1601</v>
      </c>
      <c r="J35" s="87">
        <f>Main!C5</f>
        <v>1701</v>
      </c>
      <c r="K35" s="87">
        <f>Main!D5</f>
        <v>1321</v>
      </c>
      <c r="L35" s="87">
        <f>Main!E5</f>
        <v>1530</v>
      </c>
      <c r="M35" s="87">
        <f>Main!F5</f>
        <v>1681</v>
      </c>
      <c r="N35" s="87">
        <f>'Dashboard Calculations'!B27</f>
        <v>1506.1760000000004</v>
      </c>
      <c r="O35" s="87">
        <f>'Dashboard Calculations'!C37</f>
        <v>2097.3500800000002</v>
      </c>
      <c r="P35" s="87">
        <f>'Dashboard Calculations'!D37</f>
        <v>2324.4930936640003</v>
      </c>
      <c r="Q35" s="87">
        <f>'Dashboard Calculations'!E37</f>
        <v>2563.6485656056207</v>
      </c>
      <c r="R35" s="87">
        <f>'Dashboard Calculations'!F37</f>
        <v>2814.2214991443384</v>
      </c>
      <c r="S35" s="166"/>
    </row>
    <row r="36" spans="1:23" ht="15.6" x14ac:dyDescent="0.25">
      <c r="A36" s="8" t="s">
        <v>82</v>
      </c>
      <c r="B36" s="8"/>
      <c r="C36" s="8"/>
      <c r="D36" s="11">
        <v>-60</v>
      </c>
      <c r="E36" s="12">
        <v>0</v>
      </c>
      <c r="F36" s="12">
        <v>0</v>
      </c>
      <c r="G36" s="160"/>
      <c r="H36" s="88" t="s">
        <v>214</v>
      </c>
      <c r="I36" s="89">
        <f>Main!B10</f>
        <v>4233</v>
      </c>
      <c r="J36" s="89">
        <f>Main!C10</f>
        <v>4126</v>
      </c>
      <c r="K36" s="89">
        <f>Main!D10</f>
        <v>1432</v>
      </c>
      <c r="L36" s="89">
        <f>Main!E10</f>
        <v>1484</v>
      </c>
      <c r="M36" s="89">
        <f>Main!F10</f>
        <v>1422</v>
      </c>
      <c r="N36" s="89">
        <f>'Dashboard Calculations'!B29</f>
        <v>1171.7280000000001</v>
      </c>
      <c r="O36" s="89">
        <f>'Dashboard Calculations'!C40</f>
        <v>1508.5998000000002</v>
      </c>
      <c r="P36" s="89">
        <f>'Dashboard Calculations'!D40</f>
        <v>1553.8577940000002</v>
      </c>
      <c r="Q36" s="89">
        <f>'Dashboard Calculations'!E40</f>
        <v>1600.4735278200003</v>
      </c>
      <c r="R36" s="89">
        <f>'Dashboard Calculations'!F40</f>
        <v>1648.4877336546003</v>
      </c>
      <c r="S36" s="166"/>
    </row>
    <row r="37" spans="1:23" ht="15.6" x14ac:dyDescent="0.25">
      <c r="A37" s="8" t="s">
        <v>102</v>
      </c>
      <c r="B37" s="11">
        <v>-1</v>
      </c>
      <c r="C37" s="11">
        <v>-26</v>
      </c>
      <c r="D37" s="11">
        <v>29</v>
      </c>
      <c r="E37" s="11">
        <v>28</v>
      </c>
      <c r="F37" s="11">
        <v>3</v>
      </c>
      <c r="G37" s="160"/>
      <c r="H37" s="88" t="s">
        <v>215</v>
      </c>
      <c r="I37" s="89">
        <f>Main!B6+Main!B7+Main!B9+Main!B11+Main!B13</f>
        <v>5438</v>
      </c>
      <c r="J37" s="89">
        <f>Main!C6+Main!C7+Main!C9+Main!C11+Main!C13</f>
        <v>5836</v>
      </c>
      <c r="K37" s="89">
        <f>Main!D6+Main!D7+Main!D9+Main!D11+Main!D13</f>
        <v>5378</v>
      </c>
      <c r="L37" s="89">
        <f>Main!E6+Main!E7+Main!E9+Main!E11+Main!E13</f>
        <v>5892</v>
      </c>
      <c r="M37" s="89">
        <f>Main!F6+Main!F7+Main!F9+Main!F11+Main!F13</f>
        <v>6349</v>
      </c>
      <c r="N37" s="89">
        <f>'Dashboard Calculations'!B31</f>
        <v>5292.33291102981</v>
      </c>
      <c r="O37" s="89">
        <f>'Dashboard Calculations'!C43</f>
        <v>6948.530699977995</v>
      </c>
      <c r="P37" s="89">
        <f>'Dashboard Calculations'!D43</f>
        <v>7368.3966687666789</v>
      </c>
      <c r="Q37" s="89">
        <f>'Dashboard Calculations'!E43</f>
        <v>7902.6803853102347</v>
      </c>
      <c r="R37" s="89">
        <f>'Dashboard Calculations'!F43</f>
        <v>8590.3100507678846</v>
      </c>
      <c r="S37" s="166"/>
    </row>
    <row r="38" spans="1:23" ht="15.6" x14ac:dyDescent="0.25">
      <c r="A38" s="8"/>
      <c r="B38" s="8"/>
      <c r="C38" s="8"/>
      <c r="D38" s="8"/>
      <c r="E38" s="8"/>
      <c r="F38" s="8"/>
      <c r="G38" s="160"/>
      <c r="H38" s="90" t="s">
        <v>216</v>
      </c>
      <c r="I38" s="89">
        <f t="shared" ref="I38:R38" si="0">SUM(I35:I37)</f>
        <v>11272</v>
      </c>
      <c r="J38" s="89">
        <f t="shared" si="0"/>
        <v>11663</v>
      </c>
      <c r="K38" s="89">
        <f t="shared" si="0"/>
        <v>8131</v>
      </c>
      <c r="L38" s="89">
        <f t="shared" si="0"/>
        <v>8906</v>
      </c>
      <c r="M38" s="89">
        <f t="shared" si="0"/>
        <v>9452</v>
      </c>
      <c r="N38" s="89">
        <f t="shared" si="0"/>
        <v>7970.2369110298105</v>
      </c>
      <c r="O38" s="89">
        <f t="shared" si="0"/>
        <v>10554.480579977995</v>
      </c>
      <c r="P38" s="89">
        <f t="shared" si="0"/>
        <v>11246.747556430681</v>
      </c>
      <c r="Q38" s="89">
        <f t="shared" si="0"/>
        <v>12066.802478735855</v>
      </c>
      <c r="R38" s="89">
        <f t="shared" si="0"/>
        <v>13053.019283566824</v>
      </c>
      <c r="S38" s="166"/>
    </row>
    <row r="39" spans="1:23" ht="15.6" x14ac:dyDescent="0.25">
      <c r="A39" s="8" t="s">
        <v>101</v>
      </c>
      <c r="B39" s="11">
        <v>1496</v>
      </c>
      <c r="C39" s="11">
        <v>1255</v>
      </c>
      <c r="D39" s="11">
        <v>753</v>
      </c>
      <c r="E39" s="11">
        <v>1078</v>
      </c>
      <c r="F39" s="11">
        <v>1244</v>
      </c>
      <c r="G39" s="160"/>
      <c r="H39" s="88" t="s">
        <v>221</v>
      </c>
      <c r="I39" s="89">
        <f>-Main!B19</f>
        <v>-3168</v>
      </c>
      <c r="J39" s="89">
        <f>-Main!C19</f>
        <v>-3100</v>
      </c>
      <c r="K39" s="89">
        <f>-Main!D19</f>
        <v>-1269</v>
      </c>
      <c r="L39" s="89">
        <f>-Main!E19</f>
        <v>-1332</v>
      </c>
      <c r="M39" s="89">
        <f>-Main!F19</f>
        <v>-1254</v>
      </c>
      <c r="N39" s="89">
        <f>'Dashboard Calculations'!B17</f>
        <v>-1164.4563721381483</v>
      </c>
      <c r="O39" s="89">
        <f>'Dashboard Calculations'!C17</f>
        <v>-1542.015915355737</v>
      </c>
      <c r="P39" s="89">
        <f>'Dashboard Calculations'!D17</f>
        <v>-1643.1565340035438</v>
      </c>
      <c r="Q39" s="89">
        <f>'Dashboard Calculations'!E17</f>
        <v>-1762.9670478491269</v>
      </c>
      <c r="R39" s="89">
        <f>'Dashboard Calculations'!F17</f>
        <v>-1907.0539119554994</v>
      </c>
      <c r="S39" s="166"/>
    </row>
    <row r="40" spans="1:23" ht="15.6" x14ac:dyDescent="0.25">
      <c r="A40" s="8"/>
      <c r="B40" s="8"/>
      <c r="C40" s="8"/>
      <c r="D40" s="8"/>
      <c r="E40" s="8"/>
      <c r="F40" s="8"/>
      <c r="G40" s="160"/>
      <c r="H40" s="88" t="s">
        <v>223</v>
      </c>
      <c r="I40" s="89">
        <f>-Main!B25</f>
        <v>-4130</v>
      </c>
      <c r="J40" s="89">
        <f>-Main!C25</f>
        <v>-4446</v>
      </c>
      <c r="K40" s="89">
        <f>-Main!D25</f>
        <v>-4899</v>
      </c>
      <c r="L40" s="89">
        <f>-Main!E25</f>
        <v>-5323</v>
      </c>
      <c r="M40" s="89">
        <f>-Main!F25</f>
        <v>-5763</v>
      </c>
      <c r="N40" s="89">
        <f>'Dashboard Calculations'!B22</f>
        <v>-4782.1421466178863</v>
      </c>
      <c r="O40" s="89">
        <f>'Dashboard Calculations'!C22</f>
        <v>-6332.6883479867965</v>
      </c>
      <c r="P40" s="89">
        <f>'Dashboard Calculations'!D22</f>
        <v>-6748.0485338584085</v>
      </c>
      <c r="Q40" s="89">
        <f>'Dashboard Calculations'!E22</f>
        <v>-7240.0814872415131</v>
      </c>
      <c r="R40" s="89">
        <f>'Dashboard Calculations'!F22</f>
        <v>-7831.8115701400939</v>
      </c>
      <c r="S40" s="166"/>
    </row>
    <row r="41" spans="1:23" ht="15.6" x14ac:dyDescent="0.25">
      <c r="A41" s="8" t="s">
        <v>100</v>
      </c>
      <c r="B41" s="11">
        <v>-80</v>
      </c>
      <c r="C41" s="11">
        <v>-891</v>
      </c>
      <c r="D41" s="11">
        <v>336</v>
      </c>
      <c r="E41" s="11">
        <v>-309</v>
      </c>
      <c r="F41" s="11">
        <v>-358</v>
      </c>
      <c r="G41" s="160"/>
      <c r="H41" s="88" t="s">
        <v>222</v>
      </c>
      <c r="I41" s="89">
        <f>-(Main!B20+Main!B18+Main!B23)</f>
        <v>-906</v>
      </c>
      <c r="J41" s="89">
        <f>-(Main!C20+Main!C18+Main!C23)</f>
        <v>-963</v>
      </c>
      <c r="K41" s="89">
        <f>-(Main!D20+Main!D18+Main!D23)</f>
        <v>-56</v>
      </c>
      <c r="L41" s="89">
        <f>-(Main!E20+Main!E18+Main!E23)</f>
        <v>-51</v>
      </c>
      <c r="M41" s="89">
        <f>-(Main!F20+Main!F18+Main!F23)</f>
        <v>-72</v>
      </c>
      <c r="N41" s="89">
        <f>N38*N63</f>
        <v>-79.702369110298108</v>
      </c>
      <c r="O41" s="89">
        <f>O38*O63</f>
        <v>-105.54480579977995</v>
      </c>
      <c r="P41" s="89">
        <f>P38*P63</f>
        <v>-112.46747556430681</v>
      </c>
      <c r="Q41" s="89">
        <f>Q38*Q63</f>
        <v>-120.66802478735856</v>
      </c>
      <c r="R41" s="89">
        <f>R38*R63</f>
        <v>-130.53019283566823</v>
      </c>
      <c r="S41" s="166"/>
    </row>
    <row r="42" spans="1:23" ht="15.6" x14ac:dyDescent="0.25">
      <c r="A42" s="8"/>
      <c r="B42" s="8"/>
      <c r="C42" s="8"/>
      <c r="D42" s="8"/>
      <c r="E42" s="8"/>
      <c r="F42" s="8"/>
      <c r="G42" s="160"/>
      <c r="H42" s="92" t="s">
        <v>114</v>
      </c>
      <c r="I42" s="94">
        <f t="shared" ref="I42:R42" si="1">SUM(I39:I41)</f>
        <v>-8204</v>
      </c>
      <c r="J42" s="94">
        <f t="shared" si="1"/>
        <v>-8509</v>
      </c>
      <c r="K42" s="94">
        <f t="shared" si="1"/>
        <v>-6224</v>
      </c>
      <c r="L42" s="94">
        <f t="shared" si="1"/>
        <v>-6706</v>
      </c>
      <c r="M42" s="94">
        <f t="shared" si="1"/>
        <v>-7089</v>
      </c>
      <c r="N42" s="94">
        <f t="shared" si="1"/>
        <v>-6026.3008878663322</v>
      </c>
      <c r="O42" s="94">
        <f t="shared" si="1"/>
        <v>-7980.2490691423136</v>
      </c>
      <c r="P42" s="94">
        <f t="shared" si="1"/>
        <v>-8503.6725434262589</v>
      </c>
      <c r="Q42" s="94">
        <f t="shared" si="1"/>
        <v>-9123.7165598779993</v>
      </c>
      <c r="R42" s="94">
        <f t="shared" si="1"/>
        <v>-9869.3956749312601</v>
      </c>
      <c r="S42" s="166"/>
    </row>
    <row r="43" spans="1:23" ht="15.6" x14ac:dyDescent="0.25">
      <c r="A43" s="8" t="s">
        <v>89</v>
      </c>
      <c r="B43" s="11">
        <v>1416</v>
      </c>
      <c r="C43" s="11">
        <v>364</v>
      </c>
      <c r="D43" s="11">
        <v>1089</v>
      </c>
      <c r="E43" s="11">
        <v>769</v>
      </c>
      <c r="F43" s="11">
        <v>886</v>
      </c>
      <c r="G43" s="160"/>
      <c r="H43" s="93" t="s">
        <v>131</v>
      </c>
      <c r="I43" s="94">
        <f>I42+I38+Main!B28</f>
        <v>3374</v>
      </c>
      <c r="J43" s="94">
        <f>J42+J38+Main!C28</f>
        <v>3163</v>
      </c>
      <c r="K43" s="94">
        <f>K42+K38+Main!D28</f>
        <v>1907</v>
      </c>
      <c r="L43" s="94">
        <f>L42+L38+Main!E28</f>
        <v>2200</v>
      </c>
      <c r="M43" s="94">
        <f>M42+M38+Main!F28</f>
        <v>2444</v>
      </c>
      <c r="N43" s="94">
        <f>N42+N38</f>
        <v>1943.9360231634782</v>
      </c>
      <c r="O43" s="94">
        <f>O42+O38</f>
        <v>2574.2315108356815</v>
      </c>
      <c r="P43" s="94">
        <f>P42+P38</f>
        <v>2743.0750130044216</v>
      </c>
      <c r="Q43" s="94">
        <f>Q42+Q38</f>
        <v>2943.0859188578561</v>
      </c>
      <c r="R43" s="94">
        <f>R42+R38</f>
        <v>3183.6236086355639</v>
      </c>
      <c r="S43" s="166"/>
    </row>
    <row r="44" spans="1:23" ht="15.6" x14ac:dyDescent="0.25">
      <c r="A44" s="8" t="s">
        <v>99</v>
      </c>
      <c r="B44" s="11">
        <v>-12</v>
      </c>
      <c r="C44" s="11">
        <v>-16</v>
      </c>
      <c r="D44" s="11">
        <v>-5</v>
      </c>
      <c r="E44" s="11">
        <v>-5</v>
      </c>
      <c r="F44" s="11">
        <v>-5</v>
      </c>
      <c r="G44" s="160"/>
      <c r="H44" s="95" t="s">
        <v>132</v>
      </c>
      <c r="I44" s="94">
        <f>-Main!B21</f>
        <v>-692</v>
      </c>
      <c r="J44" s="96">
        <f>-Main!C21</f>
        <v>-686</v>
      </c>
      <c r="K44" s="96">
        <f>-Main!D21</f>
        <v>-336</v>
      </c>
      <c r="L44" s="96">
        <f>-Main!E21</f>
        <v>-325</v>
      </c>
      <c r="M44" s="96">
        <f>-Main!F21</f>
        <v>-346</v>
      </c>
      <c r="N44" s="96">
        <f>N67*AVERAGE(M81:N81)</f>
        <v>-361.33803773157723</v>
      </c>
      <c r="O44" s="96">
        <f>O67*AVERAGE(N81:O81)</f>
        <v>-385.70141693474574</v>
      </c>
      <c r="P44" s="96">
        <f>P67*AVERAGE(O81:P81)</f>
        <v>-225.12402055971447</v>
      </c>
      <c r="Q44" s="96">
        <f>Q67*AVERAGE(P81:Q81)</f>
        <v>-121.0055685510675</v>
      </c>
      <c r="R44" s="96">
        <f>R67*AVERAGE(Q81:R81)</f>
        <v>-65.167322079218522</v>
      </c>
      <c r="S44" s="166"/>
    </row>
    <row r="45" spans="1:23" ht="15.6" x14ac:dyDescent="0.25">
      <c r="A45" s="8" t="s">
        <v>98</v>
      </c>
      <c r="B45" s="10">
        <v>1404</v>
      </c>
      <c r="C45" s="10">
        <v>348</v>
      </c>
      <c r="D45" s="10">
        <v>1084</v>
      </c>
      <c r="E45" s="10">
        <v>764</v>
      </c>
      <c r="F45" s="10">
        <v>881</v>
      </c>
      <c r="G45" s="160"/>
      <c r="H45" s="93" t="s">
        <v>193</v>
      </c>
      <c r="I45" s="94">
        <f>-Main!B22</f>
        <v>-611</v>
      </c>
      <c r="J45" s="97">
        <f>-Main!C22</f>
        <v>-616</v>
      </c>
      <c r="K45" s="97">
        <f>-Main!D22</f>
        <v>-439</v>
      </c>
      <c r="L45" s="97">
        <f>-Main!E22</f>
        <v>-443</v>
      </c>
      <c r="M45" s="97">
        <f>-Main!F22</f>
        <v>-441</v>
      </c>
      <c r="N45" s="94">
        <f>N38*N64</f>
        <v>-371.86568744859784</v>
      </c>
      <c r="O45" s="94">
        <f>O38*O64</f>
        <v>-492.43820733921882</v>
      </c>
      <c r="P45" s="94">
        <f>P38*P64</f>
        <v>-524.73716381569307</v>
      </c>
      <c r="Q45" s="94">
        <f>Q38*Q64</f>
        <v>-562.99829592916979</v>
      </c>
      <c r="R45" s="94">
        <f>R38*R64</f>
        <v>-609.01200846942129</v>
      </c>
      <c r="S45" s="166"/>
    </row>
    <row r="46" spans="1:23" ht="15.6" x14ac:dyDescent="0.25">
      <c r="A46" s="8"/>
      <c r="B46" s="8"/>
      <c r="C46" s="8"/>
      <c r="D46" s="8"/>
      <c r="E46" s="8"/>
      <c r="F46" s="8"/>
      <c r="G46" s="160"/>
      <c r="H46" s="93" t="s">
        <v>194</v>
      </c>
      <c r="I46" s="94">
        <f t="shared" ref="I46:R46" si="2">SUM(I43:I45)</f>
        <v>2071</v>
      </c>
      <c r="J46" s="94">
        <f t="shared" si="2"/>
        <v>1861</v>
      </c>
      <c r="K46" s="94">
        <f t="shared" si="2"/>
        <v>1132</v>
      </c>
      <c r="L46" s="94">
        <f t="shared" si="2"/>
        <v>1432</v>
      </c>
      <c r="M46" s="94">
        <f t="shared" si="2"/>
        <v>1657</v>
      </c>
      <c r="N46" s="94">
        <f t="shared" si="2"/>
        <v>1210.7322979833032</v>
      </c>
      <c r="O46" s="94">
        <f t="shared" si="2"/>
        <v>1696.0918865617168</v>
      </c>
      <c r="P46" s="94">
        <f t="shared" si="2"/>
        <v>1993.213828629014</v>
      </c>
      <c r="Q46" s="94">
        <f t="shared" si="2"/>
        <v>2259.082054377619</v>
      </c>
      <c r="R46" s="94">
        <f t="shared" si="2"/>
        <v>2509.444278086924</v>
      </c>
      <c r="S46" s="166"/>
    </row>
    <row r="47" spans="1:23" ht="15.6" x14ac:dyDescent="0.25">
      <c r="A47" s="8" t="s">
        <v>97</v>
      </c>
      <c r="B47" s="8"/>
      <c r="C47" s="8"/>
      <c r="D47" s="8"/>
      <c r="E47" s="8"/>
      <c r="F47" s="8"/>
      <c r="G47" s="160"/>
      <c r="H47" s="93" t="s">
        <v>195</v>
      </c>
      <c r="I47" s="94">
        <f>Main!B33</f>
        <v>-575</v>
      </c>
      <c r="J47" s="97">
        <f>Main!C33</f>
        <v>-587</v>
      </c>
      <c r="K47" s="97">
        <f>Main!D33</f>
        <v>-351</v>
      </c>
      <c r="L47" s="97">
        <f>Main!E33</f>
        <v>-371</v>
      </c>
      <c r="M47" s="97">
        <f>Main!F33</f>
        <v>-414</v>
      </c>
      <c r="N47" s="94">
        <f>N65*AVERAGE(M85:N85)</f>
        <v>-522.41279999999995</v>
      </c>
      <c r="O47" s="94">
        <f>O65*AVERAGE(N85:O85)</f>
        <v>-564.20582400000012</v>
      </c>
      <c r="P47" s="94">
        <f>P65*AVERAGE(O85:P85)</f>
        <v>-609.3422899200001</v>
      </c>
      <c r="Q47" s="94">
        <f>Q65*AVERAGE(P85:Q85)</f>
        <v>-658.08967311360016</v>
      </c>
      <c r="R47" s="94">
        <f>R65*AVERAGE(Q85:R85)</f>
        <v>-710.73684696268833</v>
      </c>
      <c r="S47" s="166"/>
    </row>
    <row r="48" spans="1:23" ht="15.6" x14ac:dyDescent="0.25">
      <c r="A48" s="8" t="s">
        <v>96</v>
      </c>
      <c r="B48" s="13">
        <v>4.2699999999999996</v>
      </c>
      <c r="C48" s="13">
        <v>1.06</v>
      </c>
      <c r="D48" s="13">
        <v>3.34</v>
      </c>
      <c r="E48" s="13">
        <v>2.5299999999999998</v>
      </c>
      <c r="F48" s="13">
        <v>3.07</v>
      </c>
      <c r="G48" s="160"/>
      <c r="H48" s="93" t="s">
        <v>196</v>
      </c>
      <c r="I48" s="94">
        <f>Main!B32</f>
        <v>19</v>
      </c>
      <c r="J48" s="97">
        <f>Main!C32</f>
        <v>12</v>
      </c>
      <c r="K48" s="97">
        <f>Main!D32</f>
        <v>0</v>
      </c>
      <c r="L48" s="97">
        <f>Main!E32</f>
        <v>0</v>
      </c>
      <c r="M48" s="97">
        <f>Main!F32</f>
        <v>0</v>
      </c>
      <c r="N48" s="94">
        <f ca="1">N66*AVERAGE(M74:N74)</f>
        <v>0</v>
      </c>
      <c r="O48" s="94">
        <f ca="1">O66*AVERAGE(N74:O74)</f>
        <v>0</v>
      </c>
      <c r="P48" s="98">
        <f ca="1">P66*AVERAGE(O74:P74)</f>
        <v>0</v>
      </c>
      <c r="Q48" s="94">
        <f ca="1">Q66*AVERAGE(P74:Q74)</f>
        <v>0</v>
      </c>
      <c r="R48" s="94">
        <f ca="1">R66*AVERAGE(Q74:R74)</f>
        <v>0</v>
      </c>
      <c r="S48" s="166"/>
      <c r="T48" s="94"/>
      <c r="U48" s="98"/>
      <c r="V48" s="94"/>
      <c r="W48" s="94"/>
    </row>
    <row r="49" spans="1:23" ht="15.6" x14ac:dyDescent="0.25">
      <c r="A49" s="8" t="s">
        <v>95</v>
      </c>
      <c r="B49" s="13">
        <v>4.26</v>
      </c>
      <c r="C49" s="13">
        <v>1.05</v>
      </c>
      <c r="D49" s="13">
        <v>3.32</v>
      </c>
      <c r="E49" s="13">
        <v>2.5</v>
      </c>
      <c r="F49" s="13">
        <v>3.04</v>
      </c>
      <c r="G49" s="160"/>
      <c r="H49" s="86" t="s">
        <v>240</v>
      </c>
      <c r="I49" s="94">
        <f>SUM(I46:I48)+Main!B34+Main!B35+Main!B37+Main!B36</f>
        <v>1496</v>
      </c>
      <c r="J49" s="94">
        <f>SUM(J46:J48)+Main!C34+Main!C35+Main!C37+Main!C36</f>
        <v>1255</v>
      </c>
      <c r="K49" s="94">
        <f>SUM(K46:K48)+Main!D34+Main!D35+Main!D37+Main!D36</f>
        <v>753</v>
      </c>
      <c r="L49" s="94">
        <f>SUM(L46:L48)+Main!E34+Main!E35+Main!E37+Main!E36</f>
        <v>1078</v>
      </c>
      <c r="M49" s="94">
        <f>SUM(M46:M48)+Main!F34+Main!F35+Main!F37+Main!F36</f>
        <v>1244</v>
      </c>
      <c r="N49" s="97">
        <f ca="1">SUM(N46:N48)</f>
        <v>688.31949798330322</v>
      </c>
      <c r="O49" s="97">
        <f ca="1">SUM(O46:O48)</f>
        <v>1131.8860625617167</v>
      </c>
      <c r="P49" s="97">
        <f ca="1">SUM(P46:P48)</f>
        <v>1383.8715387090137</v>
      </c>
      <c r="Q49" s="97">
        <f ca="1">SUM(Q46:Q48)</f>
        <v>1600.9923812640188</v>
      </c>
      <c r="R49" s="97">
        <f ca="1">SUM(R46:R48)</f>
        <v>1798.7074311242357</v>
      </c>
      <c r="S49" s="166"/>
      <c r="T49" s="97"/>
      <c r="U49" s="97"/>
      <c r="V49" s="97"/>
      <c r="W49" s="97"/>
    </row>
    <row r="50" spans="1:23" ht="15.6" x14ac:dyDescent="0.25">
      <c r="A50" s="8"/>
      <c r="B50" s="8"/>
      <c r="C50" s="8"/>
      <c r="D50" s="8"/>
      <c r="E50" s="8"/>
      <c r="F50" s="8"/>
      <c r="G50" s="160"/>
      <c r="H50" s="88" t="s">
        <v>100</v>
      </c>
      <c r="I50" s="94">
        <f>Main!B41</f>
        <v>-80</v>
      </c>
      <c r="J50" s="97">
        <f>Main!C41</f>
        <v>-891</v>
      </c>
      <c r="K50" s="97">
        <f>Main!D41</f>
        <v>336</v>
      </c>
      <c r="L50" s="97">
        <f>Main!E41</f>
        <v>-309</v>
      </c>
      <c r="M50" s="97">
        <f>Main!F41</f>
        <v>-358</v>
      </c>
      <c r="N50" s="94">
        <f ca="1">'Dashboard Calculations'!B3*N49</f>
        <v>-197.69337185335556</v>
      </c>
      <c r="O50" s="94">
        <f ca="1">O68*O49</f>
        <v>-350.13008868575764</v>
      </c>
      <c r="P50" s="94">
        <f ca="1">P68*P49</f>
        <v>-456.61610237225409</v>
      </c>
      <c r="Q50" s="94">
        <f ca="1">Q68*Q49</f>
        <v>-563.4734193068598</v>
      </c>
      <c r="R50" s="94">
        <f ca="1">R68*R49</f>
        <v>-688.81294820885273</v>
      </c>
      <c r="S50" s="166"/>
      <c r="T50" s="94"/>
      <c r="U50" s="94"/>
      <c r="V50" s="94"/>
      <c r="W50" s="94"/>
    </row>
    <row r="51" spans="1:23" ht="15.6" x14ac:dyDescent="0.25">
      <c r="A51" s="8" t="s">
        <v>94</v>
      </c>
      <c r="B51" s="13">
        <v>0.42</v>
      </c>
      <c r="C51" s="13">
        <v>0.84</v>
      </c>
      <c r="D51" s="13">
        <v>0.6</v>
      </c>
      <c r="E51" s="13">
        <v>0.6</v>
      </c>
      <c r="F51" s="13">
        <v>0.6</v>
      </c>
      <c r="G51" s="160"/>
      <c r="H51" s="88" t="s">
        <v>239</v>
      </c>
      <c r="I51" s="94">
        <f t="shared" ref="I51:N51" si="3">SUM(I49:I50)</f>
        <v>1416</v>
      </c>
      <c r="J51" s="97">
        <f t="shared" si="3"/>
        <v>364</v>
      </c>
      <c r="K51" s="97">
        <f t="shared" si="3"/>
        <v>1089</v>
      </c>
      <c r="L51" s="97">
        <f t="shared" si="3"/>
        <v>769</v>
      </c>
      <c r="M51" s="97">
        <f t="shared" si="3"/>
        <v>886</v>
      </c>
      <c r="N51" s="94">
        <f t="shared" ca="1" si="3"/>
        <v>490.62612612994769</v>
      </c>
      <c r="O51" s="94">
        <f t="shared" ref="O51" ca="1" si="4">SUM(O49:O50)</f>
        <v>781.75597387595906</v>
      </c>
      <c r="P51" s="94">
        <f t="shared" ref="P51" ca="1" si="5">SUM(P49:P50)</f>
        <v>927.25543633675966</v>
      </c>
      <c r="Q51" s="94">
        <f t="shared" ref="Q51" ca="1" si="6">SUM(Q49:Q50)</f>
        <v>1037.518961957159</v>
      </c>
      <c r="R51" s="94">
        <f t="shared" ref="R51" ca="1" si="7">SUM(R49:R50)</f>
        <v>1109.8944829153829</v>
      </c>
      <c r="S51" s="166"/>
      <c r="T51" s="94"/>
      <c r="U51" s="94"/>
      <c r="V51" s="94"/>
      <c r="W51" s="94"/>
    </row>
    <row r="52" spans="1:23" ht="15.6" x14ac:dyDescent="0.25">
      <c r="A52" s="8"/>
      <c r="B52" s="13"/>
      <c r="C52" s="13"/>
      <c r="D52" s="13"/>
      <c r="E52" s="13"/>
      <c r="F52" s="13"/>
      <c r="G52" s="160"/>
      <c r="H52" s="88" t="s">
        <v>134</v>
      </c>
      <c r="I52" s="94">
        <f>-I54*Main!B51</f>
        <v>-138.09836065573771</v>
      </c>
      <c r="J52" s="97">
        <f>-J54*Main!C51</f>
        <v>-275.77358490566036</v>
      </c>
      <c r="K52" s="97">
        <f>-K54*Main!D51</f>
        <v>-194.73053892215572</v>
      </c>
      <c r="L52" s="97">
        <f>-L54*Main!E51</f>
        <v>-181.18577075098815</v>
      </c>
      <c r="M52" s="97">
        <f>-M54*Main!F51</f>
        <v>-172.18241042345278</v>
      </c>
      <c r="N52" s="94">
        <f ca="1">N51*N69</f>
        <v>-99.558657136046378</v>
      </c>
      <c r="O52" s="94">
        <f ca="1">O51*O69</f>
        <v>-158.63520269721297</v>
      </c>
      <c r="P52" s="94">
        <f ca="1">P51*P69</f>
        <v>-188.16019194080903</v>
      </c>
      <c r="Q52" s="94">
        <f ca="1">Q51*Q69</f>
        <v>-210.53504716599824</v>
      </c>
      <c r="R52" s="94">
        <f ca="1">R51*R69</f>
        <v>-225.22160642642797</v>
      </c>
      <c r="S52" s="166"/>
      <c r="T52" s="94"/>
      <c r="U52" s="94"/>
      <c r="V52" s="94"/>
      <c r="W52" s="94"/>
    </row>
    <row r="53" spans="1:23" ht="16.2" thickBot="1" x14ac:dyDescent="0.3">
      <c r="A53" s="8" t="s">
        <v>200</v>
      </c>
      <c r="B53" s="37">
        <f>B45/B48</f>
        <v>328.80562060889935</v>
      </c>
      <c r="C53" s="37">
        <f>C45/C48</f>
        <v>328.30188679245282</v>
      </c>
      <c r="D53" s="37">
        <f>D45/D48</f>
        <v>324.55089820359285</v>
      </c>
      <c r="E53" s="37">
        <f>E45/E48</f>
        <v>301.97628458498025</v>
      </c>
      <c r="F53" s="37">
        <f>F45/F48</f>
        <v>286.97068403908798</v>
      </c>
      <c r="G53" s="160"/>
      <c r="H53" s="233" t="s">
        <v>135</v>
      </c>
      <c r="I53" s="234">
        <f t="shared" ref="I53:N53" si="8">SUM(I51:I52)</f>
        <v>1277.9016393442623</v>
      </c>
      <c r="J53" s="235">
        <f t="shared" si="8"/>
        <v>88.226415094339643</v>
      </c>
      <c r="K53" s="235">
        <f t="shared" si="8"/>
        <v>894.26946107784431</v>
      </c>
      <c r="L53" s="235">
        <f t="shared" si="8"/>
        <v>587.81422924901187</v>
      </c>
      <c r="M53" s="235">
        <f t="shared" si="8"/>
        <v>713.81758957654722</v>
      </c>
      <c r="N53" s="234">
        <f t="shared" ca="1" si="8"/>
        <v>391.06746899390134</v>
      </c>
      <c r="O53" s="234">
        <f t="shared" ref="O53" ca="1" si="9">SUM(O51:O52)</f>
        <v>623.12077117874605</v>
      </c>
      <c r="P53" s="234">
        <f t="shared" ref="P53" ca="1" si="10">SUM(P51:P52)</f>
        <v>739.09524439595066</v>
      </c>
      <c r="Q53" s="234">
        <f t="shared" ref="Q53" ca="1" si="11">SUM(Q51:Q52)</f>
        <v>826.98391479116083</v>
      </c>
      <c r="R53" s="236">
        <f t="shared" ref="R53" ca="1" si="12">SUM(R51:R52)</f>
        <v>884.6728764889549</v>
      </c>
      <c r="S53" s="166"/>
      <c r="T53" s="99"/>
      <c r="U53" s="99"/>
      <c r="V53" s="99"/>
      <c r="W53" s="99"/>
    </row>
    <row r="54" spans="1:23" ht="16.2" thickTop="1" x14ac:dyDescent="0.25">
      <c r="A54" s="8" t="s">
        <v>201</v>
      </c>
      <c r="B54" s="37">
        <f>B45/B49</f>
        <v>329.57746478873241</v>
      </c>
      <c r="C54" s="37">
        <f>C45/C49</f>
        <v>331.42857142857139</v>
      </c>
      <c r="D54" s="37">
        <f>D45/D49</f>
        <v>326.50602409638554</v>
      </c>
      <c r="E54" s="37">
        <f>E45/E49</f>
        <v>305.60000000000002</v>
      </c>
      <c r="F54" s="37">
        <f>F45/F49</f>
        <v>289.80263157894734</v>
      </c>
      <c r="G54" s="160"/>
      <c r="H54" s="90" t="s">
        <v>241</v>
      </c>
      <c r="I54" s="100">
        <f>Main!B53</f>
        <v>328.80562060889935</v>
      </c>
      <c r="J54" s="101">
        <f>Main!C53</f>
        <v>328.30188679245282</v>
      </c>
      <c r="K54" s="101">
        <f>Main!D53</f>
        <v>324.55089820359285</v>
      </c>
      <c r="L54" s="101">
        <f>Main!E53</f>
        <v>301.97628458498025</v>
      </c>
      <c r="M54" s="101">
        <f>Main!F53</f>
        <v>286.97068403908798</v>
      </c>
      <c r="N54" s="100">
        <f>(1+N70)*M54</f>
        <v>277.48592818568187</v>
      </c>
      <c r="O54" s="100">
        <f>(1+O70)*N54</f>
        <v>268.31465589907265</v>
      </c>
      <c r="P54" s="100">
        <f>(1+P70)*O54</f>
        <v>259.44650613800945</v>
      </c>
      <c r="Q54" s="100">
        <f>(1+Q70)*P54</f>
        <v>250.87146030718489</v>
      </c>
      <c r="R54" s="100">
        <f>(1+R70)*Q54</f>
        <v>242.57983093894944</v>
      </c>
      <c r="S54" s="166"/>
    </row>
    <row r="55" spans="1:23" ht="15.6" x14ac:dyDescent="0.25">
      <c r="A55" s="20" t="s">
        <v>50</v>
      </c>
      <c r="B55" s="21"/>
      <c r="C55" s="22"/>
      <c r="D55" s="21"/>
      <c r="E55" s="21"/>
      <c r="F55" s="21"/>
      <c r="G55" s="160"/>
      <c r="H55" s="102" t="s">
        <v>242</v>
      </c>
      <c r="I55" s="91">
        <f>Main!B54</f>
        <v>329.57746478873241</v>
      </c>
      <c r="J55" s="103">
        <f>Main!C54</f>
        <v>331.42857142857139</v>
      </c>
      <c r="K55" s="103">
        <f>Main!D54</f>
        <v>326.50602409638554</v>
      </c>
      <c r="L55" s="103">
        <f>Main!E54</f>
        <v>305.60000000000002</v>
      </c>
      <c r="M55" s="103">
        <f>Main!F54</f>
        <v>289.80263157894734</v>
      </c>
      <c r="N55" s="103">
        <f>M55*(1+N70)</f>
        <v>280.22427616119842</v>
      </c>
      <c r="O55" s="103">
        <f>N55*(1+O70)</f>
        <v>270.96249789807661</v>
      </c>
      <c r="P55" s="103">
        <f>O55*(1+P70)</f>
        <v>262.00683350121346</v>
      </c>
      <c r="Q55" s="103">
        <f>P55*(1+Q70)</f>
        <v>253.34716550758472</v>
      </c>
      <c r="R55" s="103">
        <f>Q55*(1+R70)</f>
        <v>244.97371084953116</v>
      </c>
      <c r="S55" s="166"/>
    </row>
    <row r="56" spans="1:23" ht="16.2" thickBot="1" x14ac:dyDescent="0.3">
      <c r="A56" s="20" t="s">
        <v>123</v>
      </c>
      <c r="B56" s="22">
        <v>2015</v>
      </c>
      <c r="C56" s="22">
        <v>2016</v>
      </c>
      <c r="D56" s="22">
        <v>2017</v>
      </c>
      <c r="E56" s="22">
        <v>2018</v>
      </c>
      <c r="F56" s="22">
        <v>2019</v>
      </c>
      <c r="G56" s="160"/>
      <c r="H56" s="237" t="s">
        <v>238</v>
      </c>
      <c r="I56" s="238">
        <f t="shared" ref="I56:R56" si="13">I53-I44</f>
        <v>1969.9016393442623</v>
      </c>
      <c r="J56" s="238">
        <f t="shared" si="13"/>
        <v>774.2264150943397</v>
      </c>
      <c r="K56" s="238">
        <f t="shared" si="13"/>
        <v>1230.2694610778444</v>
      </c>
      <c r="L56" s="238">
        <f t="shared" si="13"/>
        <v>912.81422924901187</v>
      </c>
      <c r="M56" s="238">
        <f t="shared" si="13"/>
        <v>1059.8175895765471</v>
      </c>
      <c r="N56" s="238">
        <f t="shared" ca="1" si="13"/>
        <v>752.40550672547852</v>
      </c>
      <c r="O56" s="238">
        <f t="shared" ca="1" si="13"/>
        <v>1008.8221881134918</v>
      </c>
      <c r="P56" s="238">
        <f t="shared" ca="1" si="13"/>
        <v>964.21926495566515</v>
      </c>
      <c r="Q56" s="238">
        <f t="shared" ca="1" si="13"/>
        <v>947.98948334222837</v>
      </c>
      <c r="R56" s="239">
        <f t="shared" ca="1" si="13"/>
        <v>949.84019856817338</v>
      </c>
      <c r="S56" s="166"/>
    </row>
    <row r="57" spans="1:23" ht="16.8" thickTop="1" thickBot="1" x14ac:dyDescent="0.3">
      <c r="A57" s="23" t="s">
        <v>49</v>
      </c>
      <c r="B57" s="21"/>
      <c r="C57" s="21"/>
      <c r="D57" s="21"/>
      <c r="E57" s="21"/>
      <c r="F57" s="24"/>
      <c r="G57" s="160"/>
      <c r="H57" s="104"/>
      <c r="I57" s="104"/>
      <c r="J57" s="104"/>
      <c r="K57" s="105"/>
      <c r="L57" s="105"/>
      <c r="M57" s="105"/>
      <c r="N57" s="105"/>
      <c r="O57" s="105"/>
      <c r="P57" s="105"/>
      <c r="Q57" s="105"/>
      <c r="R57" s="105"/>
      <c r="S57" s="166"/>
    </row>
    <row r="58" spans="1:23" ht="16.2" thickTop="1" x14ac:dyDescent="0.25">
      <c r="A58" s="23" t="s">
        <v>48</v>
      </c>
      <c r="B58" s="21"/>
      <c r="C58" s="21"/>
      <c r="D58" s="21"/>
      <c r="E58" s="21"/>
      <c r="F58" s="21"/>
      <c r="G58" s="160"/>
      <c r="H58" s="106" t="s">
        <v>220</v>
      </c>
      <c r="I58" s="88"/>
      <c r="J58" s="107">
        <f t="shared" ref="J58:M60" si="14">J35/I35-1</f>
        <v>6.2460961898813228E-2</v>
      </c>
      <c r="K58" s="107">
        <f t="shared" si="14"/>
        <v>-0.2233980011757789</v>
      </c>
      <c r="L58" s="107">
        <f t="shared" si="14"/>
        <v>0.15821347464042401</v>
      </c>
      <c r="M58" s="107">
        <f t="shared" si="14"/>
        <v>9.8692810457516433E-2</v>
      </c>
      <c r="N58" s="181">
        <v>0.12</v>
      </c>
      <c r="O58" s="181">
        <f>N58*0.95</f>
        <v>0.11399999999999999</v>
      </c>
      <c r="P58" s="181">
        <f>O58*0.95</f>
        <v>0.10829999999999998</v>
      </c>
      <c r="Q58" s="181">
        <f>P58*0.95</f>
        <v>0.10288499999999998</v>
      </c>
      <c r="R58" s="181">
        <f>Q58*0.95</f>
        <v>9.7740749999999973E-2</v>
      </c>
      <c r="S58" s="166"/>
    </row>
    <row r="59" spans="1:23" ht="15.6" x14ac:dyDescent="0.25">
      <c r="A59" s="23" t="s">
        <v>47</v>
      </c>
      <c r="B59" s="21"/>
      <c r="C59" s="21"/>
      <c r="D59" s="21"/>
      <c r="E59" s="21"/>
      <c r="F59" s="21"/>
      <c r="G59" s="160"/>
      <c r="H59" s="106" t="s">
        <v>219</v>
      </c>
      <c r="I59" s="88"/>
      <c r="J59" s="107">
        <f t="shared" si="14"/>
        <v>-2.5277580911882813E-2</v>
      </c>
      <c r="K59" s="107">
        <f t="shared" si="14"/>
        <v>-0.65293262239457106</v>
      </c>
      <c r="L59" s="107">
        <f t="shared" si="14"/>
        <v>3.6312849162011274E-2</v>
      </c>
      <c r="M59" s="107">
        <f t="shared" si="14"/>
        <v>-4.1778975741239899E-2</v>
      </c>
      <c r="N59" s="181">
        <v>0.03</v>
      </c>
      <c r="O59" s="181">
        <f>N59</f>
        <v>0.03</v>
      </c>
      <c r="P59" s="181">
        <f>O59</f>
        <v>0.03</v>
      </c>
      <c r="Q59" s="181">
        <f>P59</f>
        <v>0.03</v>
      </c>
      <c r="R59" s="181">
        <f>Q59</f>
        <v>0.03</v>
      </c>
      <c r="S59" s="166"/>
    </row>
    <row r="60" spans="1:23" ht="15.6" x14ac:dyDescent="0.25">
      <c r="A60" s="23" t="s">
        <v>46</v>
      </c>
      <c r="B60" s="25">
        <v>609</v>
      </c>
      <c r="C60" s="25">
        <v>1062</v>
      </c>
      <c r="D60" s="25">
        <v>570</v>
      </c>
      <c r="E60" s="25">
        <v>403</v>
      </c>
      <c r="F60" s="25">
        <v>538</v>
      </c>
      <c r="G60" s="160"/>
      <c r="H60" s="93" t="s">
        <v>218</v>
      </c>
      <c r="I60" s="86"/>
      <c r="J60" s="107">
        <f t="shared" si="14"/>
        <v>7.3188672305994906E-2</v>
      </c>
      <c r="K60" s="107">
        <f t="shared" si="14"/>
        <v>-7.8478409869773835E-2</v>
      </c>
      <c r="L60" s="107">
        <f t="shared" si="14"/>
        <v>9.5574563034585447E-2</v>
      </c>
      <c r="M60" s="107">
        <f t="shared" si="14"/>
        <v>7.7562797012898921E-2</v>
      </c>
      <c r="N60" s="181">
        <f>AVERAGE(J60:M60)</f>
        <v>4.196190562092636E-2</v>
      </c>
      <c r="O60" s="181">
        <f>N60*(1.2)</f>
        <v>5.035428674511163E-2</v>
      </c>
      <c r="P60" s="181">
        <f>O60*(1.2)</f>
        <v>6.0425144094133951E-2</v>
      </c>
      <c r="Q60" s="181">
        <f>P60*(1.2)</f>
        <v>7.2510172912960733E-2</v>
      </c>
      <c r="R60" s="181">
        <f>Q60*(1.2)</f>
        <v>8.7012207495552871E-2</v>
      </c>
      <c r="S60" s="166"/>
    </row>
    <row r="61" spans="1:23" ht="15.6" x14ac:dyDescent="0.25">
      <c r="A61" s="23" t="s">
        <v>45</v>
      </c>
      <c r="B61" s="26">
        <v>247</v>
      </c>
      <c r="C61" s="26">
        <v>121</v>
      </c>
      <c r="D61" s="26">
        <v>100</v>
      </c>
      <c r="E61" s="26">
        <v>81</v>
      </c>
      <c r="F61" s="26">
        <v>92</v>
      </c>
      <c r="G61" s="160"/>
      <c r="H61" s="106" t="s">
        <v>224</v>
      </c>
      <c r="I61" s="88"/>
      <c r="J61" s="107">
        <f>J39/J38</f>
        <v>-0.26579782217268283</v>
      </c>
      <c r="K61" s="107">
        <f>K39/K38</f>
        <v>-0.15606936416184972</v>
      </c>
      <c r="L61" s="107">
        <f>L39/L38</f>
        <v>-0.14956209297103076</v>
      </c>
      <c r="M61" s="107">
        <f>M39/M38</f>
        <v>-0.13267033432077868</v>
      </c>
      <c r="N61" s="181">
        <f>AVERAGE(K61:M61)</f>
        <v>-0.14610059715121973</v>
      </c>
      <c r="O61" s="181">
        <f>N61</f>
        <v>-0.14610059715121973</v>
      </c>
      <c r="P61" s="181">
        <f>O61</f>
        <v>-0.14610059715121973</v>
      </c>
      <c r="Q61" s="181">
        <f>P61</f>
        <v>-0.14610059715121973</v>
      </c>
      <c r="R61" s="181">
        <f>Q61</f>
        <v>-0.14610059715121973</v>
      </c>
      <c r="S61" s="166"/>
    </row>
    <row r="62" spans="1:23" ht="15.6" x14ac:dyDescent="0.25">
      <c r="A62" s="22" t="s">
        <v>44</v>
      </c>
      <c r="B62" s="26">
        <v>876</v>
      </c>
      <c r="C62" s="26">
        <v>755</v>
      </c>
      <c r="D62" s="26">
        <v>998</v>
      </c>
      <c r="E62" s="26">
        <v>1150</v>
      </c>
      <c r="F62" s="26">
        <v>1261</v>
      </c>
      <c r="G62" s="160"/>
      <c r="H62" s="106" t="s">
        <v>225</v>
      </c>
      <c r="I62" s="88"/>
      <c r="J62" s="107">
        <f>J40/J38</f>
        <v>-0.38120552173540256</v>
      </c>
      <c r="K62" s="107">
        <f>K40/K38</f>
        <v>-0.60250891649243632</v>
      </c>
      <c r="L62" s="107">
        <f>L40/L38</f>
        <v>-0.59768695261621374</v>
      </c>
      <c r="M62" s="107">
        <f>M40/M38</f>
        <v>-0.60971223021582732</v>
      </c>
      <c r="N62" s="181">
        <v>-0.6</v>
      </c>
      <c r="O62" s="181">
        <v>-0.6</v>
      </c>
      <c r="P62" s="181">
        <v>-0.6</v>
      </c>
      <c r="Q62" s="181">
        <v>-0.6</v>
      </c>
      <c r="R62" s="181">
        <v>-0.6</v>
      </c>
      <c r="S62" s="166"/>
    </row>
    <row r="63" spans="1:23" ht="15.6" x14ac:dyDescent="0.25">
      <c r="A63" s="22" t="s">
        <v>43</v>
      </c>
      <c r="B63" s="26">
        <v>442</v>
      </c>
      <c r="C63" s="27">
        <v>0</v>
      </c>
      <c r="D63" s="27">
        <v>0</v>
      </c>
      <c r="E63" s="27">
        <v>0</v>
      </c>
      <c r="F63" s="27">
        <v>0</v>
      </c>
      <c r="G63" s="160"/>
      <c r="H63" s="106" t="s">
        <v>226</v>
      </c>
      <c r="I63" s="88"/>
      <c r="J63" s="107">
        <f>J41/J38</f>
        <v>-8.2568807339449546E-2</v>
      </c>
      <c r="K63" s="107">
        <f>K41/K38</f>
        <v>-6.8872217439429348E-3</v>
      </c>
      <c r="L63" s="107">
        <f>L41/L38</f>
        <v>-5.7264765326746018E-3</v>
      </c>
      <c r="M63" s="107">
        <f>M41/M38</f>
        <v>-7.6174354633939904E-3</v>
      </c>
      <c r="N63" s="181">
        <v>-0.01</v>
      </c>
      <c r="O63" s="181">
        <f>N63</f>
        <v>-0.01</v>
      </c>
      <c r="P63" s="181">
        <f t="shared" ref="P63:R63" si="15">O63</f>
        <v>-0.01</v>
      </c>
      <c r="Q63" s="181">
        <f t="shared" si="15"/>
        <v>-0.01</v>
      </c>
      <c r="R63" s="181">
        <f t="shared" si="15"/>
        <v>-0.01</v>
      </c>
      <c r="S63" s="166"/>
    </row>
    <row r="64" spans="1:23" ht="15.6" x14ac:dyDescent="0.25">
      <c r="A64" s="23"/>
      <c r="B64" s="28"/>
      <c r="C64" s="28"/>
      <c r="D64" s="26"/>
      <c r="E64" s="26"/>
      <c r="F64" s="26"/>
      <c r="G64" s="160"/>
      <c r="H64" s="93" t="s">
        <v>217</v>
      </c>
      <c r="I64" s="86"/>
      <c r="J64" s="107">
        <f>J45/J38</f>
        <v>-5.2816599502700852E-2</v>
      </c>
      <c r="K64" s="107">
        <f>K45/K38</f>
        <v>-5.399089902840979E-2</v>
      </c>
      <c r="L64" s="107">
        <f>L45/L38</f>
        <v>-4.9741747136761737E-2</v>
      </c>
      <c r="M64" s="107">
        <f>M45/M38</f>
        <v>-4.6656792213288195E-2</v>
      </c>
      <c r="N64" s="181">
        <f>M64</f>
        <v>-4.6656792213288195E-2</v>
      </c>
      <c r="O64" s="181">
        <f>N64</f>
        <v>-4.6656792213288195E-2</v>
      </c>
      <c r="P64" s="181">
        <f t="shared" ref="P64:R66" si="16">O64</f>
        <v>-4.6656792213288195E-2</v>
      </c>
      <c r="Q64" s="181">
        <f t="shared" si="16"/>
        <v>-4.6656792213288195E-2</v>
      </c>
      <c r="R64" s="181">
        <f t="shared" si="16"/>
        <v>-4.6656792213288195E-2</v>
      </c>
      <c r="S64" s="166"/>
    </row>
    <row r="65" spans="1:19" ht="15.6" x14ac:dyDescent="0.25">
      <c r="A65" s="23" t="s">
        <v>42</v>
      </c>
      <c r="B65" s="27">
        <v>129</v>
      </c>
      <c r="C65" s="27">
        <v>0</v>
      </c>
      <c r="D65" s="27">
        <v>0</v>
      </c>
      <c r="E65" s="27">
        <v>0</v>
      </c>
      <c r="F65" s="27">
        <v>0</v>
      </c>
      <c r="G65" s="160"/>
      <c r="H65" s="93" t="s">
        <v>139</v>
      </c>
      <c r="I65" s="86"/>
      <c r="J65" s="107">
        <f>J47/AVERAGE(I85:J85)</f>
        <v>-3.3633186271701143E-2</v>
      </c>
      <c r="K65" s="107">
        <f>K47/AVERAGE(J85:K85)</f>
        <v>-2.5340215861098078E-2</v>
      </c>
      <c r="L65" s="107">
        <f>L47/AVERAGE(K85:L85)</f>
        <v>-3.5592651220799153E-2</v>
      </c>
      <c r="M65" s="107">
        <f>M47/AVERAGE(L85:M85)</f>
        <v>-3.5414884516680921E-2</v>
      </c>
      <c r="N65" s="181">
        <v>-0.04</v>
      </c>
      <c r="O65" s="181">
        <f>N65</f>
        <v>-0.04</v>
      </c>
      <c r="P65" s="181">
        <f t="shared" si="16"/>
        <v>-0.04</v>
      </c>
      <c r="Q65" s="181">
        <f t="shared" si="16"/>
        <v>-0.04</v>
      </c>
      <c r="R65" s="181">
        <f t="shared" si="16"/>
        <v>-0.04</v>
      </c>
      <c r="S65" s="166"/>
    </row>
    <row r="66" spans="1:19" ht="15.6" x14ac:dyDescent="0.25">
      <c r="A66" s="23" t="s">
        <v>41</v>
      </c>
      <c r="B66" s="26">
        <v>147</v>
      </c>
      <c r="C66" s="26">
        <v>89</v>
      </c>
      <c r="D66" s="26">
        <v>111</v>
      </c>
      <c r="E66" s="26">
        <v>160</v>
      </c>
      <c r="F66" s="26">
        <v>130</v>
      </c>
      <c r="G66" s="160"/>
      <c r="H66" s="86" t="s">
        <v>140</v>
      </c>
      <c r="I66" s="86"/>
      <c r="J66" s="107">
        <f>J48/AVERAGE(I74:J74)</f>
        <v>9.4488188976377951E-3</v>
      </c>
      <c r="K66" s="107">
        <f>K48/AVERAGE(J74:K74)</f>
        <v>0</v>
      </c>
      <c r="L66" s="107">
        <f>L48/AVERAGE(K74:L74)</f>
        <v>0</v>
      </c>
      <c r="M66" s="107">
        <f>M48/AVERAGE(L74:M74)</f>
        <v>0</v>
      </c>
      <c r="N66" s="181">
        <f>M66</f>
        <v>0</v>
      </c>
      <c r="O66" s="181">
        <f>N66</f>
        <v>0</v>
      </c>
      <c r="P66" s="181">
        <f t="shared" si="16"/>
        <v>0</v>
      </c>
      <c r="Q66" s="181">
        <f t="shared" si="16"/>
        <v>0</v>
      </c>
      <c r="R66" s="181">
        <f t="shared" si="16"/>
        <v>0</v>
      </c>
      <c r="S66" s="166"/>
    </row>
    <row r="67" spans="1:19" ht="15.6" x14ac:dyDescent="0.25">
      <c r="A67" s="23" t="s">
        <v>40</v>
      </c>
      <c r="B67" s="26">
        <v>97</v>
      </c>
      <c r="C67" s="26">
        <v>13</v>
      </c>
      <c r="D67" s="26">
        <v>36</v>
      </c>
      <c r="E67" s="27">
        <v>0</v>
      </c>
      <c r="F67" s="27">
        <v>0</v>
      </c>
      <c r="G67" s="160"/>
      <c r="H67" s="86" t="s">
        <v>141</v>
      </c>
      <c r="I67" s="86"/>
      <c r="J67" s="107">
        <f>J44/AVERAGE(I81:J81)</f>
        <v>-3.0027795408286095E-2</v>
      </c>
      <c r="K67" s="107">
        <f>K44/AVERAGE(J81:K81)</f>
        <v>-1.9213174748398901E-2</v>
      </c>
      <c r="L67" s="107">
        <f>L44/AVERAGE(K81:L81)</f>
        <v>-2.6711596942549518E-2</v>
      </c>
      <c r="M67" s="107">
        <f>M44/AVERAGE(L81:M81)</f>
        <v>-2.7817977166747065E-2</v>
      </c>
      <c r="N67" s="181">
        <v>-0.03</v>
      </c>
      <c r="O67" s="181">
        <f>N67</f>
        <v>-0.03</v>
      </c>
      <c r="P67" s="181">
        <f>O67*0.5</f>
        <v>-1.4999999999999999E-2</v>
      </c>
      <c r="Q67" s="181">
        <f>P67*0.5</f>
        <v>-7.4999999999999997E-3</v>
      </c>
      <c r="R67" s="182">
        <f>Q67*0.5</f>
        <v>-3.7499999999999999E-3</v>
      </c>
      <c r="S67" s="166"/>
    </row>
    <row r="68" spans="1:19" ht="15.6" x14ac:dyDescent="0.25">
      <c r="A68" s="23" t="s">
        <v>10</v>
      </c>
      <c r="B68" s="26">
        <v>38</v>
      </c>
      <c r="C68" s="26">
        <v>39</v>
      </c>
      <c r="D68" s="26">
        <v>171</v>
      </c>
      <c r="E68" s="26">
        <v>189</v>
      </c>
      <c r="F68" s="26">
        <v>72</v>
      </c>
      <c r="G68" s="160"/>
      <c r="H68" s="86" t="s">
        <v>209</v>
      </c>
      <c r="I68" s="86"/>
      <c r="J68" s="172">
        <f>-ABS(J50/J49)</f>
        <v>-0.70996015936254975</v>
      </c>
      <c r="K68" s="172">
        <f>-ABS(K50/K49)</f>
        <v>-0.44621513944223107</v>
      </c>
      <c r="L68" s="172">
        <f>-ABS(L50/L49)</f>
        <v>-0.28664192949907236</v>
      </c>
      <c r="M68" s="172">
        <f>-ABS(M50/M49)</f>
        <v>-0.28778135048231512</v>
      </c>
      <c r="N68" s="183">
        <f>INDEX('Dashboard Calculations'!B3:B5,'Dashboard Calculations'!$I$3)</f>
        <v>-0.28999999999999998</v>
      </c>
      <c r="O68" s="183">
        <f>INDEX('Dashboard Calculations'!C3:C5,'Dashboard Calculations'!$I$3)</f>
        <v>-0.30933333333333329</v>
      </c>
      <c r="P68" s="183">
        <f>INDEX('Dashboard Calculations'!D3:D5,'Dashboard Calculations'!$I$3)</f>
        <v>-0.3299555555555555</v>
      </c>
      <c r="Q68" s="183">
        <f>INDEX('Dashboard Calculations'!E3:E5,'Dashboard Calculations'!$I$3)</f>
        <v>-0.35195259259259254</v>
      </c>
      <c r="R68" s="183">
        <f>INDEX('Dashboard Calculations'!F3:F5,'Dashboard Calculations'!$I$3)</f>
        <v>-0.38294885332092499</v>
      </c>
      <c r="S68" s="166"/>
    </row>
    <row r="69" spans="1:19" ht="15.6" x14ac:dyDescent="0.25">
      <c r="A69" s="23" t="s">
        <v>39</v>
      </c>
      <c r="B69" s="27">
        <v>0</v>
      </c>
      <c r="C69" s="26">
        <v>1478</v>
      </c>
      <c r="D69" s="27">
        <v>0</v>
      </c>
      <c r="E69" s="27">
        <v>0</v>
      </c>
      <c r="F69" s="27">
        <v>0</v>
      </c>
      <c r="G69" s="160"/>
      <c r="H69" s="88" t="s">
        <v>142</v>
      </c>
      <c r="I69" s="86"/>
      <c r="J69" s="107">
        <f>J52/J51</f>
        <v>-0.75761973875181421</v>
      </c>
      <c r="K69" s="107">
        <f>K52/K51</f>
        <v>-0.17881592187525777</v>
      </c>
      <c r="L69" s="107">
        <f>L52/L51</f>
        <v>-0.2356121856319742</v>
      </c>
      <c r="M69" s="107">
        <f>M52/M51</f>
        <v>-0.19433680634701217</v>
      </c>
      <c r="N69" s="181">
        <f>AVERAGE(K69:M69)</f>
        <v>-0.20292163795141471</v>
      </c>
      <c r="O69" s="181">
        <f t="shared" ref="O69:R70" si="17">N69</f>
        <v>-0.20292163795141471</v>
      </c>
      <c r="P69" s="181">
        <f t="shared" si="17"/>
        <v>-0.20292163795141471</v>
      </c>
      <c r="Q69" s="181">
        <f t="shared" si="17"/>
        <v>-0.20292163795141471</v>
      </c>
      <c r="R69" s="181">
        <f t="shared" si="17"/>
        <v>-0.20292163795141471</v>
      </c>
      <c r="S69" s="166"/>
    </row>
    <row r="70" spans="1:19" ht="15.6" x14ac:dyDescent="0.25">
      <c r="A70" s="22" t="s">
        <v>38</v>
      </c>
      <c r="B70" s="25">
        <v>2585</v>
      </c>
      <c r="C70" s="25">
        <v>3557</v>
      </c>
      <c r="D70" s="25">
        <v>1986</v>
      </c>
      <c r="E70" s="25">
        <v>1983</v>
      </c>
      <c r="F70" s="25">
        <v>2093</v>
      </c>
      <c r="G70" s="160"/>
      <c r="H70" s="88" t="s">
        <v>143</v>
      </c>
      <c r="I70" s="86"/>
      <c r="J70" s="108">
        <f>J54/I54-1</f>
        <v>-1.5320109659734404E-3</v>
      </c>
      <c r="K70" s="108">
        <f>K54/J54-1</f>
        <v>-1.1425425012044688E-2</v>
      </c>
      <c r="L70" s="108">
        <f>L54/K54-1</f>
        <v>-6.9556466315651377E-2</v>
      </c>
      <c r="M70" s="108">
        <f>M54/L54-1</f>
        <v>-4.9691321179459957E-2</v>
      </c>
      <c r="N70" s="184">
        <f>AVERAGE(J70:M70)</f>
        <v>-3.3051305868282366E-2</v>
      </c>
      <c r="O70" s="184">
        <f t="shared" si="17"/>
        <v>-3.3051305868282366E-2</v>
      </c>
      <c r="P70" s="184">
        <f t="shared" si="17"/>
        <v>-3.3051305868282366E-2</v>
      </c>
      <c r="Q70" s="184">
        <f t="shared" si="17"/>
        <v>-3.3051305868282366E-2</v>
      </c>
      <c r="R70" s="184">
        <f t="shared" si="17"/>
        <v>-3.3051305868282366E-2</v>
      </c>
      <c r="S70" s="166"/>
    </row>
    <row r="71" spans="1:19" ht="15.6" x14ac:dyDescent="0.25">
      <c r="A71" s="23"/>
      <c r="B71" s="21"/>
      <c r="C71" s="21"/>
      <c r="D71" s="21"/>
      <c r="E71" s="21"/>
      <c r="F71" s="21"/>
      <c r="G71" s="160"/>
      <c r="H71" s="109"/>
      <c r="I71" s="109"/>
      <c r="J71" s="109"/>
      <c r="K71" s="109"/>
      <c r="L71" s="109"/>
      <c r="M71" s="109"/>
      <c r="N71" s="175"/>
      <c r="O71" s="109"/>
      <c r="P71" s="109"/>
      <c r="Q71" s="109"/>
      <c r="R71" s="109"/>
      <c r="S71" s="166"/>
    </row>
    <row r="72" spans="1:19" ht="16.2" thickBot="1" x14ac:dyDescent="0.3">
      <c r="A72" s="23" t="s">
        <v>37</v>
      </c>
      <c r="B72" s="21"/>
      <c r="C72" s="21"/>
      <c r="D72" s="21"/>
      <c r="E72" s="21"/>
      <c r="F72" s="21"/>
      <c r="G72" s="160"/>
      <c r="H72" s="230" t="s">
        <v>206</v>
      </c>
      <c r="I72" s="231">
        <v>2015</v>
      </c>
      <c r="J72" s="231">
        <v>2016</v>
      </c>
      <c r="K72" s="231">
        <v>2017</v>
      </c>
      <c r="L72" s="231">
        <v>2018</v>
      </c>
      <c r="M72" s="231">
        <v>2019</v>
      </c>
      <c r="N72" s="231">
        <v>2020</v>
      </c>
      <c r="O72" s="231">
        <v>2021</v>
      </c>
      <c r="P72" s="231">
        <v>2022</v>
      </c>
      <c r="Q72" s="231">
        <v>2023</v>
      </c>
      <c r="R72" s="232">
        <v>2024</v>
      </c>
      <c r="S72" s="166"/>
    </row>
    <row r="73" spans="1:19" ht="16.2" thickTop="1" x14ac:dyDescent="0.25">
      <c r="A73" s="23" t="s">
        <v>36</v>
      </c>
      <c r="B73" s="25">
        <v>5887</v>
      </c>
      <c r="C73" s="25">
        <v>5218</v>
      </c>
      <c r="D73" s="25">
        <v>5190</v>
      </c>
      <c r="E73" s="25">
        <v>5160</v>
      </c>
      <c r="F73" s="25">
        <v>5159</v>
      </c>
      <c r="G73" s="160"/>
      <c r="H73" s="106"/>
      <c r="I73" s="88"/>
      <c r="J73" s="106"/>
      <c r="K73" s="106"/>
      <c r="L73" s="106"/>
      <c r="M73" s="106"/>
      <c r="N73" s="106"/>
      <c r="O73" s="106"/>
      <c r="P73" s="106"/>
      <c r="Q73" s="106"/>
      <c r="R73" s="106"/>
      <c r="S73" s="166"/>
    </row>
    <row r="74" spans="1:19" ht="15.6" x14ac:dyDescent="0.25">
      <c r="A74" s="23" t="s">
        <v>35</v>
      </c>
      <c r="B74" s="26">
        <v>4919</v>
      </c>
      <c r="C74" s="26">
        <v>4848</v>
      </c>
      <c r="D74" s="26">
        <v>4890</v>
      </c>
      <c r="E74" s="26">
        <v>4869</v>
      </c>
      <c r="F74" s="26">
        <v>4877</v>
      </c>
      <c r="G74" s="160"/>
      <c r="H74" s="106" t="s">
        <v>124</v>
      </c>
      <c r="I74" s="110">
        <f>I95-I81-I77</f>
        <v>856</v>
      </c>
      <c r="J74" s="110">
        <f>J131</f>
        <v>1684</v>
      </c>
      <c r="K74" s="110">
        <f>K131</f>
        <v>670</v>
      </c>
      <c r="L74" s="110">
        <f>L131</f>
        <v>484</v>
      </c>
      <c r="M74" s="110">
        <f>M131</f>
        <v>630</v>
      </c>
      <c r="N74" s="110">
        <f ca="1">(N131)</f>
        <v>3162.420015469424</v>
      </c>
      <c r="O74" s="110">
        <f t="shared" ref="O74:R74" ca="1" si="18">(O131)</f>
        <v>1721.2328406330655</v>
      </c>
      <c r="P74" s="110">
        <f t="shared" ca="1" si="18"/>
        <v>3168.2127481119333</v>
      </c>
      <c r="Q74" s="110">
        <f t="shared" ca="1" si="18"/>
        <v>4093.0911842430155</v>
      </c>
      <c r="R74" s="110">
        <f t="shared" ca="1" si="18"/>
        <v>5178.8161477762878</v>
      </c>
      <c r="S74" s="166"/>
    </row>
    <row r="75" spans="1:19" ht="15.6" x14ac:dyDescent="0.25">
      <c r="A75" s="23" t="s">
        <v>34</v>
      </c>
      <c r="B75" s="26">
        <v>1149</v>
      </c>
      <c r="C75" s="26">
        <v>963</v>
      </c>
      <c r="D75" s="26">
        <v>909</v>
      </c>
      <c r="E75" s="26">
        <v>872</v>
      </c>
      <c r="F75" s="26">
        <v>780</v>
      </c>
      <c r="G75" s="160"/>
      <c r="H75" s="106" t="s">
        <v>127</v>
      </c>
      <c r="I75" s="89">
        <f>Main!B62</f>
        <v>876</v>
      </c>
      <c r="J75" s="111">
        <f>Main!C62</f>
        <v>755</v>
      </c>
      <c r="K75" s="111">
        <f>Main!D62</f>
        <v>998</v>
      </c>
      <c r="L75" s="111">
        <f>Main!E62</f>
        <v>1150</v>
      </c>
      <c r="M75" s="111">
        <f>Main!F62</f>
        <v>1261</v>
      </c>
      <c r="N75" s="89">
        <f>N97*(1+N38)</f>
        <v>1036.2607984338754</v>
      </c>
      <c r="O75" s="89">
        <f>O97*J38</f>
        <v>1516.19</v>
      </c>
      <c r="P75" s="89">
        <f>P97*(1+K38)</f>
        <v>1057.1600000000001</v>
      </c>
      <c r="Q75" s="89">
        <f>Q97*(1+L38)</f>
        <v>1157.9100000000001</v>
      </c>
      <c r="R75" s="89">
        <f>R97*(1+M38)</f>
        <v>1228.8900000000001</v>
      </c>
      <c r="S75" s="166"/>
    </row>
    <row r="76" spans="1:19" ht="15.6" x14ac:dyDescent="0.25">
      <c r="A76" s="23" t="s">
        <v>33</v>
      </c>
      <c r="B76" s="26">
        <v>586</v>
      </c>
      <c r="C76" s="26">
        <v>447</v>
      </c>
      <c r="D76" s="27">
        <v>433</v>
      </c>
      <c r="E76" s="27">
        <v>415</v>
      </c>
      <c r="F76" s="26">
        <v>421</v>
      </c>
      <c r="G76" s="160"/>
      <c r="H76" s="106" t="s">
        <v>125</v>
      </c>
      <c r="I76" s="112">
        <f>Main!B63+Main!B65+Main!B66+Main!B67+Main!B68+Main!B69</f>
        <v>853</v>
      </c>
      <c r="J76" s="112">
        <f>Main!C63+Main!C65+Main!C66+Main!C67+Main!C68+Main!C69</f>
        <v>1619</v>
      </c>
      <c r="K76" s="112">
        <f>Main!D63+Main!D65+Main!D66+Main!D67+Main!D68+Main!D69</f>
        <v>318</v>
      </c>
      <c r="L76" s="112">
        <f>Main!E63+Main!E65+Main!E66+Main!E67+Main!E68+Main!E69</f>
        <v>349</v>
      </c>
      <c r="M76" s="112">
        <f>Main!F63+Main!F65+Main!F66+Main!F67+Main!F68+Main!F69</f>
        <v>202</v>
      </c>
      <c r="N76" s="112">
        <f>N98*N38</f>
        <v>318.80947644119243</v>
      </c>
      <c r="O76" s="112">
        <f>O98*O38</f>
        <v>422.1792231991198</v>
      </c>
      <c r="P76" s="112">
        <f>P98*P38</f>
        <v>449.86990225722724</v>
      </c>
      <c r="Q76" s="112">
        <f>Q98*Q38</f>
        <v>482.67209914943425</v>
      </c>
      <c r="R76" s="112">
        <f>R98*R38</f>
        <v>522.12077134267292</v>
      </c>
      <c r="S76" s="166"/>
    </row>
    <row r="77" spans="1:19" ht="15.6" x14ac:dyDescent="0.25">
      <c r="A77" s="23" t="s">
        <v>32</v>
      </c>
      <c r="B77" s="28">
        <v>0</v>
      </c>
      <c r="C77" s="28">
        <v>0</v>
      </c>
      <c r="D77" s="27">
        <v>0</v>
      </c>
      <c r="E77" s="27">
        <v>0</v>
      </c>
      <c r="F77" s="26">
        <v>867</v>
      </c>
      <c r="G77" s="160"/>
      <c r="H77" s="106" t="s">
        <v>126</v>
      </c>
      <c r="I77" s="110">
        <f t="shared" ref="I77:R77" si="19">SUM(I75:I76)</f>
        <v>1729</v>
      </c>
      <c r="J77" s="110">
        <f t="shared" si="19"/>
        <v>2374</v>
      </c>
      <c r="K77" s="110">
        <f t="shared" si="19"/>
        <v>1316</v>
      </c>
      <c r="L77" s="110">
        <f t="shared" si="19"/>
        <v>1499</v>
      </c>
      <c r="M77" s="110">
        <f t="shared" si="19"/>
        <v>1463</v>
      </c>
      <c r="N77" s="110">
        <f t="shared" si="19"/>
        <v>1355.0702748750678</v>
      </c>
      <c r="O77" s="110">
        <f t="shared" si="19"/>
        <v>1938.3692231991199</v>
      </c>
      <c r="P77" s="110">
        <f t="shared" si="19"/>
        <v>1507.0299022572274</v>
      </c>
      <c r="Q77" s="110">
        <f t="shared" si="19"/>
        <v>1640.5820991494343</v>
      </c>
      <c r="R77" s="110">
        <f t="shared" si="19"/>
        <v>1751.010771342673</v>
      </c>
      <c r="S77" s="166"/>
    </row>
    <row r="78" spans="1:19" ht="15.6" x14ac:dyDescent="0.25">
      <c r="A78" s="23" t="s">
        <v>31</v>
      </c>
      <c r="B78" s="27">
        <v>887</v>
      </c>
      <c r="C78" s="27">
        <v>0</v>
      </c>
      <c r="D78" s="27">
        <v>0</v>
      </c>
      <c r="E78" s="27">
        <v>0</v>
      </c>
      <c r="F78" s="27">
        <v>0</v>
      </c>
      <c r="G78" s="160"/>
      <c r="H78" s="106"/>
      <c r="I78" s="110"/>
      <c r="J78" s="110"/>
      <c r="K78" s="110"/>
      <c r="L78" s="110"/>
      <c r="M78" s="110"/>
      <c r="N78" s="88"/>
      <c r="O78" s="106"/>
      <c r="P78" s="106"/>
      <c r="Q78" s="106"/>
      <c r="R78" s="106"/>
      <c r="S78" s="166"/>
    </row>
    <row r="79" spans="1:19" ht="15.6" x14ac:dyDescent="0.25">
      <c r="A79" s="23" t="s">
        <v>30</v>
      </c>
      <c r="B79" s="26">
        <v>9119</v>
      </c>
      <c r="C79" s="26">
        <v>341</v>
      </c>
      <c r="D79" s="26">
        <v>353</v>
      </c>
      <c r="E79" s="26">
        <v>367</v>
      </c>
      <c r="F79" s="26">
        <v>380</v>
      </c>
      <c r="G79" s="160"/>
      <c r="H79" s="106" t="s">
        <v>128</v>
      </c>
      <c r="I79" s="110">
        <f>I81-I80</f>
        <v>25157</v>
      </c>
      <c r="J79" s="113">
        <f t="shared" ref="J79:R79" si="20">J81-J80</f>
        <v>23080</v>
      </c>
      <c r="K79" s="113">
        <f t="shared" si="20"/>
        <v>12772</v>
      </c>
      <c r="L79" s="113">
        <f t="shared" si="20"/>
        <v>12493</v>
      </c>
      <c r="M79" s="113">
        <f t="shared" si="20"/>
        <v>13373</v>
      </c>
      <c r="N79" s="110">
        <f>N81-N80</f>
        <v>12095.54055317006</v>
      </c>
      <c r="O79" s="110">
        <f t="shared" si="20"/>
        <v>15744.264734877559</v>
      </c>
      <c r="P79" s="110">
        <f t="shared" si="20"/>
        <v>17009.474269643393</v>
      </c>
      <c r="Q79" s="110">
        <f t="shared" si="20"/>
        <v>18342.009862977749</v>
      </c>
      <c r="R79" s="110">
        <f t="shared" si="20"/>
        <v>19683.400655572226</v>
      </c>
      <c r="S79" s="166"/>
    </row>
    <row r="80" spans="1:19" ht="15.6" x14ac:dyDescent="0.25">
      <c r="A80" s="23" t="s">
        <v>29</v>
      </c>
      <c r="B80" s="26">
        <v>138</v>
      </c>
      <c r="C80" s="27">
        <v>0</v>
      </c>
      <c r="D80" s="27">
        <v>0</v>
      </c>
      <c r="E80" s="27">
        <v>0</v>
      </c>
      <c r="F80" s="27">
        <v>0</v>
      </c>
      <c r="G80" s="160"/>
      <c r="H80" s="106" t="s">
        <v>129</v>
      </c>
      <c r="I80" s="89">
        <f>Main!B124</f>
        <v>-2120</v>
      </c>
      <c r="J80" s="89">
        <f>Main!C124</f>
        <v>-426</v>
      </c>
      <c r="K80" s="89">
        <f>Main!D124</f>
        <v>-450</v>
      </c>
      <c r="L80" s="89">
        <f>Main!E124</f>
        <v>-481</v>
      </c>
      <c r="M80" s="89">
        <f>Main!F124</f>
        <v>-509</v>
      </c>
      <c r="N80" s="89">
        <f>M80+N44</f>
        <v>-870.33803773157729</v>
      </c>
      <c r="O80" s="89">
        <f>N80+O44</f>
        <v>-1256.0394546663231</v>
      </c>
      <c r="P80" s="89">
        <f>O80+P44</f>
        <v>-1481.1634752260375</v>
      </c>
      <c r="Q80" s="89">
        <f>P80+Q44</f>
        <v>-1602.1690437771049</v>
      </c>
      <c r="R80" s="89">
        <f>Q80+R44</f>
        <v>-1667.3363658563235</v>
      </c>
      <c r="S80" s="166"/>
    </row>
    <row r="81" spans="1:19" ht="15.6" x14ac:dyDescent="0.25">
      <c r="A81" s="23" t="s">
        <v>28</v>
      </c>
      <c r="B81" s="26">
        <v>78</v>
      </c>
      <c r="C81" s="26">
        <v>82</v>
      </c>
      <c r="D81" s="26">
        <v>113</v>
      </c>
      <c r="E81" s="26">
        <v>90</v>
      </c>
      <c r="F81" s="26">
        <v>100</v>
      </c>
      <c r="G81" s="160"/>
      <c r="H81" s="106" t="s">
        <v>130</v>
      </c>
      <c r="I81" s="89">
        <f>Main!B84</f>
        <v>23037</v>
      </c>
      <c r="J81" s="111">
        <f>Main!C84</f>
        <v>22654</v>
      </c>
      <c r="K81" s="111">
        <f>Main!D84</f>
        <v>12322</v>
      </c>
      <c r="L81" s="111">
        <f>Main!E84</f>
        <v>12012</v>
      </c>
      <c r="M81" s="111">
        <f>Main!F84</f>
        <v>12864</v>
      </c>
      <c r="N81" s="89">
        <f>'Dashboard Calculations'!B65</f>
        <v>11225.202515438483</v>
      </c>
      <c r="O81" s="89">
        <f>'Dashboard Calculations'!C65</f>
        <v>14488.225280211236</v>
      </c>
      <c r="P81" s="89">
        <f>'Dashboard Calculations'!D65</f>
        <v>15528.310794417357</v>
      </c>
      <c r="Q81" s="89">
        <f>'Dashboard Calculations'!E65</f>
        <v>16739.840819200643</v>
      </c>
      <c r="R81" s="89">
        <f>'Dashboard Calculations'!F65</f>
        <v>18016.064289715901</v>
      </c>
      <c r="S81" s="166"/>
    </row>
    <row r="82" spans="1:19" ht="16.2" thickBot="1" x14ac:dyDescent="0.3">
      <c r="A82" s="23" t="s">
        <v>10</v>
      </c>
      <c r="B82" s="26">
        <v>274</v>
      </c>
      <c r="C82" s="26">
        <v>408</v>
      </c>
      <c r="D82" s="26">
        <v>434</v>
      </c>
      <c r="E82" s="26">
        <v>239</v>
      </c>
      <c r="F82" s="26">
        <v>280</v>
      </c>
      <c r="G82" s="160"/>
      <c r="H82" s="233" t="s">
        <v>25</v>
      </c>
      <c r="I82" s="234">
        <f>Main!B86</f>
        <v>25622</v>
      </c>
      <c r="J82" s="235">
        <f>Main!C86</f>
        <v>26211</v>
      </c>
      <c r="K82" s="235">
        <f>Main!D86</f>
        <v>14308</v>
      </c>
      <c r="L82" s="235">
        <f>Main!E86</f>
        <v>13995</v>
      </c>
      <c r="M82" s="235">
        <f>Main!F86</f>
        <v>14957</v>
      </c>
      <c r="N82" s="234">
        <f ca="1">N81+N77+N74</f>
        <v>15742.692805782975</v>
      </c>
      <c r="O82" s="234">
        <f ca="1">O81+O77+O74</f>
        <v>18147.827344043424</v>
      </c>
      <c r="P82" s="234">
        <f ca="1">P81+P77+P74</f>
        <v>20203.553444786521</v>
      </c>
      <c r="Q82" s="234">
        <f ca="1">Q81+Q77+Q74</f>
        <v>22473.51410259309</v>
      </c>
      <c r="R82" s="236">
        <f ca="1">R81+R77+R74</f>
        <v>24945.891208834862</v>
      </c>
      <c r="S82" s="166"/>
    </row>
    <row r="83" spans="1:19" ht="16.2" thickTop="1" x14ac:dyDescent="0.25">
      <c r="A83" s="23" t="s">
        <v>27</v>
      </c>
      <c r="B83" s="27">
        <v>0</v>
      </c>
      <c r="C83" s="26">
        <v>10347</v>
      </c>
      <c r="D83" s="27">
        <v>0</v>
      </c>
      <c r="E83" s="27">
        <v>0</v>
      </c>
      <c r="F83" s="27">
        <v>0</v>
      </c>
      <c r="G83" s="160"/>
      <c r="H83" s="106"/>
      <c r="I83" s="88"/>
      <c r="J83" s="113"/>
      <c r="K83" s="113"/>
      <c r="L83" s="113"/>
      <c r="M83" s="113"/>
      <c r="N83" s="88"/>
      <c r="O83" s="88"/>
      <c r="P83" s="88"/>
      <c r="Q83" s="88"/>
      <c r="R83" s="88"/>
      <c r="S83" s="166"/>
    </row>
    <row r="84" spans="1:19" ht="15.6" x14ac:dyDescent="0.25">
      <c r="A84" s="22" t="s">
        <v>26</v>
      </c>
      <c r="B84" s="25">
        <v>23037</v>
      </c>
      <c r="C84" s="25">
        <v>22654</v>
      </c>
      <c r="D84" s="25">
        <v>12322</v>
      </c>
      <c r="E84" s="25">
        <v>12012</v>
      </c>
      <c r="F84" s="25">
        <v>12864</v>
      </c>
      <c r="G84" s="160"/>
      <c r="H84" s="106" t="s">
        <v>202</v>
      </c>
      <c r="I84" s="110">
        <f>Main!B97</f>
        <v>2443</v>
      </c>
      <c r="J84" s="113">
        <f>Main!C97</f>
        <v>2684</v>
      </c>
      <c r="K84" s="113">
        <f>Main!D97</f>
        <v>2208</v>
      </c>
      <c r="L84" s="113">
        <f>Main!E97</f>
        <v>2615</v>
      </c>
      <c r="M84" s="113">
        <f>Main!F97</f>
        <v>2871</v>
      </c>
      <c r="N84" s="110">
        <f>N100*N38+IF('Dashboard Calculations'!$I$46=2,'Dashboard Calculations'!$B$48*0.25,0)</f>
        <v>2308.5016258555934</v>
      </c>
      <c r="O84" s="110">
        <f>O100*O38</f>
        <v>3057.0026777023813</v>
      </c>
      <c r="P84" s="110">
        <f>P100*P38</f>
        <v>3257.5110764496749</v>
      </c>
      <c r="Q84" s="110">
        <f>Q100*Q38</f>
        <v>3495.0320112179461</v>
      </c>
      <c r="R84" s="110">
        <f>R100*R38</f>
        <v>3780.6801196509282</v>
      </c>
      <c r="S84" s="166"/>
    </row>
    <row r="85" spans="1:19" ht="15.6" x14ac:dyDescent="0.25">
      <c r="A85" s="23"/>
      <c r="B85" s="21"/>
      <c r="C85" s="21"/>
      <c r="D85" s="21"/>
      <c r="E85" s="21"/>
      <c r="F85" s="21"/>
      <c r="G85" s="160"/>
      <c r="H85" s="106" t="s">
        <v>191</v>
      </c>
      <c r="I85" s="110">
        <f>SUM(Main!B100:B107)</f>
        <v>17228</v>
      </c>
      <c r="J85" s="110">
        <f>SUM(Main!C100:C107)</f>
        <v>17678</v>
      </c>
      <c r="K85" s="110">
        <f>SUM(Main!D100:D107)</f>
        <v>10025</v>
      </c>
      <c r="L85" s="110">
        <f>SUM(Main!E100:E107)</f>
        <v>10822</v>
      </c>
      <c r="M85" s="110">
        <f>SUM(Main!F100:F107)</f>
        <v>12558</v>
      </c>
      <c r="N85" s="110">
        <f>(M85*(1+N101))+IF('Dashboard Calculations'!$I$46=2,'Dashboard Calculations'!$B$48*0.75,0)</f>
        <v>13562.640000000001</v>
      </c>
      <c r="O85" s="110">
        <f>(N85*(1+O101))</f>
        <v>14647.651200000002</v>
      </c>
      <c r="P85" s="110">
        <f>(O85*(1+P101))</f>
        <v>15819.463296000004</v>
      </c>
      <c r="Q85" s="110">
        <f>(P85*(1+Q101))</f>
        <v>17085.020359680006</v>
      </c>
      <c r="R85" s="110">
        <f>(Q85*(1+R101))</f>
        <v>18451.821988454409</v>
      </c>
      <c r="S85" s="166"/>
    </row>
    <row r="86" spans="1:19" ht="15.6" x14ac:dyDescent="0.25">
      <c r="A86" s="23" t="s">
        <v>25</v>
      </c>
      <c r="B86" s="25">
        <v>25622</v>
      </c>
      <c r="C86" s="25">
        <v>26211</v>
      </c>
      <c r="D86" s="25">
        <v>14308</v>
      </c>
      <c r="E86" s="25">
        <v>13995</v>
      </c>
      <c r="F86" s="25">
        <v>14957</v>
      </c>
      <c r="G86" s="160"/>
      <c r="H86" s="106"/>
      <c r="I86" s="88"/>
      <c r="J86" s="106"/>
      <c r="K86" s="106"/>
      <c r="L86" s="106"/>
      <c r="M86" s="106"/>
      <c r="N86" s="88"/>
      <c r="O86" s="88"/>
      <c r="P86" s="88"/>
      <c r="Q86" s="88"/>
      <c r="R86" s="88"/>
      <c r="S86" s="166"/>
    </row>
    <row r="87" spans="1:19" ht="15.6" x14ac:dyDescent="0.25">
      <c r="A87" s="23"/>
      <c r="B87" s="22"/>
      <c r="C87" s="21"/>
      <c r="D87" s="21"/>
      <c r="E87" s="24"/>
      <c r="F87" s="24"/>
      <c r="G87" s="160"/>
      <c r="H87" s="244" t="s">
        <v>192</v>
      </c>
      <c r="I87" s="245">
        <f>Main!B108</f>
        <v>19671</v>
      </c>
      <c r="J87" s="246">
        <f>Main!C108</f>
        <v>20362</v>
      </c>
      <c r="K87" s="246">
        <f>Main!D108</f>
        <v>12233</v>
      </c>
      <c r="L87" s="246">
        <f>Main!E108</f>
        <v>13437</v>
      </c>
      <c r="M87" s="246">
        <f>Main!F108</f>
        <v>15429</v>
      </c>
      <c r="N87" s="245">
        <f>SUM(N84:N85)</f>
        <v>15871.141625855595</v>
      </c>
      <c r="O87" s="245">
        <f>SUM(O84:O85)</f>
        <v>17704.653877702382</v>
      </c>
      <c r="P87" s="245">
        <f>SUM(P84:P85)</f>
        <v>19076.97437244968</v>
      </c>
      <c r="Q87" s="245">
        <f>SUM(Q84:Q85)</f>
        <v>20580.052370897953</v>
      </c>
      <c r="R87" s="247">
        <f>SUM(R84:R85)</f>
        <v>22232.502108105338</v>
      </c>
      <c r="S87" s="166"/>
    </row>
    <row r="88" spans="1:19" ht="15.6" x14ac:dyDescent="0.25">
      <c r="A88" s="23" t="s">
        <v>24</v>
      </c>
      <c r="B88" s="21"/>
      <c r="C88" s="21"/>
      <c r="D88" s="21"/>
      <c r="E88" s="21"/>
      <c r="F88" s="21"/>
      <c r="G88" s="160"/>
      <c r="H88" s="106"/>
      <c r="I88" s="88"/>
      <c r="J88" s="106"/>
      <c r="K88" s="106"/>
      <c r="L88" s="106"/>
      <c r="M88" s="106"/>
      <c r="N88" s="88"/>
      <c r="O88" s="88"/>
      <c r="P88" s="88"/>
      <c r="Q88" s="88"/>
      <c r="R88" s="88"/>
      <c r="S88" s="166"/>
    </row>
    <row r="89" spans="1:19" ht="15.6" x14ac:dyDescent="0.25">
      <c r="A89" s="23" t="s">
        <v>23</v>
      </c>
      <c r="B89" s="21"/>
      <c r="C89" s="21"/>
      <c r="D89" s="21"/>
      <c r="E89" s="21"/>
      <c r="F89" s="21"/>
      <c r="G89" s="160"/>
      <c r="H89" s="106" t="s">
        <v>145</v>
      </c>
      <c r="I89" s="110">
        <f>Main!B116</f>
        <v>10151</v>
      </c>
      <c r="J89" s="110">
        <f>Main!C116</f>
        <v>10220</v>
      </c>
      <c r="K89" s="110">
        <f>Main!D116</f>
        <v>10298</v>
      </c>
      <c r="L89" s="110">
        <f>Main!E116</f>
        <v>10372</v>
      </c>
      <c r="M89" s="110">
        <f>Main!F116</f>
        <v>10489</v>
      </c>
      <c r="N89" s="110">
        <f>(M89*(1+N102))+IF('Dashboard Calculations'!$I$46=3,'Dashboard Calculations'!$B$48,0)</f>
        <v>10575.260710933479</v>
      </c>
      <c r="O89" s="110">
        <f>(N89*(1+O102))</f>
        <v>10662.230823168391</v>
      </c>
      <c r="P89" s="110">
        <f>(O89*(1+P102))</f>
        <v>10749.91617076524</v>
      </c>
      <c r="Q89" s="110">
        <f>(P89*(1+Q102))</f>
        <v>10838.322635763381</v>
      </c>
      <c r="R89" s="110">
        <f>(Q89*(1+R102))</f>
        <v>10927.456148575598</v>
      </c>
      <c r="S89" s="166"/>
    </row>
    <row r="90" spans="1:19" ht="15.6" x14ac:dyDescent="0.25">
      <c r="A90" s="23" t="s">
        <v>22</v>
      </c>
      <c r="B90" s="25">
        <v>2206</v>
      </c>
      <c r="C90" s="25">
        <v>1821</v>
      </c>
      <c r="D90" s="25">
        <v>2150</v>
      </c>
      <c r="E90" s="25">
        <v>1549</v>
      </c>
      <c r="F90" s="25">
        <v>1703</v>
      </c>
      <c r="G90" s="160"/>
      <c r="H90" s="106" t="s">
        <v>5</v>
      </c>
      <c r="I90" s="112">
        <f>Main!B117</f>
        <v>-3392</v>
      </c>
      <c r="J90" s="112">
        <f>Main!C117</f>
        <v>-3323</v>
      </c>
      <c r="K90" s="112">
        <f>Main!D117</f>
        <v>-6596</v>
      </c>
      <c r="L90" s="112">
        <f>Main!E117</f>
        <v>-6417</v>
      </c>
      <c r="M90" s="112">
        <f>Main!F117</f>
        <v>-5965</v>
      </c>
      <c r="N90" s="110">
        <f ca="1">M90+N53</f>
        <v>-5573.9325310060985</v>
      </c>
      <c r="O90" s="110">
        <f ca="1">N90+O53</f>
        <v>-4950.8117598273529</v>
      </c>
      <c r="P90" s="110">
        <f ca="1">O90+P53</f>
        <v>-4211.7165154314025</v>
      </c>
      <c r="Q90" s="110">
        <f ca="1">P90+Q53</f>
        <v>-3384.7326006402418</v>
      </c>
      <c r="R90" s="110">
        <f ca="1">Q90+R53</f>
        <v>-2500.0597241512869</v>
      </c>
      <c r="S90" s="166"/>
    </row>
    <row r="91" spans="1:19" ht="15.6" x14ac:dyDescent="0.25">
      <c r="A91" s="23" t="s">
        <v>21</v>
      </c>
      <c r="B91" s="26">
        <v>247</v>
      </c>
      <c r="C91" s="26">
        <v>121</v>
      </c>
      <c r="D91" s="26">
        <v>100</v>
      </c>
      <c r="E91" s="26">
        <v>81</v>
      </c>
      <c r="F91" s="26">
        <v>92</v>
      </c>
      <c r="G91" s="160"/>
      <c r="H91" s="86" t="s">
        <v>4</v>
      </c>
      <c r="I91" s="112">
        <f>Main!B118</f>
        <v>-784</v>
      </c>
      <c r="J91" s="114">
        <f>Main!C118</f>
        <v>-1001</v>
      </c>
      <c r="K91" s="114">
        <f>Main!D118</f>
        <v>-742</v>
      </c>
      <c r="L91" s="114">
        <f>Main!E118</f>
        <v>-782</v>
      </c>
      <c r="M91" s="114">
        <f>Main!F118</f>
        <v>-840</v>
      </c>
      <c r="N91" s="114">
        <f t="shared" ref="N91:R93" si="21">M91*(1+N103)</f>
        <v>-890.40000000000009</v>
      </c>
      <c r="O91" s="114">
        <f t="shared" si="21"/>
        <v>-943.82400000000018</v>
      </c>
      <c r="P91" s="114">
        <f t="shared" si="21"/>
        <v>-1000.4534400000002</v>
      </c>
      <c r="Q91" s="114">
        <f t="shared" si="21"/>
        <v>-1060.4806464000003</v>
      </c>
      <c r="R91" s="114">
        <f t="shared" si="21"/>
        <v>-1124.1094851840003</v>
      </c>
      <c r="S91" s="166"/>
    </row>
    <row r="92" spans="1:19" ht="15.6" x14ac:dyDescent="0.25">
      <c r="A92" s="23" t="s">
        <v>51</v>
      </c>
      <c r="B92" s="26">
        <v>876</v>
      </c>
      <c r="C92" s="26">
        <v>755</v>
      </c>
      <c r="D92" s="26">
        <v>998</v>
      </c>
      <c r="E92" s="26">
        <v>1150</v>
      </c>
      <c r="F92" s="26">
        <v>1261</v>
      </c>
      <c r="G92" s="160"/>
      <c r="H92" s="106" t="s">
        <v>244</v>
      </c>
      <c r="I92" s="112">
        <f>Main!B113</f>
        <v>10</v>
      </c>
      <c r="J92" s="114">
        <f>Main!C113</f>
        <v>10</v>
      </c>
      <c r="K92" s="114">
        <f>Main!D113</f>
        <v>3</v>
      </c>
      <c r="L92" s="114">
        <f>Main!E113</f>
        <v>3</v>
      </c>
      <c r="M92" s="114">
        <f>Main!F113</f>
        <v>3</v>
      </c>
      <c r="N92" s="114">
        <f t="shared" si="21"/>
        <v>3.0029999999999997</v>
      </c>
      <c r="O92" s="114">
        <f t="shared" si="21"/>
        <v>3.0060029999999993</v>
      </c>
      <c r="P92" s="114">
        <f t="shared" si="21"/>
        <v>3.0090090029999992</v>
      </c>
      <c r="Q92" s="114">
        <f t="shared" si="21"/>
        <v>3.0120180120029989</v>
      </c>
      <c r="R92" s="114">
        <f t="shared" si="21"/>
        <v>3.0150300300150015</v>
      </c>
      <c r="S92" s="166"/>
    </row>
    <row r="93" spans="1:19" ht="15.6" x14ac:dyDescent="0.25">
      <c r="A93" s="23" t="s">
        <v>20</v>
      </c>
      <c r="B93" s="26">
        <v>247</v>
      </c>
      <c r="C93" s="26">
        <v>121</v>
      </c>
      <c r="D93" s="26">
        <v>100</v>
      </c>
      <c r="E93" s="26">
        <v>81</v>
      </c>
      <c r="F93" s="26">
        <v>92</v>
      </c>
      <c r="G93" s="160"/>
      <c r="H93" s="106" t="s">
        <v>243</v>
      </c>
      <c r="I93" s="112">
        <f>Main!B114</f>
        <v>0</v>
      </c>
      <c r="J93" s="114">
        <f>Main!C114</f>
        <v>0</v>
      </c>
      <c r="K93" s="114">
        <f>Main!D114</f>
        <v>-891</v>
      </c>
      <c r="L93" s="114">
        <f>Main!E114</f>
        <v>-2625</v>
      </c>
      <c r="M93" s="114">
        <f>Main!F114</f>
        <v>-4169</v>
      </c>
      <c r="N93" s="114">
        <f t="shared" si="21"/>
        <v>-4252.38</v>
      </c>
      <c r="O93" s="114">
        <f t="shared" si="21"/>
        <v>-4337.4276</v>
      </c>
      <c r="P93" s="114">
        <f t="shared" si="21"/>
        <v>-4424.176152</v>
      </c>
      <c r="Q93" s="114">
        <f t="shared" si="21"/>
        <v>-4512.6596750400004</v>
      </c>
      <c r="R93" s="114">
        <f t="shared" si="21"/>
        <v>-4602.9128685408004</v>
      </c>
      <c r="S93" s="166"/>
    </row>
    <row r="94" spans="1:19" ht="15.6" x14ac:dyDescent="0.25">
      <c r="A94" s="23" t="s">
        <v>19</v>
      </c>
      <c r="B94" s="26">
        <v>876</v>
      </c>
      <c r="C94" s="26">
        <v>755</v>
      </c>
      <c r="D94" s="26">
        <v>998</v>
      </c>
      <c r="E94" s="26">
        <v>1150</v>
      </c>
      <c r="F94" s="26">
        <v>1261</v>
      </c>
      <c r="G94" s="160"/>
      <c r="H94" s="244" t="s">
        <v>203</v>
      </c>
      <c r="I94" s="245">
        <f>Main!B119</f>
        <v>5985</v>
      </c>
      <c r="J94" s="246">
        <f>Main!C119</f>
        <v>5896</v>
      </c>
      <c r="K94" s="246">
        <f>Main!D119</f>
        <v>2072</v>
      </c>
      <c r="L94" s="246">
        <f>Main!E119</f>
        <v>551</v>
      </c>
      <c r="M94" s="246">
        <f>Main!F119</f>
        <v>-482</v>
      </c>
      <c r="N94" s="245">
        <f ca="1">SUM(N89:N93)+10</f>
        <v>-128.44882007262095</v>
      </c>
      <c r="O94" s="245">
        <f t="shared" ref="O94:R94" ca="1" si="22">SUM(O89:O93)+10</f>
        <v>443.17346634103797</v>
      </c>
      <c r="P94" s="245">
        <f t="shared" ca="1" si="22"/>
        <v>1126.5790723368373</v>
      </c>
      <c r="Q94" s="245">
        <f t="shared" ca="1" si="22"/>
        <v>1893.4617316951417</v>
      </c>
      <c r="R94" s="247">
        <f t="shared" ca="1" si="22"/>
        <v>2713.3891007295242</v>
      </c>
      <c r="S94" s="166"/>
    </row>
    <row r="95" spans="1:19" ht="16.2" thickBot="1" x14ac:dyDescent="0.3">
      <c r="A95" s="23" t="s">
        <v>18</v>
      </c>
      <c r="B95" s="26">
        <v>247</v>
      </c>
      <c r="C95" s="26">
        <v>121</v>
      </c>
      <c r="D95" s="26">
        <v>100</v>
      </c>
      <c r="E95" s="26">
        <v>81</v>
      </c>
      <c r="F95" s="26">
        <v>92</v>
      </c>
      <c r="G95" s="160"/>
      <c r="H95" s="233" t="s">
        <v>204</v>
      </c>
      <c r="I95" s="234">
        <f>Main!B123</f>
        <v>25622</v>
      </c>
      <c r="J95" s="235">
        <f>Main!C123</f>
        <v>26211</v>
      </c>
      <c r="K95" s="235">
        <f>Main!D123</f>
        <v>14308</v>
      </c>
      <c r="L95" s="235">
        <f>Main!E123</f>
        <v>13995</v>
      </c>
      <c r="M95" s="235">
        <f>Main!F123</f>
        <v>14957</v>
      </c>
      <c r="N95" s="234">
        <f ca="1">N94+N87</f>
        <v>15742.692805782974</v>
      </c>
      <c r="O95" s="234">
        <f ca="1">O94+O87</f>
        <v>18147.82734404342</v>
      </c>
      <c r="P95" s="234">
        <f ca="1">P94+P87</f>
        <v>20203.553444786518</v>
      </c>
      <c r="Q95" s="234">
        <f ca="1">Q94+Q87</f>
        <v>22473.514102593093</v>
      </c>
      <c r="R95" s="236">
        <f ca="1">R94+R87</f>
        <v>24945.891208834862</v>
      </c>
      <c r="S95" s="166"/>
    </row>
    <row r="96" spans="1:19" ht="16.2" thickTop="1" x14ac:dyDescent="0.25">
      <c r="A96" s="23" t="s">
        <v>17</v>
      </c>
      <c r="B96" s="26">
        <v>876</v>
      </c>
      <c r="C96" s="26">
        <v>755</v>
      </c>
      <c r="D96" s="26">
        <v>998</v>
      </c>
      <c r="E96" s="26">
        <v>1150</v>
      </c>
      <c r="F96" s="26">
        <v>1261</v>
      </c>
      <c r="G96" s="160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66"/>
    </row>
    <row r="97" spans="1:19" ht="15.6" x14ac:dyDescent="0.25">
      <c r="A97" s="22" t="s">
        <v>16</v>
      </c>
      <c r="B97" s="25">
        <v>2443</v>
      </c>
      <c r="C97" s="25">
        <v>2684</v>
      </c>
      <c r="D97" s="25">
        <v>2208</v>
      </c>
      <c r="E97" s="25">
        <v>2615</v>
      </c>
      <c r="F97" s="25">
        <v>2871</v>
      </c>
      <c r="G97" s="160"/>
      <c r="H97" s="106" t="s">
        <v>228</v>
      </c>
      <c r="I97" s="115">
        <f>I75/I38</f>
        <v>7.7714691270404548E-2</v>
      </c>
      <c r="J97" s="115">
        <f>J75/J38</f>
        <v>6.4734630883992117E-2</v>
      </c>
      <c r="K97" s="115">
        <f>K75/K38</f>
        <v>0.12274013036526872</v>
      </c>
      <c r="L97" s="115">
        <f>L75/L38</f>
        <v>0.12912643161913318</v>
      </c>
      <c r="M97" s="115">
        <f>M75/M38</f>
        <v>0.13341091832416418</v>
      </c>
      <c r="N97" s="181">
        <v>0.13</v>
      </c>
      <c r="O97" s="181">
        <f t="shared" ref="O97:R98" si="23">N97</f>
        <v>0.13</v>
      </c>
      <c r="P97" s="181">
        <f t="shared" si="23"/>
        <v>0.13</v>
      </c>
      <c r="Q97" s="181">
        <f t="shared" si="23"/>
        <v>0.13</v>
      </c>
      <c r="R97" s="181">
        <f t="shared" si="23"/>
        <v>0.13</v>
      </c>
      <c r="S97" s="166"/>
    </row>
    <row r="98" spans="1:19" ht="15.6" x14ac:dyDescent="0.25">
      <c r="A98" s="22"/>
      <c r="B98" s="21"/>
      <c r="C98" s="42"/>
      <c r="D98" s="21"/>
      <c r="E98" s="24"/>
      <c r="F98" s="24"/>
      <c r="G98" s="160"/>
      <c r="H98" s="106" t="s">
        <v>227</v>
      </c>
      <c r="I98" s="115">
        <f>I76/I38</f>
        <v>7.5674237047551454E-2</v>
      </c>
      <c r="J98" s="115">
        <f>J76/J38</f>
        <v>0.1388150561605076</v>
      </c>
      <c r="K98" s="115">
        <f>K76/K38</f>
        <v>3.9109580617390234E-2</v>
      </c>
      <c r="L98" s="115">
        <f>L76/L38</f>
        <v>3.9187064900067368E-2</v>
      </c>
      <c r="M98" s="115">
        <f>M76/M38</f>
        <v>2.1371138383410919E-2</v>
      </c>
      <c r="N98" s="181">
        <v>0.04</v>
      </c>
      <c r="O98" s="181">
        <f t="shared" si="23"/>
        <v>0.04</v>
      </c>
      <c r="P98" s="181">
        <f t="shared" si="23"/>
        <v>0.04</v>
      </c>
      <c r="Q98" s="181">
        <f t="shared" si="23"/>
        <v>0.04</v>
      </c>
      <c r="R98" s="181">
        <f t="shared" si="23"/>
        <v>0.04</v>
      </c>
      <c r="S98" s="166"/>
    </row>
    <row r="99" spans="1:19" ht="15.6" x14ac:dyDescent="0.25">
      <c r="A99" s="23"/>
      <c r="B99" s="21"/>
      <c r="C99" s="21"/>
      <c r="D99" s="21"/>
      <c r="E99" s="21"/>
      <c r="F99" s="21"/>
      <c r="G99" s="160"/>
      <c r="H99" s="106" t="s">
        <v>211</v>
      </c>
      <c r="I99" s="115">
        <f>I81/I38</f>
        <v>2.0437366926898508</v>
      </c>
      <c r="J99" s="115">
        <f>J81/J38</f>
        <v>1.9423818914515991</v>
      </c>
      <c r="K99" s="115">
        <f>K81/K38</f>
        <v>1.5154347558725865</v>
      </c>
      <c r="L99" s="115">
        <f>L81/L38</f>
        <v>1.3487536492252414</v>
      </c>
      <c r="M99" s="115">
        <f>M81/M38</f>
        <v>1.3609818027930596</v>
      </c>
      <c r="N99" s="181">
        <f>AVERAGE(K99:M99)</f>
        <v>1.4083900692969624</v>
      </c>
      <c r="O99" s="181">
        <f>AVERAGE(L99:N99)</f>
        <v>1.372708507105088</v>
      </c>
      <c r="P99" s="181">
        <f>AVERAGE(M99:O99)</f>
        <v>1.3806934597317033</v>
      </c>
      <c r="Q99" s="181">
        <f>AVERAGE(N99:P99)</f>
        <v>1.3872640120445847</v>
      </c>
      <c r="R99" s="181">
        <f>AVERAGE(O99:Q99)</f>
        <v>1.3802219929604587</v>
      </c>
      <c r="S99" s="166"/>
    </row>
    <row r="100" spans="1:19" ht="15.6" x14ac:dyDescent="0.25">
      <c r="A100" s="23" t="s">
        <v>15</v>
      </c>
      <c r="B100" s="25">
        <v>9857</v>
      </c>
      <c r="C100" s="25">
        <v>6583</v>
      </c>
      <c r="D100" s="25">
        <v>6556</v>
      </c>
      <c r="E100" s="25">
        <v>7266</v>
      </c>
      <c r="F100" s="25">
        <v>7956</v>
      </c>
      <c r="G100" s="160"/>
      <c r="H100" s="106" t="s">
        <v>212</v>
      </c>
      <c r="I100" s="115">
        <f>I84/I38</f>
        <v>0.21673172462739532</v>
      </c>
      <c r="J100" s="115">
        <f>J84/J38</f>
        <v>0.23012946926176797</v>
      </c>
      <c r="K100" s="115">
        <f>K84/K38</f>
        <v>0.27155331447546427</v>
      </c>
      <c r="L100" s="115">
        <f>L84/L38</f>
        <v>0.29362227711655065</v>
      </c>
      <c r="M100" s="115">
        <f>M84/M38</f>
        <v>0.30374523910283535</v>
      </c>
      <c r="N100" s="181">
        <f>AVERAGE(K100:M100)</f>
        <v>0.28964027689828342</v>
      </c>
      <c r="O100" s="181">
        <f>N100</f>
        <v>0.28964027689828342</v>
      </c>
      <c r="P100" s="181">
        <f>O100</f>
        <v>0.28964027689828342</v>
      </c>
      <c r="Q100" s="181">
        <f>P100</f>
        <v>0.28964027689828342</v>
      </c>
      <c r="R100" s="181">
        <f>Q100</f>
        <v>0.28964027689828342</v>
      </c>
      <c r="S100" s="166"/>
    </row>
    <row r="101" spans="1:19" ht="15.6" x14ac:dyDescent="0.25">
      <c r="A101" s="23" t="s">
        <v>14</v>
      </c>
      <c r="B101" s="27">
        <v>0</v>
      </c>
      <c r="C101" s="27">
        <v>0</v>
      </c>
      <c r="D101" s="27">
        <v>0</v>
      </c>
      <c r="E101" s="27">
        <v>0</v>
      </c>
      <c r="F101" s="26">
        <v>1037</v>
      </c>
      <c r="G101" s="160"/>
      <c r="H101" s="106" t="s">
        <v>230</v>
      </c>
      <c r="I101" s="88"/>
      <c r="J101" s="115">
        <f>J85/I85-1</f>
        <v>2.6120269328999246E-2</v>
      </c>
      <c r="K101" s="115">
        <f>K85/J85-1</f>
        <v>-0.43291096277859487</v>
      </c>
      <c r="L101" s="115">
        <f>L85/K85-1</f>
        <v>7.950124688279292E-2</v>
      </c>
      <c r="M101" s="115">
        <f>M85/L85-1</f>
        <v>0.16041397153945658</v>
      </c>
      <c r="N101" s="181">
        <v>0.08</v>
      </c>
      <c r="O101" s="181">
        <v>0.08</v>
      </c>
      <c r="P101" s="181">
        <v>0.08</v>
      </c>
      <c r="Q101" s="181">
        <v>0.08</v>
      </c>
      <c r="R101" s="181">
        <v>0.08</v>
      </c>
      <c r="S101" s="166"/>
    </row>
    <row r="102" spans="1:19" ht="15.6" x14ac:dyDescent="0.25">
      <c r="A102" s="29" t="s">
        <v>52</v>
      </c>
      <c r="B102" s="26">
        <v>392</v>
      </c>
      <c r="C102" s="27">
        <v>0</v>
      </c>
      <c r="D102" s="27">
        <v>0</v>
      </c>
      <c r="E102" s="27">
        <v>0</v>
      </c>
      <c r="F102" s="27">
        <v>0</v>
      </c>
      <c r="G102" s="160"/>
      <c r="H102" s="106" t="s">
        <v>231</v>
      </c>
      <c r="I102" s="116"/>
      <c r="J102" s="115">
        <f>J89/I89-1</f>
        <v>6.7973598660231449E-3</v>
      </c>
      <c r="K102" s="115">
        <f>K89/J89-1</f>
        <v>7.6320939334637572E-3</v>
      </c>
      <c r="L102" s="117">
        <f>L89/K89-1</f>
        <v>7.1858613322974829E-3</v>
      </c>
      <c r="M102" s="117">
        <f>M89/L89-1</f>
        <v>1.1280370227535697E-2</v>
      </c>
      <c r="N102" s="181">
        <f>AVERAGE(J102:M102)</f>
        <v>8.2239213398300204E-3</v>
      </c>
      <c r="O102" s="181">
        <f t="shared" ref="O102:R103" si="24">N102</f>
        <v>8.2239213398300204E-3</v>
      </c>
      <c r="P102" s="181">
        <f t="shared" si="24"/>
        <v>8.2239213398300204E-3</v>
      </c>
      <c r="Q102" s="181">
        <f t="shared" si="24"/>
        <v>8.2239213398300204E-3</v>
      </c>
      <c r="R102" s="181">
        <f t="shared" si="24"/>
        <v>8.2239213398300204E-3</v>
      </c>
      <c r="S102" s="166"/>
    </row>
    <row r="103" spans="1:19" ht="15.6" x14ac:dyDescent="0.25">
      <c r="A103" s="23" t="s">
        <v>13</v>
      </c>
      <c r="B103" s="26">
        <v>283</v>
      </c>
      <c r="C103" s="26">
        <v>42</v>
      </c>
      <c r="D103" s="26">
        <v>97</v>
      </c>
      <c r="E103" s="26">
        <v>826</v>
      </c>
      <c r="F103" s="26">
        <v>827</v>
      </c>
      <c r="G103" s="160"/>
      <c r="H103" s="106" t="s">
        <v>245</v>
      </c>
      <c r="I103" s="88"/>
      <c r="J103" s="107">
        <f t="shared" ref="J103:M105" si="25">J91/I91-1</f>
        <v>0.27678571428571419</v>
      </c>
      <c r="K103" s="107">
        <f t="shared" si="25"/>
        <v>-0.25874125874125875</v>
      </c>
      <c r="L103" s="107">
        <f t="shared" si="25"/>
        <v>5.3908355795148299E-2</v>
      </c>
      <c r="M103" s="107">
        <f t="shared" si="25"/>
        <v>7.4168797953964249E-2</v>
      </c>
      <c r="N103" s="181">
        <v>0.06</v>
      </c>
      <c r="O103" s="181">
        <f t="shared" si="24"/>
        <v>0.06</v>
      </c>
      <c r="P103" s="181">
        <f t="shared" si="24"/>
        <v>0.06</v>
      </c>
      <c r="Q103" s="181">
        <f t="shared" si="24"/>
        <v>0.06</v>
      </c>
      <c r="R103" s="181">
        <f t="shared" si="24"/>
        <v>0.06</v>
      </c>
      <c r="S103" s="166"/>
    </row>
    <row r="104" spans="1:19" ht="15.6" x14ac:dyDescent="0.25">
      <c r="A104" s="23" t="s">
        <v>12</v>
      </c>
      <c r="B104" s="26">
        <v>4630</v>
      </c>
      <c r="C104" s="26">
        <v>1778</v>
      </c>
      <c r="D104" s="26">
        <v>1063</v>
      </c>
      <c r="E104" s="26">
        <v>898</v>
      </c>
      <c r="F104" s="26">
        <v>795</v>
      </c>
      <c r="G104" s="160"/>
      <c r="H104" s="106" t="s">
        <v>246</v>
      </c>
      <c r="I104" s="88"/>
      <c r="J104" s="107">
        <f t="shared" si="25"/>
        <v>0</v>
      </c>
      <c r="K104" s="107">
        <f t="shared" si="25"/>
        <v>-0.7</v>
      </c>
      <c r="L104" s="107">
        <f t="shared" si="25"/>
        <v>0</v>
      </c>
      <c r="M104" s="107">
        <f t="shared" si="25"/>
        <v>0</v>
      </c>
      <c r="N104" s="181">
        <v>1E-3</v>
      </c>
      <c r="O104" s="181">
        <v>1E-3</v>
      </c>
      <c r="P104" s="181">
        <v>1E-3</v>
      </c>
      <c r="Q104" s="181">
        <v>1E-3</v>
      </c>
      <c r="R104" s="181">
        <v>1E-3</v>
      </c>
      <c r="S104" s="166"/>
    </row>
    <row r="105" spans="1:19" ht="15.6" x14ac:dyDescent="0.25">
      <c r="A105" s="23" t="s">
        <v>11</v>
      </c>
      <c r="B105" s="26">
        <v>784</v>
      </c>
      <c r="C105" s="26">
        <v>889</v>
      </c>
      <c r="D105" s="26">
        <v>839</v>
      </c>
      <c r="E105" s="26">
        <v>969</v>
      </c>
      <c r="F105" s="26">
        <v>1060</v>
      </c>
      <c r="G105" s="160"/>
      <c r="H105" s="106" t="s">
        <v>247</v>
      </c>
      <c r="I105" s="88"/>
      <c r="J105" s="107" t="e">
        <f t="shared" si="25"/>
        <v>#DIV/0!</v>
      </c>
      <c r="K105" s="107" t="e">
        <f t="shared" si="25"/>
        <v>#DIV/0!</v>
      </c>
      <c r="L105" s="107">
        <f t="shared" si="25"/>
        <v>1.9461279461279459</v>
      </c>
      <c r="M105" s="107">
        <f t="shared" si="25"/>
        <v>0.58819047619047615</v>
      </c>
      <c r="N105" s="181">
        <v>0.02</v>
      </c>
      <c r="O105" s="181">
        <f>N105</f>
        <v>0.02</v>
      </c>
      <c r="P105" s="181">
        <f>O105</f>
        <v>0.02</v>
      </c>
      <c r="Q105" s="181">
        <f>P105</f>
        <v>0.02</v>
      </c>
      <c r="R105" s="181">
        <f>Q105</f>
        <v>0.02</v>
      </c>
      <c r="S105" s="166"/>
    </row>
    <row r="106" spans="1:19" ht="15.6" x14ac:dyDescent="0.25">
      <c r="A106" s="23" t="s">
        <v>10</v>
      </c>
      <c r="B106" s="26">
        <v>1282</v>
      </c>
      <c r="C106" s="26">
        <v>1492</v>
      </c>
      <c r="D106" s="26">
        <v>1470</v>
      </c>
      <c r="E106" s="26">
        <v>863</v>
      </c>
      <c r="F106" s="26">
        <v>883</v>
      </c>
      <c r="G106" s="160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66"/>
    </row>
    <row r="107" spans="1:19" ht="16.2" thickBot="1" x14ac:dyDescent="0.3">
      <c r="A107" s="23" t="s">
        <v>9</v>
      </c>
      <c r="B107" s="26"/>
      <c r="C107" s="26">
        <v>6894</v>
      </c>
      <c r="D107" s="26"/>
      <c r="E107" s="26"/>
      <c r="F107" s="26"/>
      <c r="G107" s="160"/>
      <c r="H107" s="230" t="s">
        <v>146</v>
      </c>
      <c r="I107" s="231">
        <v>2015</v>
      </c>
      <c r="J107" s="231">
        <v>2016</v>
      </c>
      <c r="K107" s="231">
        <v>2017</v>
      </c>
      <c r="L107" s="231">
        <v>2018</v>
      </c>
      <c r="M107" s="231">
        <v>2019</v>
      </c>
      <c r="N107" s="231">
        <v>2020</v>
      </c>
      <c r="O107" s="231">
        <v>2021</v>
      </c>
      <c r="P107" s="231">
        <v>2022</v>
      </c>
      <c r="Q107" s="231">
        <v>2023</v>
      </c>
      <c r="R107" s="232">
        <v>2024</v>
      </c>
      <c r="S107" s="166"/>
    </row>
    <row r="108" spans="1:19" ht="16.2" thickTop="1" x14ac:dyDescent="0.3">
      <c r="A108" s="23" t="s">
        <v>8</v>
      </c>
      <c r="B108" s="25">
        <v>19671</v>
      </c>
      <c r="C108" s="25">
        <v>20362</v>
      </c>
      <c r="D108" s="25">
        <v>12233</v>
      </c>
      <c r="E108" s="25">
        <v>13437</v>
      </c>
      <c r="F108" s="25">
        <v>15429</v>
      </c>
      <c r="G108" s="160"/>
      <c r="H108" s="118" t="s">
        <v>147</v>
      </c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66"/>
    </row>
    <row r="109" spans="1:19" ht="15.6" x14ac:dyDescent="0.3">
      <c r="A109" s="77"/>
      <c r="B109" s="77"/>
      <c r="C109" s="77"/>
      <c r="D109" s="77"/>
      <c r="E109" s="77"/>
      <c r="F109" s="77"/>
      <c r="G109" s="160"/>
      <c r="H109" s="119" t="s">
        <v>148</v>
      </c>
      <c r="I109" s="120"/>
      <c r="J109" s="120">
        <f t="shared" ref="J109:R109" si="26">J51</f>
        <v>364</v>
      </c>
      <c r="K109" s="120">
        <f t="shared" si="26"/>
        <v>1089</v>
      </c>
      <c r="L109" s="120">
        <f t="shared" si="26"/>
        <v>769</v>
      </c>
      <c r="M109" s="120">
        <f t="shared" si="26"/>
        <v>886</v>
      </c>
      <c r="N109" s="120">
        <f t="shared" ca="1" si="26"/>
        <v>490.62612612994769</v>
      </c>
      <c r="O109" s="120">
        <f t="shared" ca="1" si="26"/>
        <v>781.75597387595906</v>
      </c>
      <c r="P109" s="120">
        <f t="shared" ca="1" si="26"/>
        <v>927.25543633675966</v>
      </c>
      <c r="Q109" s="120">
        <f t="shared" ca="1" si="26"/>
        <v>1037.518961957159</v>
      </c>
      <c r="R109" s="120">
        <f t="shared" ca="1" si="26"/>
        <v>1109.8944829153829</v>
      </c>
      <c r="S109" s="166"/>
    </row>
    <row r="110" spans="1:19" ht="15.6" x14ac:dyDescent="0.3">
      <c r="A110" s="77" t="s">
        <v>232</v>
      </c>
      <c r="B110" s="77"/>
      <c r="C110" s="77"/>
      <c r="D110" s="77"/>
      <c r="E110" s="77"/>
      <c r="F110" s="77"/>
      <c r="G110" s="160"/>
      <c r="H110" s="121" t="s">
        <v>149</v>
      </c>
      <c r="I110" s="122"/>
      <c r="J110" s="122">
        <f t="shared" ref="J110:R110" si="27">-J44</f>
        <v>686</v>
      </c>
      <c r="K110" s="122">
        <f t="shared" si="27"/>
        <v>336</v>
      </c>
      <c r="L110" s="122">
        <f t="shared" si="27"/>
        <v>325</v>
      </c>
      <c r="M110" s="122">
        <f t="shared" si="27"/>
        <v>346</v>
      </c>
      <c r="N110" s="122">
        <f t="shared" si="27"/>
        <v>361.33803773157723</v>
      </c>
      <c r="O110" s="122">
        <f t="shared" si="27"/>
        <v>385.70141693474574</v>
      </c>
      <c r="P110" s="122">
        <f t="shared" si="27"/>
        <v>225.12402055971447</v>
      </c>
      <c r="Q110" s="122">
        <f t="shared" si="27"/>
        <v>121.0055685510675</v>
      </c>
      <c r="R110" s="122">
        <f t="shared" si="27"/>
        <v>65.167322079218522</v>
      </c>
      <c r="S110" s="166"/>
    </row>
    <row r="111" spans="1:19" ht="15.6" x14ac:dyDescent="0.3">
      <c r="A111" s="77" t="s">
        <v>233</v>
      </c>
      <c r="B111" s="21"/>
      <c r="C111" s="21"/>
      <c r="D111" s="21"/>
      <c r="E111" s="24"/>
      <c r="F111" s="24"/>
      <c r="G111" s="160"/>
      <c r="H111" s="119" t="s">
        <v>150</v>
      </c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66"/>
    </row>
    <row r="112" spans="1:19" ht="15.6" x14ac:dyDescent="0.3">
      <c r="A112" s="77" t="s">
        <v>234</v>
      </c>
      <c r="B112" s="21"/>
      <c r="C112" s="21"/>
      <c r="D112" s="21"/>
      <c r="E112" s="21"/>
      <c r="F112" s="21"/>
      <c r="G112" s="160"/>
      <c r="H112" s="121" t="s">
        <v>151</v>
      </c>
      <c r="I112" s="119"/>
      <c r="J112" s="123">
        <f t="shared" ref="J112:R112" si="28">-(J77-I77)</f>
        <v>-645</v>
      </c>
      <c r="K112" s="123">
        <f t="shared" si="28"/>
        <v>1058</v>
      </c>
      <c r="L112" s="123">
        <f t="shared" si="28"/>
        <v>-183</v>
      </c>
      <c r="M112" s="123">
        <f t="shared" si="28"/>
        <v>36</v>
      </c>
      <c r="N112" s="123">
        <f t="shared" si="28"/>
        <v>107.92972512493225</v>
      </c>
      <c r="O112" s="123">
        <f t="shared" si="28"/>
        <v>-583.29894832405216</v>
      </c>
      <c r="P112" s="123">
        <f t="shared" si="28"/>
        <v>431.33932094189254</v>
      </c>
      <c r="Q112" s="123">
        <f t="shared" si="28"/>
        <v>-133.55219689220689</v>
      </c>
      <c r="R112" s="123">
        <f t="shared" si="28"/>
        <v>-110.42867219323875</v>
      </c>
      <c r="S112" s="166"/>
    </row>
    <row r="113" spans="1:19" ht="15.6" x14ac:dyDescent="0.3">
      <c r="A113" s="77" t="s">
        <v>235</v>
      </c>
      <c r="B113" s="25">
        <v>10</v>
      </c>
      <c r="C113" s="25">
        <v>10</v>
      </c>
      <c r="D113" s="25">
        <v>3</v>
      </c>
      <c r="E113" s="25">
        <v>3</v>
      </c>
      <c r="F113" s="25">
        <v>3</v>
      </c>
      <c r="G113" s="160"/>
      <c r="H113" s="121" t="s">
        <v>152</v>
      </c>
      <c r="I113" s="119"/>
      <c r="J113" s="123">
        <f t="shared" ref="J113:R113" si="29">J84-I84</f>
        <v>241</v>
      </c>
      <c r="K113" s="123">
        <f t="shared" si="29"/>
        <v>-476</v>
      </c>
      <c r="L113" s="123">
        <f t="shared" si="29"/>
        <v>407</v>
      </c>
      <c r="M113" s="123">
        <f t="shared" si="29"/>
        <v>256</v>
      </c>
      <c r="N113" s="123">
        <f t="shared" si="29"/>
        <v>-562.49837414440663</v>
      </c>
      <c r="O113" s="123">
        <f t="shared" si="29"/>
        <v>748.50105184678796</v>
      </c>
      <c r="P113" s="123">
        <f t="shared" si="29"/>
        <v>200.50839874729354</v>
      </c>
      <c r="Q113" s="123">
        <f t="shared" si="29"/>
        <v>237.52093476827122</v>
      </c>
      <c r="R113" s="123">
        <f t="shared" si="29"/>
        <v>285.6481084329821</v>
      </c>
      <c r="S113" s="166"/>
    </row>
    <row r="114" spans="1:19" ht="15.6" x14ac:dyDescent="0.3">
      <c r="A114" s="22" t="s">
        <v>7</v>
      </c>
      <c r="B114" s="27">
        <v>0</v>
      </c>
      <c r="C114" s="27">
        <v>0</v>
      </c>
      <c r="D114" s="26">
        <v>-891</v>
      </c>
      <c r="E114" s="26">
        <v>-2625</v>
      </c>
      <c r="F114" s="26">
        <v>-4169</v>
      </c>
      <c r="G114" s="160"/>
      <c r="H114" s="106" t="s">
        <v>255</v>
      </c>
      <c r="I114" s="106"/>
      <c r="J114" s="123"/>
      <c r="K114" s="123"/>
      <c r="L114" s="123"/>
      <c r="M114" s="123"/>
      <c r="N114" s="106"/>
      <c r="O114" s="106"/>
      <c r="P114" s="106"/>
      <c r="Q114" s="106"/>
      <c r="R114" s="106"/>
      <c r="S114" s="166"/>
    </row>
    <row r="115" spans="1:19" ht="16.2" thickBot="1" x14ac:dyDescent="0.35">
      <c r="A115" s="22"/>
      <c r="B115" s="26"/>
      <c r="C115" s="26"/>
      <c r="D115" s="26"/>
      <c r="E115" s="26"/>
      <c r="F115" s="26"/>
      <c r="G115" s="160"/>
      <c r="H115" s="252" t="s">
        <v>153</v>
      </c>
      <c r="I115" s="253"/>
      <c r="J115" s="254">
        <f>SUM(J109:J114)</f>
        <v>646</v>
      </c>
      <c r="K115" s="254">
        <f>SUM(K109:K114)</f>
        <v>2007</v>
      </c>
      <c r="L115" s="254">
        <f>SUM(L109:L114)</f>
        <v>1318</v>
      </c>
      <c r="M115" s="254">
        <f>SUM(M109:M114)</f>
        <v>1524</v>
      </c>
      <c r="N115" s="254">
        <f ca="1">SUM(N109:N113)</f>
        <v>397.39551484205049</v>
      </c>
      <c r="O115" s="254">
        <f ca="1">SUM(O109:O113)</f>
        <v>1332.6594943334405</v>
      </c>
      <c r="P115" s="254">
        <f ca="1">SUM(P109:P113)</f>
        <v>1784.2271765856601</v>
      </c>
      <c r="Q115" s="254">
        <f ca="1">SUM(Q109:Q113)</f>
        <v>1262.4932683842908</v>
      </c>
      <c r="R115" s="255">
        <f ca="1">SUM(R109:R113)</f>
        <v>1350.2812412343449</v>
      </c>
      <c r="S115" s="166"/>
    </row>
    <row r="116" spans="1:19" ht="16.2" thickTop="1" x14ac:dyDescent="0.3">
      <c r="A116" s="23" t="s">
        <v>6</v>
      </c>
      <c r="B116" s="26">
        <v>10151</v>
      </c>
      <c r="C116" s="26">
        <v>10220</v>
      </c>
      <c r="D116" s="26">
        <v>10298</v>
      </c>
      <c r="E116" s="26">
        <v>10372</v>
      </c>
      <c r="F116" s="26">
        <v>10489</v>
      </c>
      <c r="G116" s="160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66"/>
    </row>
    <row r="117" spans="1:19" ht="15.6" x14ac:dyDescent="0.3">
      <c r="A117" s="23" t="s">
        <v>5</v>
      </c>
      <c r="B117" s="26">
        <v>-3392</v>
      </c>
      <c r="C117" s="26">
        <v>-3323</v>
      </c>
      <c r="D117" s="26">
        <v>-6596</v>
      </c>
      <c r="E117" s="26">
        <v>-6417</v>
      </c>
      <c r="F117" s="26">
        <v>-5965</v>
      </c>
      <c r="G117" s="160"/>
      <c r="H117" s="118" t="s">
        <v>154</v>
      </c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66"/>
    </row>
    <row r="118" spans="1:19" ht="15.6" x14ac:dyDescent="0.3">
      <c r="A118" s="23" t="s">
        <v>4</v>
      </c>
      <c r="B118" s="268">
        <v>-784</v>
      </c>
      <c r="C118" s="268">
        <v>-1001</v>
      </c>
      <c r="D118" s="268">
        <v>-742</v>
      </c>
      <c r="E118" s="268">
        <v>-782</v>
      </c>
      <c r="F118" s="268">
        <v>-840</v>
      </c>
      <c r="G118" s="160"/>
      <c r="H118" s="121" t="s">
        <v>155</v>
      </c>
      <c r="I118" s="119"/>
      <c r="J118" s="124">
        <f t="shared" ref="J118:R118" si="30">-(J79-I79)</f>
        <v>2077</v>
      </c>
      <c r="K118" s="124">
        <f t="shared" si="30"/>
        <v>10308</v>
      </c>
      <c r="L118" s="124">
        <f t="shared" si="30"/>
        <v>279</v>
      </c>
      <c r="M118" s="124">
        <f t="shared" si="30"/>
        <v>-880</v>
      </c>
      <c r="N118" s="124">
        <f t="shared" si="30"/>
        <v>1277.4594468299401</v>
      </c>
      <c r="O118" s="124">
        <f t="shared" si="30"/>
        <v>-3648.7241817074992</v>
      </c>
      <c r="P118" s="124">
        <f t="shared" si="30"/>
        <v>-1265.2095347658342</v>
      </c>
      <c r="Q118" s="124">
        <f t="shared" si="30"/>
        <v>-1332.5355933343562</v>
      </c>
      <c r="R118" s="124">
        <f t="shared" si="30"/>
        <v>-1341.3907925944768</v>
      </c>
      <c r="S118" s="166"/>
    </row>
    <row r="119" spans="1:19" ht="15.6" x14ac:dyDescent="0.3">
      <c r="A119" s="23" t="s">
        <v>3</v>
      </c>
      <c r="B119" s="26">
        <v>5985</v>
      </c>
      <c r="C119" s="26">
        <f>SUM(C116:C118)</f>
        <v>5896</v>
      </c>
      <c r="D119" s="26">
        <v>2072</v>
      </c>
      <c r="E119" s="26">
        <v>551</v>
      </c>
      <c r="F119" s="26">
        <v>-482</v>
      </c>
      <c r="G119" s="160"/>
      <c r="H119" s="106" t="s">
        <v>256</v>
      </c>
      <c r="I119" s="106"/>
      <c r="J119" s="124"/>
      <c r="K119" s="124"/>
      <c r="L119" s="124"/>
      <c r="M119" s="124"/>
      <c r="N119" s="106"/>
      <c r="O119" s="106"/>
      <c r="P119" s="106"/>
      <c r="Q119" s="106"/>
      <c r="R119" s="106"/>
      <c r="S119" s="166"/>
    </row>
    <row r="120" spans="1:19" ht="16.2" thickBot="1" x14ac:dyDescent="0.35">
      <c r="A120" s="23" t="s">
        <v>2</v>
      </c>
      <c r="B120" s="26">
        <v>-34</v>
      </c>
      <c r="C120" s="26">
        <v>-50</v>
      </c>
      <c r="D120" s="26">
        <v>3</v>
      </c>
      <c r="E120" s="26">
        <v>7</v>
      </c>
      <c r="F120" s="26">
        <v>10</v>
      </c>
      <c r="G120" s="160"/>
      <c r="H120" s="252" t="s">
        <v>156</v>
      </c>
      <c r="I120" s="253"/>
      <c r="J120" s="254">
        <f>SUM(J118:J119)</f>
        <v>2077</v>
      </c>
      <c r="K120" s="254">
        <f>SUM(K118:K119)</f>
        <v>10308</v>
      </c>
      <c r="L120" s="254">
        <f>SUM(L118:L119)</f>
        <v>279</v>
      </c>
      <c r="M120" s="254">
        <f>SUM(M118:M119)</f>
        <v>-880</v>
      </c>
      <c r="N120" s="254">
        <f>N118</f>
        <v>1277.4594468299401</v>
      </c>
      <c r="O120" s="254">
        <f>O118</f>
        <v>-3648.7241817074992</v>
      </c>
      <c r="P120" s="254">
        <f>P118</f>
        <v>-1265.2095347658342</v>
      </c>
      <c r="Q120" s="254">
        <f>Q118</f>
        <v>-1332.5355933343562</v>
      </c>
      <c r="R120" s="255">
        <f>R118</f>
        <v>-1341.3907925944768</v>
      </c>
      <c r="S120" s="166"/>
    </row>
    <row r="121" spans="1:19" ht="16.2" thickTop="1" x14ac:dyDescent="0.3">
      <c r="A121" s="23" t="s">
        <v>1</v>
      </c>
      <c r="B121" s="26">
        <v>5951</v>
      </c>
      <c r="C121" s="26">
        <v>5849</v>
      </c>
      <c r="D121" s="26">
        <v>2075</v>
      </c>
      <c r="E121" s="26">
        <v>558</v>
      </c>
      <c r="F121" s="26">
        <v>-472</v>
      </c>
      <c r="G121" s="160"/>
      <c r="H121" s="119"/>
      <c r="I121" s="119"/>
      <c r="J121" s="122"/>
      <c r="K121" s="122"/>
      <c r="L121" s="122"/>
      <c r="M121" s="122"/>
      <c r="N121" s="122"/>
      <c r="O121" s="122"/>
      <c r="P121" s="122"/>
      <c r="Q121" s="122"/>
      <c r="R121" s="122"/>
      <c r="S121" s="166"/>
    </row>
    <row r="122" spans="1:19" ht="15.6" x14ac:dyDescent="0.3">
      <c r="A122" s="76"/>
      <c r="B122" s="21"/>
      <c r="C122" s="42"/>
      <c r="D122" s="21"/>
      <c r="E122" s="24"/>
      <c r="F122" s="24"/>
      <c r="G122" s="160"/>
      <c r="H122" s="118" t="s">
        <v>157</v>
      </c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66"/>
    </row>
    <row r="123" spans="1:19" ht="15.6" x14ac:dyDescent="0.3">
      <c r="A123" s="23" t="s">
        <v>0</v>
      </c>
      <c r="B123" s="25">
        <v>25622</v>
      </c>
      <c r="C123" s="25">
        <v>26211</v>
      </c>
      <c r="D123" s="25">
        <v>14308</v>
      </c>
      <c r="E123" s="25">
        <v>13995</v>
      </c>
      <c r="F123" s="25">
        <v>14957</v>
      </c>
      <c r="G123" s="160"/>
      <c r="H123" s="121" t="s">
        <v>158</v>
      </c>
      <c r="I123" s="119"/>
      <c r="J123" s="124">
        <f t="shared" ref="J123:R123" si="31">J85-I85</f>
        <v>450</v>
      </c>
      <c r="K123" s="124">
        <f t="shared" si="31"/>
        <v>-7653</v>
      </c>
      <c r="L123" s="124">
        <f t="shared" si="31"/>
        <v>797</v>
      </c>
      <c r="M123" s="124">
        <f t="shared" si="31"/>
        <v>1736</v>
      </c>
      <c r="N123" s="124">
        <f t="shared" si="31"/>
        <v>1004.6400000000012</v>
      </c>
      <c r="O123" s="124">
        <f t="shared" si="31"/>
        <v>1085.0112000000008</v>
      </c>
      <c r="P123" s="124">
        <f t="shared" si="31"/>
        <v>1171.8120960000015</v>
      </c>
      <c r="Q123" s="124">
        <f t="shared" si="31"/>
        <v>1265.5570636800021</v>
      </c>
      <c r="R123" s="124">
        <f t="shared" si="31"/>
        <v>1366.8016287744031</v>
      </c>
      <c r="S123" s="166"/>
    </row>
    <row r="124" spans="1:19" ht="15.6" x14ac:dyDescent="0.3">
      <c r="A124" s="20" t="s">
        <v>229</v>
      </c>
      <c r="B124" s="39">
        <v>-2120</v>
      </c>
      <c r="C124" s="39">
        <v>-426</v>
      </c>
      <c r="D124" s="39">
        <v>-450</v>
      </c>
      <c r="E124" s="39">
        <v>-481</v>
      </c>
      <c r="F124" s="39">
        <v>-509</v>
      </c>
      <c r="G124" s="160"/>
      <c r="H124" s="121" t="s">
        <v>159</v>
      </c>
      <c r="I124" s="119"/>
      <c r="J124" s="124">
        <f t="shared" ref="J124:R124" si="32">(J89-I89)+(J91-I91)+(J92-I92)+(J93-I93)</f>
        <v>-148</v>
      </c>
      <c r="K124" s="124">
        <f t="shared" si="32"/>
        <v>-561</v>
      </c>
      <c r="L124" s="124">
        <f t="shared" si="32"/>
        <v>-1700</v>
      </c>
      <c r="M124" s="124">
        <f t="shared" si="32"/>
        <v>-1485</v>
      </c>
      <c r="N124" s="124">
        <f t="shared" si="32"/>
        <v>-47.516289066521651</v>
      </c>
      <c r="O124" s="124">
        <f t="shared" si="32"/>
        <v>-51.498484765087518</v>
      </c>
      <c r="P124" s="124">
        <f t="shared" si="32"/>
        <v>-55.689638400150898</v>
      </c>
      <c r="Q124" s="124">
        <f t="shared" si="32"/>
        <v>-60.101255432856412</v>
      </c>
      <c r="R124" s="124">
        <f t="shared" si="32"/>
        <v>-64.745507454570756</v>
      </c>
      <c r="S124" s="166"/>
    </row>
    <row r="125" spans="1:19" ht="15.6" x14ac:dyDescent="0.3">
      <c r="A125" s="14" t="s">
        <v>50</v>
      </c>
      <c r="B125" s="15"/>
      <c r="C125" s="15"/>
      <c r="D125" s="15"/>
      <c r="E125" s="15"/>
      <c r="F125" s="15"/>
      <c r="G125" s="160"/>
      <c r="H125" s="121" t="s">
        <v>160</v>
      </c>
      <c r="I125" s="119"/>
      <c r="J125" s="123">
        <f t="shared" ref="J125:R125" si="33">J52</f>
        <v>-275.77358490566036</v>
      </c>
      <c r="K125" s="123">
        <f t="shared" si="33"/>
        <v>-194.73053892215572</v>
      </c>
      <c r="L125" s="123">
        <f t="shared" si="33"/>
        <v>-181.18577075098815</v>
      </c>
      <c r="M125" s="123">
        <f t="shared" si="33"/>
        <v>-172.18241042345278</v>
      </c>
      <c r="N125" s="123">
        <f t="shared" ca="1" si="33"/>
        <v>-99.558657136046378</v>
      </c>
      <c r="O125" s="123">
        <f t="shared" ca="1" si="33"/>
        <v>-158.63520269721297</v>
      </c>
      <c r="P125" s="123">
        <f t="shared" ca="1" si="33"/>
        <v>-188.16019194080903</v>
      </c>
      <c r="Q125" s="123">
        <f t="shared" ca="1" si="33"/>
        <v>-210.53504716599824</v>
      </c>
      <c r="R125" s="123">
        <f t="shared" ca="1" si="33"/>
        <v>-225.22160642642797</v>
      </c>
      <c r="S125" s="166"/>
    </row>
    <row r="126" spans="1:19" ht="15.6" x14ac:dyDescent="0.3">
      <c r="A126" s="14" t="s">
        <v>93</v>
      </c>
      <c r="B126" s="15"/>
      <c r="C126" s="15"/>
      <c r="D126" s="15"/>
      <c r="E126" s="15"/>
      <c r="F126" s="15"/>
      <c r="G126" s="160"/>
      <c r="H126" s="106" t="s">
        <v>257</v>
      </c>
      <c r="I126" s="106"/>
      <c r="J126" s="123"/>
      <c r="K126" s="123"/>
      <c r="L126" s="123"/>
      <c r="M126" s="123"/>
      <c r="N126" s="106"/>
      <c r="O126" s="106"/>
      <c r="P126" s="106"/>
      <c r="Q126" s="106"/>
      <c r="R126" s="106"/>
      <c r="S126" s="166"/>
    </row>
    <row r="127" spans="1:19" ht="16.2" thickBot="1" x14ac:dyDescent="0.35">
      <c r="A127" s="14" t="s">
        <v>92</v>
      </c>
      <c r="B127" s="15" t="s">
        <v>49</v>
      </c>
      <c r="C127" s="30"/>
      <c r="D127" s="15"/>
      <c r="E127" s="15"/>
      <c r="F127" s="15"/>
      <c r="G127" s="160"/>
      <c r="H127" s="252" t="s">
        <v>161</v>
      </c>
      <c r="I127" s="253"/>
      <c r="J127" s="254">
        <f>SUM(J123:J126)</f>
        <v>26.226415094339643</v>
      </c>
      <c r="K127" s="254">
        <f>SUM(K123:K126)</f>
        <v>-8408.7305389221565</v>
      </c>
      <c r="L127" s="254">
        <f>SUM(L123:L126)</f>
        <v>-1084.1857707509882</v>
      </c>
      <c r="M127" s="254">
        <f>SUM(M123:M126)</f>
        <v>78.817589576547221</v>
      </c>
      <c r="N127" s="254">
        <f ca="1">SUM(N123:N125)</f>
        <v>857.56505379743328</v>
      </c>
      <c r="O127" s="254">
        <f ca="1">SUM(O123:O125)</f>
        <v>874.87751253770023</v>
      </c>
      <c r="P127" s="254">
        <f ca="1">SUM(P123:P125)</f>
        <v>927.96226565904158</v>
      </c>
      <c r="Q127" s="254">
        <f ca="1">SUM(Q123:Q125)</f>
        <v>994.92076108114759</v>
      </c>
      <c r="R127" s="255">
        <f ca="1">SUM(R123:R125)</f>
        <v>1076.8345148934043</v>
      </c>
      <c r="S127" s="166"/>
    </row>
    <row r="128" spans="1:19" ht="16.2" thickTop="1" x14ac:dyDescent="0.3">
      <c r="A128" s="15" t="s">
        <v>49</v>
      </c>
      <c r="B128" s="15">
        <v>2015</v>
      </c>
      <c r="C128" s="15">
        <v>2016</v>
      </c>
      <c r="D128" s="15">
        <v>2017</v>
      </c>
      <c r="E128" s="15">
        <v>2018</v>
      </c>
      <c r="F128" s="15">
        <v>2019</v>
      </c>
      <c r="G128" s="160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66"/>
    </row>
    <row r="129" spans="1:29" ht="15.6" x14ac:dyDescent="0.3">
      <c r="A129" s="15" t="s">
        <v>90</v>
      </c>
      <c r="B129" s="15"/>
      <c r="C129" s="15"/>
      <c r="D129" s="15"/>
      <c r="E129" s="15"/>
      <c r="F129" s="15"/>
      <c r="G129" s="160"/>
      <c r="H129" s="125" t="s">
        <v>162</v>
      </c>
      <c r="I129" s="125"/>
      <c r="J129" s="126">
        <f t="shared" ref="J129:R129" si="34">J127+J120+J115</f>
        <v>2749.2264150943397</v>
      </c>
      <c r="K129" s="126">
        <f t="shared" si="34"/>
        <v>3906.2694610778435</v>
      </c>
      <c r="L129" s="126">
        <f t="shared" si="34"/>
        <v>512.81422924901176</v>
      </c>
      <c r="M129" s="126">
        <f t="shared" si="34"/>
        <v>722.81758957654722</v>
      </c>
      <c r="N129" s="126">
        <f t="shared" ca="1" si="34"/>
        <v>2532.420015469424</v>
      </c>
      <c r="O129" s="126">
        <f t="shared" ca="1" si="34"/>
        <v>-1441.1871748363585</v>
      </c>
      <c r="P129" s="126">
        <f t="shared" ca="1" si="34"/>
        <v>1446.9799074788675</v>
      </c>
      <c r="Q129" s="126">
        <f t="shared" ca="1" si="34"/>
        <v>924.87843613108214</v>
      </c>
      <c r="R129" s="126">
        <f t="shared" ca="1" si="34"/>
        <v>1085.7249635332723</v>
      </c>
      <c r="S129" s="166"/>
    </row>
    <row r="130" spans="1:29" ht="15.6" x14ac:dyDescent="0.3">
      <c r="A130" s="15" t="s">
        <v>89</v>
      </c>
      <c r="B130" s="17">
        <v>1416</v>
      </c>
      <c r="C130" s="17">
        <v>364</v>
      </c>
      <c r="D130" s="17">
        <v>1089</v>
      </c>
      <c r="E130" s="17">
        <v>769</v>
      </c>
      <c r="F130" s="17">
        <v>886</v>
      </c>
      <c r="G130" s="160"/>
      <c r="H130" s="127" t="s">
        <v>163</v>
      </c>
      <c r="I130" s="127"/>
      <c r="J130" s="128">
        <f t="shared" ref="J130:R130" si="35">I74</f>
        <v>856</v>
      </c>
      <c r="K130" s="128">
        <f t="shared" si="35"/>
        <v>1684</v>
      </c>
      <c r="L130" s="128">
        <f t="shared" si="35"/>
        <v>670</v>
      </c>
      <c r="M130" s="128">
        <f t="shared" si="35"/>
        <v>484</v>
      </c>
      <c r="N130" s="128">
        <f t="shared" si="35"/>
        <v>630</v>
      </c>
      <c r="O130" s="128">
        <f t="shared" ca="1" si="35"/>
        <v>3162.420015469424</v>
      </c>
      <c r="P130" s="128">
        <f t="shared" ca="1" si="35"/>
        <v>1721.2328406330655</v>
      </c>
      <c r="Q130" s="128">
        <f t="shared" ca="1" si="35"/>
        <v>3168.2127481119333</v>
      </c>
      <c r="R130" s="128">
        <f t="shared" ca="1" si="35"/>
        <v>4093.0911842430155</v>
      </c>
      <c r="S130" s="166"/>
    </row>
    <row r="131" spans="1:29" ht="16.2" thickBot="1" x14ac:dyDescent="0.35">
      <c r="A131" s="16" t="s">
        <v>88</v>
      </c>
      <c r="B131" s="15"/>
      <c r="C131" s="15"/>
      <c r="D131" s="15"/>
      <c r="E131" s="15"/>
      <c r="F131" s="15"/>
      <c r="G131" s="160"/>
      <c r="H131" s="248" t="s">
        <v>164</v>
      </c>
      <c r="I131" s="249"/>
      <c r="J131" s="250">
        <f>Main!C176</f>
        <v>1684</v>
      </c>
      <c r="K131" s="250">
        <f>Main!D176</f>
        <v>670</v>
      </c>
      <c r="L131" s="250">
        <f>Main!E176</f>
        <v>484</v>
      </c>
      <c r="M131" s="250">
        <f>Main!F176</f>
        <v>630</v>
      </c>
      <c r="N131" s="250">
        <f ca="1">SUM(N129:N130)</f>
        <v>3162.420015469424</v>
      </c>
      <c r="O131" s="250">
        <f ca="1">SUM(O129:O130)</f>
        <v>1721.2328406330655</v>
      </c>
      <c r="P131" s="250">
        <f ca="1">SUM(P129:P130)</f>
        <v>3168.2127481119333</v>
      </c>
      <c r="Q131" s="250">
        <f ca="1">SUM(Q129:Q130)</f>
        <v>4093.0911842430155</v>
      </c>
      <c r="R131" s="251">
        <f ca="1">SUM(R129:R130)</f>
        <v>5178.8161477762878</v>
      </c>
      <c r="S131" s="166"/>
    </row>
    <row r="132" spans="1:29" ht="16.2" thickTop="1" x14ac:dyDescent="0.3">
      <c r="A132" s="16" t="s">
        <v>87</v>
      </c>
      <c r="B132" s="15"/>
      <c r="C132" s="15"/>
      <c r="D132" s="15"/>
      <c r="E132" s="15"/>
      <c r="F132" s="15"/>
      <c r="G132" s="160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166"/>
    </row>
    <row r="133" spans="1:29" ht="16.2" thickBot="1" x14ac:dyDescent="0.3">
      <c r="A133" s="15" t="s">
        <v>86</v>
      </c>
      <c r="B133" s="18"/>
      <c r="C133" s="18"/>
      <c r="D133" s="18">
        <v>17</v>
      </c>
      <c r="E133" s="18">
        <v>27</v>
      </c>
      <c r="F133" s="18">
        <v>29</v>
      </c>
      <c r="G133" s="160"/>
      <c r="H133" s="230" t="s">
        <v>165</v>
      </c>
      <c r="I133" s="231">
        <v>2015</v>
      </c>
      <c r="J133" s="231">
        <v>2016</v>
      </c>
      <c r="K133" s="231">
        <v>2017</v>
      </c>
      <c r="L133" s="231">
        <v>2018</v>
      </c>
      <c r="M133" s="231">
        <v>2019</v>
      </c>
      <c r="N133" s="231">
        <v>2020</v>
      </c>
      <c r="O133" s="231">
        <v>2021</v>
      </c>
      <c r="P133" s="231">
        <v>2022</v>
      </c>
      <c r="Q133" s="231">
        <v>2023</v>
      </c>
      <c r="R133" s="232">
        <v>2024</v>
      </c>
      <c r="S133" s="166"/>
    </row>
    <row r="134" spans="1:29" ht="16.2" thickTop="1" x14ac:dyDescent="0.3">
      <c r="A134" s="15" t="s">
        <v>85</v>
      </c>
      <c r="B134" s="18">
        <v>692</v>
      </c>
      <c r="C134" s="18">
        <v>686</v>
      </c>
      <c r="D134" s="18">
        <v>336</v>
      </c>
      <c r="E134" s="18">
        <v>325</v>
      </c>
      <c r="F134" s="18">
        <v>346</v>
      </c>
      <c r="G134" s="160"/>
      <c r="H134" s="119" t="s">
        <v>133</v>
      </c>
      <c r="I134" s="119"/>
      <c r="J134" s="120">
        <f t="shared" ref="J134:R134" si="36">J51</f>
        <v>364</v>
      </c>
      <c r="K134" s="120">
        <f t="shared" si="36"/>
        <v>1089</v>
      </c>
      <c r="L134" s="120">
        <f t="shared" si="36"/>
        <v>769</v>
      </c>
      <c r="M134" s="120">
        <f t="shared" si="36"/>
        <v>886</v>
      </c>
      <c r="N134" s="120">
        <f t="shared" ca="1" si="36"/>
        <v>490.62612612994769</v>
      </c>
      <c r="O134" s="120">
        <f t="shared" ca="1" si="36"/>
        <v>781.75597387595906</v>
      </c>
      <c r="P134" s="120">
        <f t="shared" ca="1" si="36"/>
        <v>927.25543633675966</v>
      </c>
      <c r="Q134" s="120">
        <f t="shared" ca="1" si="36"/>
        <v>1037.518961957159</v>
      </c>
      <c r="R134" s="120">
        <f t="shared" ca="1" si="36"/>
        <v>1109.8944829153829</v>
      </c>
      <c r="S134" s="166"/>
    </row>
    <row r="135" spans="1:29" ht="15.6" x14ac:dyDescent="0.3">
      <c r="A135" s="15" t="s">
        <v>84</v>
      </c>
      <c r="B135" s="18">
        <v>-306</v>
      </c>
      <c r="C135" s="18">
        <v>-9</v>
      </c>
      <c r="D135" s="19">
        <v>0</v>
      </c>
      <c r="E135" s="19">
        <v>0</v>
      </c>
      <c r="F135" s="18">
        <v>-81</v>
      </c>
      <c r="G135" s="160"/>
      <c r="H135" s="121" t="s">
        <v>149</v>
      </c>
      <c r="I135" s="119"/>
      <c r="J135" s="122">
        <f t="shared" ref="J135:R135" si="37">-J44</f>
        <v>686</v>
      </c>
      <c r="K135" s="122">
        <f t="shared" si="37"/>
        <v>336</v>
      </c>
      <c r="L135" s="122">
        <f t="shared" si="37"/>
        <v>325</v>
      </c>
      <c r="M135" s="122">
        <f t="shared" si="37"/>
        <v>346</v>
      </c>
      <c r="N135" s="122">
        <f t="shared" si="37"/>
        <v>361.33803773157723</v>
      </c>
      <c r="O135" s="122">
        <f t="shared" si="37"/>
        <v>385.70141693474574</v>
      </c>
      <c r="P135" s="122">
        <f t="shared" si="37"/>
        <v>225.12402055971447</v>
      </c>
      <c r="Q135" s="122">
        <f t="shared" si="37"/>
        <v>121.0055685510675</v>
      </c>
      <c r="R135" s="122">
        <f t="shared" si="37"/>
        <v>65.167322079218522</v>
      </c>
      <c r="S135" s="166"/>
    </row>
    <row r="136" spans="1:29" ht="15.6" x14ac:dyDescent="0.3">
      <c r="A136" s="15" t="s">
        <v>83</v>
      </c>
      <c r="B136" s="31">
        <v>41</v>
      </c>
      <c r="C136" s="31">
        <v>13</v>
      </c>
      <c r="D136" s="18">
        <v>-3</v>
      </c>
      <c r="E136" s="18">
        <v>11</v>
      </c>
      <c r="F136" s="18">
        <v>2</v>
      </c>
      <c r="G136" s="160"/>
      <c r="H136" s="121" t="s">
        <v>166</v>
      </c>
      <c r="I136" s="119"/>
      <c r="J136" s="122">
        <f t="shared" ref="J136:R136" si="38">J112</f>
        <v>-645</v>
      </c>
      <c r="K136" s="122">
        <f t="shared" si="38"/>
        <v>1058</v>
      </c>
      <c r="L136" s="122">
        <f t="shared" si="38"/>
        <v>-183</v>
      </c>
      <c r="M136" s="122">
        <f t="shared" si="38"/>
        <v>36</v>
      </c>
      <c r="N136" s="129">
        <f t="shared" si="38"/>
        <v>107.92972512493225</v>
      </c>
      <c r="O136" s="129">
        <f t="shared" si="38"/>
        <v>-583.29894832405216</v>
      </c>
      <c r="P136" s="129">
        <f t="shared" si="38"/>
        <v>431.33932094189254</v>
      </c>
      <c r="Q136" s="129">
        <f t="shared" si="38"/>
        <v>-133.55219689220689</v>
      </c>
      <c r="R136" s="129">
        <f t="shared" si="38"/>
        <v>-110.42867219323875</v>
      </c>
      <c r="S136" s="166"/>
    </row>
    <row r="137" spans="1:29" ht="15.6" x14ac:dyDescent="0.3">
      <c r="A137" s="15" t="s">
        <v>82</v>
      </c>
      <c r="B137" s="19">
        <v>0</v>
      </c>
      <c r="C137" s="19">
        <v>0</v>
      </c>
      <c r="D137" s="18">
        <v>60</v>
      </c>
      <c r="E137" s="19">
        <v>0</v>
      </c>
      <c r="F137" s="19">
        <v>0</v>
      </c>
      <c r="G137" s="160"/>
      <c r="H137" s="121" t="s">
        <v>152</v>
      </c>
      <c r="I137" s="119"/>
      <c r="J137" s="122">
        <f t="shared" ref="J137:R137" si="39">J113</f>
        <v>241</v>
      </c>
      <c r="K137" s="122">
        <f t="shared" si="39"/>
        <v>-476</v>
      </c>
      <c r="L137" s="122">
        <f t="shared" si="39"/>
        <v>407</v>
      </c>
      <c r="M137" s="122">
        <f t="shared" si="39"/>
        <v>256</v>
      </c>
      <c r="N137" s="129">
        <f>N113</f>
        <v>-562.49837414440663</v>
      </c>
      <c r="O137" s="129">
        <f t="shared" si="39"/>
        <v>748.50105184678796</v>
      </c>
      <c r="P137" s="129">
        <f t="shared" si="39"/>
        <v>200.50839874729354</v>
      </c>
      <c r="Q137" s="129">
        <f t="shared" si="39"/>
        <v>237.52093476827122</v>
      </c>
      <c r="R137" s="129">
        <f t="shared" si="39"/>
        <v>285.6481084329821</v>
      </c>
      <c r="S137" s="166"/>
    </row>
    <row r="138" spans="1:29" ht="15.6" x14ac:dyDescent="0.3">
      <c r="A138" s="15" t="s">
        <v>81</v>
      </c>
      <c r="B138" s="18">
        <v>124</v>
      </c>
      <c r="C138" s="18">
        <v>65</v>
      </c>
      <c r="D138" s="18">
        <v>121</v>
      </c>
      <c r="E138" s="18">
        <v>127</v>
      </c>
      <c r="F138" s="18">
        <v>154</v>
      </c>
      <c r="G138" s="160"/>
      <c r="H138" s="121" t="s">
        <v>167</v>
      </c>
      <c r="I138" s="119"/>
      <c r="J138" s="129">
        <f t="shared" ref="J138:R138" si="40">J118</f>
        <v>2077</v>
      </c>
      <c r="K138" s="122">
        <f t="shared" si="40"/>
        <v>10308</v>
      </c>
      <c r="L138" s="122">
        <f t="shared" si="40"/>
        <v>279</v>
      </c>
      <c r="M138" s="122">
        <f t="shared" si="40"/>
        <v>-880</v>
      </c>
      <c r="N138" s="129">
        <f t="shared" si="40"/>
        <v>1277.4594468299401</v>
      </c>
      <c r="O138" s="129">
        <f t="shared" si="40"/>
        <v>-3648.7241817074992</v>
      </c>
      <c r="P138" s="129">
        <f t="shared" si="40"/>
        <v>-1265.2095347658342</v>
      </c>
      <c r="Q138" s="129">
        <f t="shared" si="40"/>
        <v>-1332.5355933343562</v>
      </c>
      <c r="R138" s="129">
        <f t="shared" si="40"/>
        <v>-1341.3907925944768</v>
      </c>
      <c r="S138" s="166"/>
    </row>
    <row r="139" spans="1:29" ht="15.6" x14ac:dyDescent="0.3">
      <c r="A139" s="15" t="s">
        <v>80</v>
      </c>
      <c r="B139" s="18">
        <v>38</v>
      </c>
      <c r="C139" s="18">
        <v>32</v>
      </c>
      <c r="D139" s="18">
        <v>15</v>
      </c>
      <c r="E139" s="18">
        <v>16</v>
      </c>
      <c r="F139" s="18">
        <v>16</v>
      </c>
      <c r="G139" s="160"/>
      <c r="H139" s="121" t="s">
        <v>168</v>
      </c>
      <c r="I139" s="119"/>
      <c r="J139" s="122">
        <f>-J47*(1+J68)</f>
        <v>170.2533864541833</v>
      </c>
      <c r="K139" s="122">
        <f>-K47*(1+K68)</f>
        <v>194.37848605577688</v>
      </c>
      <c r="L139" s="122">
        <f>-L47*(1+L68)</f>
        <v>264.65584415584419</v>
      </c>
      <c r="M139" s="122">
        <f>-M47*(1+M68)</f>
        <v>294.85852090032154</v>
      </c>
      <c r="N139" s="122">
        <f>-N47*(1+'Dashboard Calculations'!B3)</f>
        <v>372.36976295986966</v>
      </c>
      <c r="O139" s="122">
        <f>-O47*(1+O68)</f>
        <v>389.67815577600015</v>
      </c>
      <c r="P139" s="122">
        <f>-P47*(1+P68)</f>
        <v>408.28641612595209</v>
      </c>
      <c r="Q139" s="122">
        <f>-Q47*(1+Q68)</f>
        <v>426.47330650285681</v>
      </c>
      <c r="R139" s="122">
        <f>-R47*(1+R68)</f>
        <v>438.5609864053971</v>
      </c>
      <c r="S139" s="166"/>
    </row>
    <row r="140" spans="1:29" ht="15.6" x14ac:dyDescent="0.3">
      <c r="A140" s="15" t="s">
        <v>79</v>
      </c>
      <c r="B140" s="18">
        <v>26</v>
      </c>
      <c r="C140" s="18">
        <v>22</v>
      </c>
      <c r="D140" s="18">
        <v>1</v>
      </c>
      <c r="E140" s="18">
        <v>4</v>
      </c>
      <c r="F140" s="18">
        <v>2</v>
      </c>
      <c r="G140" s="160"/>
      <c r="H140" s="121" t="s">
        <v>169</v>
      </c>
      <c r="I140" s="119"/>
      <c r="J140" s="122">
        <f>-(1+J68)*J48</f>
        <v>-3.480478087649403</v>
      </c>
      <c r="K140" s="122">
        <f>-(1+K68)*K48</f>
        <v>0</v>
      </c>
      <c r="L140" s="122">
        <f>-(1+L68)*L48</f>
        <v>0</v>
      </c>
      <c r="M140" s="122">
        <f>-(1+M68)*M48</f>
        <v>0</v>
      </c>
      <c r="N140" s="122">
        <f ca="1">-(1+'Dashboard Calculations'!B3)*N48</f>
        <v>0</v>
      </c>
      <c r="O140" s="122">
        <f ca="1">-(1+O68)*O48</f>
        <v>0</v>
      </c>
      <c r="P140" s="122">
        <f ca="1">-(1+P68)*P48</f>
        <v>0</v>
      </c>
      <c r="Q140" s="122">
        <f ca="1">-(1+Q68)*Q48</f>
        <v>0</v>
      </c>
      <c r="R140" s="122">
        <f ca="1">-(1+R68)*R48</f>
        <v>0</v>
      </c>
      <c r="S140" s="166"/>
    </row>
    <row r="141" spans="1:29" ht="16.2" thickBot="1" x14ac:dyDescent="0.35">
      <c r="A141" s="15" t="s">
        <v>78</v>
      </c>
      <c r="B141" s="18">
        <v>-479</v>
      </c>
      <c r="C141" s="18">
        <v>-79</v>
      </c>
      <c r="D141" s="18">
        <v>-729</v>
      </c>
      <c r="E141" s="18">
        <v>-14</v>
      </c>
      <c r="F141" s="18">
        <v>-20</v>
      </c>
      <c r="G141" s="160"/>
      <c r="H141" s="248" t="s">
        <v>170</v>
      </c>
      <c r="I141" s="249"/>
      <c r="J141" s="250">
        <f t="shared" ref="J141:R141" si="41">SUM(J134:J140)</f>
        <v>2889.772908366534</v>
      </c>
      <c r="K141" s="250">
        <f t="shared" si="41"/>
        <v>12509.378486055777</v>
      </c>
      <c r="L141" s="250">
        <f t="shared" si="41"/>
        <v>1861.6558441558441</v>
      </c>
      <c r="M141" s="250">
        <f t="shared" si="41"/>
        <v>938.85852090032154</v>
      </c>
      <c r="N141" s="250">
        <f t="shared" ca="1" si="41"/>
        <v>2047.2247246318602</v>
      </c>
      <c r="O141" s="250">
        <f t="shared" ca="1" si="41"/>
        <v>-1926.3865315980588</v>
      </c>
      <c r="P141" s="250">
        <f t="shared" ca="1" si="41"/>
        <v>927.30405794577803</v>
      </c>
      <c r="Q141" s="250">
        <f t="shared" ca="1" si="41"/>
        <v>356.43098155279137</v>
      </c>
      <c r="R141" s="251">
        <f t="shared" ca="1" si="41"/>
        <v>447.45143504526516</v>
      </c>
      <c r="S141" s="166"/>
    </row>
    <row r="142" spans="1:29" ht="16.8" thickTop="1" thickBot="1" x14ac:dyDescent="0.3">
      <c r="A142" s="15" t="s">
        <v>77</v>
      </c>
      <c r="B142" s="18">
        <v>-37</v>
      </c>
      <c r="C142" s="18">
        <v>-55</v>
      </c>
      <c r="D142" s="18">
        <v>-75</v>
      </c>
      <c r="E142" s="18">
        <v>-103</v>
      </c>
      <c r="F142" s="18">
        <v>-90</v>
      </c>
      <c r="G142" s="160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66"/>
    </row>
    <row r="143" spans="1:29" ht="26.4" thickTop="1" thickBot="1" x14ac:dyDescent="0.3">
      <c r="A143" s="16" t="s">
        <v>76</v>
      </c>
      <c r="B143" s="15"/>
      <c r="C143" s="15"/>
      <c r="D143" s="15"/>
      <c r="E143" s="15"/>
      <c r="F143" s="15"/>
      <c r="G143" s="160"/>
      <c r="H143" s="324" t="s">
        <v>319</v>
      </c>
      <c r="I143" s="325"/>
      <c r="J143" s="325"/>
      <c r="K143" s="325"/>
      <c r="L143" s="325"/>
      <c r="M143" s="325"/>
      <c r="N143" s="325"/>
      <c r="O143" s="325"/>
      <c r="P143" s="325"/>
      <c r="Q143" s="325"/>
      <c r="R143" s="326"/>
      <c r="S143" s="166"/>
    </row>
    <row r="144" spans="1:29" ht="18.600000000000001" thickTop="1" thickBot="1" x14ac:dyDescent="0.35">
      <c r="A144" s="15" t="s">
        <v>75</v>
      </c>
      <c r="B144" s="18">
        <v>-47</v>
      </c>
      <c r="C144" s="18">
        <v>-143</v>
      </c>
      <c r="D144" s="18">
        <v>-204</v>
      </c>
      <c r="E144" s="18">
        <v>-161</v>
      </c>
      <c r="F144" s="18">
        <v>-105</v>
      </c>
      <c r="G144" s="160"/>
      <c r="H144" s="230" t="s">
        <v>171</v>
      </c>
      <c r="I144" s="119"/>
      <c r="J144" s="119"/>
      <c r="K144" s="130"/>
      <c r="L144" s="169"/>
      <c r="M144" s="317" t="s">
        <v>172</v>
      </c>
      <c r="N144" s="317"/>
      <c r="O144" s="317"/>
      <c r="P144" s="317"/>
      <c r="Q144" s="317"/>
      <c r="R144" s="131"/>
      <c r="S144" s="167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</row>
    <row r="145" spans="1:29" ht="19.2" thickTop="1" thickBot="1" x14ac:dyDescent="0.45">
      <c r="A145" s="15" t="s">
        <v>41</v>
      </c>
      <c r="B145" s="31">
        <v>-27</v>
      </c>
      <c r="C145" s="19">
        <v>0</v>
      </c>
      <c r="D145" s="18">
        <v>-11</v>
      </c>
      <c r="E145" s="18">
        <v>-39</v>
      </c>
      <c r="F145" s="18">
        <v>6</v>
      </c>
      <c r="G145" s="160"/>
      <c r="H145" s="119" t="s">
        <v>173</v>
      </c>
      <c r="I145" s="132">
        <f>(((1+M146)*(N146*O146))+(P146*Q146))/(O146+Q146)</f>
        <v>7.6220273881157249E-2</v>
      </c>
      <c r="J145" s="119"/>
      <c r="K145" s="119"/>
      <c r="L145" s="169"/>
      <c r="M145" s="259" t="s">
        <v>264</v>
      </c>
      <c r="N145" s="259" t="s">
        <v>265</v>
      </c>
      <c r="O145" s="259" t="s">
        <v>174</v>
      </c>
      <c r="P145" s="259" t="s">
        <v>266</v>
      </c>
      <c r="Q145" s="259" t="s">
        <v>175</v>
      </c>
      <c r="R145" s="119"/>
      <c r="S145" s="166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6.2" thickTop="1" x14ac:dyDescent="0.3">
      <c r="A146" s="15" t="s">
        <v>74</v>
      </c>
      <c r="B146" s="18">
        <v>32</v>
      </c>
      <c r="C146" s="18">
        <v>-2</v>
      </c>
      <c r="D146" s="18">
        <v>-24</v>
      </c>
      <c r="E146" s="18">
        <v>13</v>
      </c>
      <c r="F146" s="18">
        <v>15</v>
      </c>
      <c r="G146" s="160"/>
      <c r="H146" s="119" t="s">
        <v>176</v>
      </c>
      <c r="I146" s="242">
        <v>0.02</v>
      </c>
      <c r="J146" s="119"/>
      <c r="K146" s="119"/>
      <c r="L146" s="258"/>
      <c r="M146" s="133">
        <f>M68</f>
        <v>-0.28778135048231512</v>
      </c>
      <c r="N146" s="134">
        <f>-M65</f>
        <v>3.5414884516680921E-2</v>
      </c>
      <c r="O146" s="135">
        <f>M85</f>
        <v>12558</v>
      </c>
      <c r="P146" s="240">
        <f>I160</f>
        <v>9.598000000000001E-2</v>
      </c>
      <c r="Q146" s="241">
        <f>M54*112.94</f>
        <v>32410.469055374597</v>
      </c>
      <c r="R146" s="119"/>
      <c r="S146" s="166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.6" x14ac:dyDescent="0.3">
      <c r="A147" s="15" t="s">
        <v>22</v>
      </c>
      <c r="B147" s="18">
        <v>59</v>
      </c>
      <c r="C147" s="18">
        <v>217</v>
      </c>
      <c r="D147" s="18">
        <v>-17</v>
      </c>
      <c r="E147" s="18">
        <v>148</v>
      </c>
      <c r="F147" s="18">
        <v>99</v>
      </c>
      <c r="G147" s="160"/>
      <c r="H147" s="119" t="s">
        <v>177</v>
      </c>
      <c r="I147" s="243">
        <v>12.39</v>
      </c>
      <c r="J147" s="136" t="s">
        <v>254</v>
      </c>
      <c r="K147" s="119"/>
      <c r="L147" s="119"/>
      <c r="M147" s="318" t="s">
        <v>320</v>
      </c>
      <c r="N147" s="318"/>
      <c r="O147" s="318"/>
      <c r="P147" s="318"/>
      <c r="Q147" s="318"/>
      <c r="R147" s="119"/>
      <c r="S147" s="166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5.6" x14ac:dyDescent="0.3">
      <c r="A148" s="15" t="s">
        <v>73</v>
      </c>
      <c r="B148" s="18">
        <v>-212</v>
      </c>
      <c r="C148" s="18">
        <v>-219</v>
      </c>
      <c r="D148" s="18">
        <v>334</v>
      </c>
      <c r="E148" s="18">
        <v>-18</v>
      </c>
      <c r="F148" s="18">
        <v>-17</v>
      </c>
      <c r="G148" s="160"/>
      <c r="H148" s="119"/>
      <c r="I148" s="137"/>
      <c r="J148" s="119"/>
      <c r="K148" s="119"/>
      <c r="L148" s="296" t="s">
        <v>178</v>
      </c>
      <c r="M148" s="297"/>
      <c r="N148" s="298"/>
      <c r="O148" s="119"/>
      <c r="P148" s="296" t="s">
        <v>179</v>
      </c>
      <c r="Q148" s="297"/>
      <c r="R148" s="299"/>
      <c r="S148" s="166"/>
    </row>
    <row r="149" spans="1:29" ht="15.6" x14ac:dyDescent="0.3">
      <c r="A149" s="15" t="s">
        <v>72</v>
      </c>
      <c r="B149" s="18">
        <v>64</v>
      </c>
      <c r="C149" s="18">
        <v>154</v>
      </c>
      <c r="D149" s="18">
        <v>29</v>
      </c>
      <c r="E149" s="18">
        <v>207</v>
      </c>
      <c r="F149" s="18">
        <v>191</v>
      </c>
      <c r="G149" s="160"/>
      <c r="H149" s="119" t="s">
        <v>180</v>
      </c>
      <c r="I149" s="119"/>
      <c r="J149" s="119"/>
      <c r="K149" s="119"/>
      <c r="L149" s="138"/>
      <c r="M149" s="139">
        <f ca="1">R141*(1+I146)/(I145-I146)</f>
        <v>8118.0761358606151</v>
      </c>
      <c r="N149" s="140"/>
      <c r="O149" s="119"/>
      <c r="P149" s="138"/>
      <c r="Q149" s="141">
        <f>I147*M141</f>
        <v>11632.457073954984</v>
      </c>
      <c r="R149" s="161"/>
      <c r="S149" s="166"/>
    </row>
    <row r="150" spans="1:29" ht="18" x14ac:dyDescent="0.4">
      <c r="A150" s="15" t="s">
        <v>71</v>
      </c>
      <c r="B150" s="18">
        <v>154</v>
      </c>
      <c r="C150" s="18">
        <v>166</v>
      </c>
      <c r="D150" s="18">
        <v>-95</v>
      </c>
      <c r="E150" s="18">
        <v>-53</v>
      </c>
      <c r="F150" s="18">
        <v>-14</v>
      </c>
      <c r="G150" s="160"/>
      <c r="H150" s="142" t="s">
        <v>181</v>
      </c>
      <c r="I150" s="119"/>
      <c r="J150" s="119"/>
      <c r="K150" s="119"/>
      <c r="L150" s="143" t="s">
        <v>182</v>
      </c>
      <c r="M150" s="144">
        <f ca="1">M149/R141</f>
        <v>18.142921220130567</v>
      </c>
      <c r="N150" s="145"/>
      <c r="O150" s="142"/>
      <c r="P150" s="143" t="s">
        <v>267</v>
      </c>
      <c r="Q150" s="146">
        <f>I146</f>
        <v>0.02</v>
      </c>
      <c r="R150" s="162"/>
      <c r="S150" s="166"/>
    </row>
    <row r="151" spans="1:29" ht="15.6" x14ac:dyDescent="0.3">
      <c r="A151" s="15" t="s">
        <v>10</v>
      </c>
      <c r="B151" s="18">
        <v>20</v>
      </c>
      <c r="C151" s="18">
        <v>-36</v>
      </c>
      <c r="D151" s="18">
        <v>5</v>
      </c>
      <c r="E151" s="18">
        <v>-4</v>
      </c>
      <c r="F151" s="18">
        <v>2</v>
      </c>
      <c r="G151" s="160"/>
      <c r="H151" s="119" t="s">
        <v>183</v>
      </c>
      <c r="I151" s="119"/>
      <c r="J151" s="119"/>
      <c r="K151" s="119"/>
      <c r="L151" s="147"/>
      <c r="M151" s="148">
        <f ca="1">NPV(I145,N141:R141)*(1+I145)^0</f>
        <v>1558.5562283284537</v>
      </c>
      <c r="N151" s="149"/>
      <c r="O151" s="119"/>
      <c r="P151" s="147"/>
      <c r="Q151" s="148">
        <f ca="1">NPV(I145,N141:R141)*(1+I145)^0</f>
        <v>1558.5562283284537</v>
      </c>
      <c r="R151" s="163"/>
      <c r="S151" s="166"/>
    </row>
    <row r="152" spans="1:29" ht="15.6" x14ac:dyDescent="0.3">
      <c r="A152" s="14" t="s">
        <v>70</v>
      </c>
      <c r="B152" s="18">
        <v>1407</v>
      </c>
      <c r="C152" s="18">
        <v>1350</v>
      </c>
      <c r="D152" s="18">
        <v>849</v>
      </c>
      <c r="E152" s="18">
        <v>1255</v>
      </c>
      <c r="F152" s="18">
        <v>1384</v>
      </c>
      <c r="G152" s="160"/>
      <c r="H152" s="119" t="s">
        <v>184</v>
      </c>
      <c r="I152" s="119"/>
      <c r="J152" s="119"/>
      <c r="K152" s="119"/>
      <c r="L152" s="150"/>
      <c r="M152" s="151">
        <f ca="1">M149/(1+$I$145)^($R$107-$M$107)</f>
        <v>5622.7305874625417</v>
      </c>
      <c r="N152" s="152"/>
      <c r="O152" s="119"/>
      <c r="P152" s="150"/>
      <c r="Q152" s="151">
        <f>Q149/(1+$I$145)^($R$107-$M$107)</f>
        <v>8056.8562184515467</v>
      </c>
      <c r="R152" s="164"/>
      <c r="S152" s="166"/>
    </row>
    <row r="153" spans="1:29" ht="15.6" x14ac:dyDescent="0.3">
      <c r="A153" s="14" t="s">
        <v>69</v>
      </c>
      <c r="B153" s="15"/>
      <c r="C153" s="15"/>
      <c r="D153" s="15"/>
      <c r="E153" s="15"/>
      <c r="F153" s="15"/>
      <c r="G153" s="160"/>
      <c r="H153" s="119" t="s">
        <v>185</v>
      </c>
      <c r="I153" s="119"/>
      <c r="J153" s="119"/>
      <c r="K153" s="119"/>
      <c r="L153" s="147"/>
      <c r="M153" s="153">
        <f ca="1">SUM(M151:M152)</f>
        <v>7181.2868157909952</v>
      </c>
      <c r="N153" s="149"/>
      <c r="O153" s="119"/>
      <c r="P153" s="147"/>
      <c r="Q153" s="153">
        <f ca="1">SUM(Q151:Q152)</f>
        <v>9615.4124467800011</v>
      </c>
      <c r="R153" s="163"/>
      <c r="S153" s="166"/>
    </row>
    <row r="154" spans="1:29" ht="15.6" x14ac:dyDescent="0.3">
      <c r="A154" s="15" t="s">
        <v>68</v>
      </c>
      <c r="B154" s="18">
        <v>-610</v>
      </c>
      <c r="C154" s="18">
        <v>-317</v>
      </c>
      <c r="D154" s="18">
        <v>-58</v>
      </c>
      <c r="E154" s="18">
        <v>-72</v>
      </c>
      <c r="F154" s="18">
        <v>-81</v>
      </c>
      <c r="G154" s="160"/>
      <c r="H154" s="119" t="s">
        <v>186</v>
      </c>
      <c r="I154" s="119"/>
      <c r="J154" s="119"/>
      <c r="K154" s="119"/>
      <c r="L154" s="147"/>
      <c r="M154" s="148">
        <f>$M$131</f>
        <v>630</v>
      </c>
      <c r="N154" s="149"/>
      <c r="O154" s="119"/>
      <c r="P154" s="147"/>
      <c r="Q154" s="148">
        <f>$M$131</f>
        <v>630</v>
      </c>
      <c r="R154" s="163"/>
      <c r="S154" s="166"/>
    </row>
    <row r="155" spans="1:29" ht="15.6" x14ac:dyDescent="0.3">
      <c r="A155" s="15" t="s">
        <v>67</v>
      </c>
      <c r="B155" s="19">
        <v>0</v>
      </c>
      <c r="C155" s="19">
        <v>0</v>
      </c>
      <c r="D155" s="18">
        <v>7</v>
      </c>
      <c r="E155" s="18">
        <v>50</v>
      </c>
      <c r="F155" s="18">
        <v>3</v>
      </c>
      <c r="G155" s="160"/>
      <c r="H155" s="119" t="s">
        <v>187</v>
      </c>
      <c r="I155" s="119"/>
      <c r="J155" s="119"/>
      <c r="K155" s="119"/>
      <c r="L155" s="147"/>
      <c r="M155" s="148">
        <f>$M$85</f>
        <v>12558</v>
      </c>
      <c r="N155" s="149"/>
      <c r="O155" s="119"/>
      <c r="P155" s="147"/>
      <c r="Q155" s="148">
        <f>$M$85</f>
        <v>12558</v>
      </c>
      <c r="R155" s="163"/>
      <c r="S155" s="166"/>
    </row>
    <row r="156" spans="1:29" ht="15.6" x14ac:dyDescent="0.3">
      <c r="A156" s="15" t="s">
        <v>66</v>
      </c>
      <c r="B156" s="18">
        <v>2205</v>
      </c>
      <c r="C156" s="18">
        <v>11</v>
      </c>
      <c r="D156" s="19">
        <v>0</v>
      </c>
      <c r="E156" s="19">
        <v>0</v>
      </c>
      <c r="F156" s="18">
        <v>120</v>
      </c>
      <c r="G156" s="160"/>
      <c r="H156" s="119" t="s">
        <v>188</v>
      </c>
      <c r="I156" s="119"/>
      <c r="J156" s="119"/>
      <c r="K156" s="119"/>
      <c r="L156" s="138"/>
      <c r="M156" s="141">
        <f ca="1">SUM(M153:M155)</f>
        <v>20369.286815790994</v>
      </c>
      <c r="N156" s="140"/>
      <c r="O156" s="119"/>
      <c r="P156" s="138"/>
      <c r="Q156" s="141">
        <f ca="1">SUM(Q153:Q155)</f>
        <v>22803.412446779999</v>
      </c>
      <c r="R156" s="161"/>
      <c r="S156" s="166"/>
    </row>
    <row r="157" spans="1:29" ht="15.6" x14ac:dyDescent="0.3">
      <c r="A157" s="15" t="s">
        <v>65</v>
      </c>
      <c r="B157" s="18">
        <v>-62</v>
      </c>
      <c r="C157" s="18">
        <v>-81</v>
      </c>
      <c r="D157" s="18">
        <v>-75</v>
      </c>
      <c r="E157" s="18">
        <v>-87</v>
      </c>
      <c r="F157" s="18">
        <v>-124</v>
      </c>
      <c r="G157" s="160"/>
      <c r="H157" s="119" t="s">
        <v>189</v>
      </c>
      <c r="I157" s="119"/>
      <c r="J157" s="119"/>
      <c r="K157" s="119"/>
      <c r="L157" s="147"/>
      <c r="M157" s="151">
        <f>Main!$F$54</f>
        <v>289.80263157894734</v>
      </c>
      <c r="N157" s="154"/>
      <c r="O157" s="119"/>
      <c r="P157" s="147"/>
      <c r="Q157" s="151">
        <f>Main!$F$54</f>
        <v>289.80263157894734</v>
      </c>
      <c r="R157" s="165"/>
      <c r="S157" s="166"/>
    </row>
    <row r="158" spans="1:29" ht="15.6" x14ac:dyDescent="0.3">
      <c r="A158" s="15" t="s">
        <v>10</v>
      </c>
      <c r="B158" s="31">
        <v>20</v>
      </c>
      <c r="C158" s="31">
        <v>-36</v>
      </c>
      <c r="D158" s="18">
        <v>-21</v>
      </c>
      <c r="E158" s="18">
        <v>-22</v>
      </c>
      <c r="F158" s="18">
        <v>-41</v>
      </c>
      <c r="G158" s="160"/>
      <c r="H158" s="119" t="s">
        <v>190</v>
      </c>
      <c r="I158" s="119"/>
      <c r="J158" s="119"/>
      <c r="K158" s="119"/>
      <c r="L158" s="155"/>
      <c r="M158" s="156">
        <f ca="1">M156/M157</f>
        <v>70.286755868336698</v>
      </c>
      <c r="N158" s="154"/>
      <c r="O158" s="119"/>
      <c r="P158" s="155"/>
      <c r="Q158" s="157">
        <f ca="1">Q156/Q157</f>
        <v>78.686008896948024</v>
      </c>
      <c r="R158" s="165"/>
      <c r="S158" s="166"/>
    </row>
    <row r="159" spans="1:29" ht="15.6" x14ac:dyDescent="0.25">
      <c r="A159" s="14" t="s">
        <v>64</v>
      </c>
      <c r="B159" s="31">
        <v>414</v>
      </c>
      <c r="C159" s="31">
        <v>-478</v>
      </c>
      <c r="D159" s="18">
        <v>-147</v>
      </c>
      <c r="E159" s="18">
        <v>-131</v>
      </c>
      <c r="F159" s="18">
        <v>-123</v>
      </c>
      <c r="G159" s="160"/>
      <c r="H159" s="106"/>
      <c r="I159" s="106"/>
      <c r="J159" s="106"/>
      <c r="K159" s="106"/>
      <c r="L159" s="106"/>
      <c r="M159" s="107"/>
      <c r="N159" s="106"/>
      <c r="O159" s="106"/>
      <c r="P159" s="106"/>
      <c r="Q159" s="106"/>
      <c r="R159" s="106"/>
      <c r="S159" s="166"/>
    </row>
    <row r="160" spans="1:29" ht="16.2" thickBot="1" x14ac:dyDescent="0.35">
      <c r="A160" s="16" t="s">
        <v>63</v>
      </c>
      <c r="B160" s="18"/>
      <c r="C160" s="18"/>
      <c r="D160" s="15"/>
      <c r="E160" s="15"/>
      <c r="F160" s="15"/>
      <c r="G160" s="160"/>
      <c r="H160" s="230" t="s">
        <v>237</v>
      </c>
      <c r="I160" s="132">
        <f>I161+(I162*(I163-I161))</f>
        <v>9.598000000000001E-2</v>
      </c>
      <c r="J160" s="106"/>
      <c r="K160" s="169"/>
      <c r="L160" s="169"/>
      <c r="M160" s="169"/>
      <c r="N160" s="169"/>
      <c r="O160" s="169"/>
      <c r="P160" s="169"/>
      <c r="Q160" s="169"/>
      <c r="R160" s="169"/>
      <c r="S160" s="166"/>
    </row>
    <row r="161" spans="1:19" ht="16.2" thickTop="1" x14ac:dyDescent="0.3">
      <c r="A161" s="15" t="s">
        <v>62</v>
      </c>
      <c r="B161" s="18">
        <v>48</v>
      </c>
      <c r="C161" s="18">
        <v>4715</v>
      </c>
      <c r="D161" s="18">
        <v>1824</v>
      </c>
      <c r="E161" s="18">
        <v>1676</v>
      </c>
      <c r="F161" s="18">
        <v>2200</v>
      </c>
      <c r="G161" s="160"/>
      <c r="H161" s="257" t="s">
        <v>252</v>
      </c>
      <c r="I161" s="242">
        <v>1.4800000000000001E-2</v>
      </c>
      <c r="J161" s="159" t="s">
        <v>253</v>
      </c>
      <c r="K161" s="106"/>
      <c r="L161" s="106"/>
      <c r="M161" s="106"/>
      <c r="N161" s="106"/>
      <c r="O161" s="106"/>
      <c r="P161" s="106"/>
      <c r="Q161" s="106"/>
      <c r="R161" s="106"/>
      <c r="S161" s="166"/>
    </row>
    <row r="162" spans="1:19" ht="15.6" x14ac:dyDescent="0.3">
      <c r="A162" s="15" t="s">
        <v>61</v>
      </c>
      <c r="B162" s="18">
        <v>-1624</v>
      </c>
      <c r="C162" s="18">
        <v>-4359</v>
      </c>
      <c r="D162" s="18">
        <v>-1860</v>
      </c>
      <c r="E162" s="18">
        <v>-1005</v>
      </c>
      <c r="F162" s="18">
        <v>-1547</v>
      </c>
      <c r="G162" s="160"/>
      <c r="H162" s="257" t="s">
        <v>248</v>
      </c>
      <c r="I162" s="243">
        <v>1.1000000000000001</v>
      </c>
      <c r="J162" s="159" t="s">
        <v>250</v>
      </c>
      <c r="K162" s="106"/>
      <c r="L162" s="106"/>
      <c r="M162" s="106"/>
      <c r="N162" s="106"/>
      <c r="O162" s="169"/>
      <c r="P162" s="169"/>
      <c r="Q162" s="169"/>
      <c r="R162" s="106"/>
      <c r="S162" s="166"/>
    </row>
    <row r="163" spans="1:19" ht="15.6" x14ac:dyDescent="0.3">
      <c r="A163" s="15" t="s">
        <v>60</v>
      </c>
      <c r="B163" s="19">
        <v>0</v>
      </c>
      <c r="C163" s="18">
        <v>-76</v>
      </c>
      <c r="D163" s="18">
        <v>-69</v>
      </c>
      <c r="E163" s="18">
        <v>-21</v>
      </c>
      <c r="F163" s="18">
        <v>-29</v>
      </c>
      <c r="G163" s="160"/>
      <c r="H163" s="257" t="s">
        <v>249</v>
      </c>
      <c r="I163" s="132">
        <v>8.8599999999999998E-2</v>
      </c>
      <c r="J163" s="159" t="s">
        <v>251</v>
      </c>
      <c r="K163" s="106"/>
      <c r="L163" s="106"/>
      <c r="M163" s="106"/>
      <c r="N163" s="106"/>
      <c r="O163" s="169"/>
      <c r="P163" s="169"/>
      <c r="Q163" s="169"/>
      <c r="R163" s="106"/>
      <c r="S163" s="166"/>
    </row>
    <row r="164" spans="1:19" ht="15.6" x14ac:dyDescent="0.25">
      <c r="A164" s="15" t="s">
        <v>59</v>
      </c>
      <c r="B164" s="18">
        <v>-138</v>
      </c>
      <c r="C164" s="18">
        <v>-277</v>
      </c>
      <c r="D164" s="18">
        <v>-195</v>
      </c>
      <c r="E164" s="18">
        <v>-181</v>
      </c>
      <c r="F164" s="18">
        <v>-172</v>
      </c>
      <c r="G164" s="160"/>
      <c r="H164" s="106"/>
      <c r="I164" s="106"/>
      <c r="J164" s="106"/>
      <c r="K164" s="106"/>
      <c r="L164" s="106"/>
      <c r="M164" s="106"/>
      <c r="N164" s="106"/>
      <c r="O164" s="169"/>
      <c r="P164" s="169"/>
      <c r="Q164" s="169"/>
      <c r="R164" s="106"/>
      <c r="S164" s="166"/>
    </row>
    <row r="165" spans="1:19" ht="15.6" x14ac:dyDescent="0.25">
      <c r="A165" s="15" t="s">
        <v>58</v>
      </c>
      <c r="B165" s="19">
        <v>0</v>
      </c>
      <c r="C165" s="19">
        <v>0</v>
      </c>
      <c r="D165" s="18">
        <v>-501</v>
      </c>
      <c r="E165" s="19">
        <v>0</v>
      </c>
      <c r="F165" s="19">
        <v>0</v>
      </c>
      <c r="G165" s="160"/>
      <c r="H165" s="106"/>
      <c r="I165" s="106"/>
      <c r="J165" s="106"/>
      <c r="K165" s="106"/>
      <c r="L165" s="106"/>
      <c r="M165" s="106"/>
      <c r="N165" s="106"/>
      <c r="O165" s="169"/>
      <c r="P165" s="169"/>
      <c r="Q165" s="169"/>
      <c r="R165" s="106"/>
      <c r="S165" s="166"/>
    </row>
    <row r="166" spans="1:19" ht="15.6" x14ac:dyDescent="0.25">
      <c r="A166" s="15" t="s">
        <v>57</v>
      </c>
      <c r="B166" s="19">
        <v>0</v>
      </c>
      <c r="C166" s="19">
        <v>0</v>
      </c>
      <c r="D166" s="18">
        <v>-891</v>
      </c>
      <c r="E166" s="18">
        <v>-1721</v>
      </c>
      <c r="F166" s="18">
        <v>-1538</v>
      </c>
      <c r="G166" s="160"/>
      <c r="H166" s="106"/>
      <c r="I166" s="106"/>
      <c r="J166" s="106"/>
      <c r="K166" s="106"/>
      <c r="L166" s="106"/>
      <c r="M166" s="106"/>
      <c r="N166" s="106"/>
      <c r="O166" s="158"/>
      <c r="P166" s="108"/>
      <c r="Q166" s="159"/>
      <c r="R166" s="106"/>
      <c r="S166" s="166"/>
    </row>
    <row r="167" spans="1:19" ht="15.6" x14ac:dyDescent="0.25">
      <c r="A167" s="15" t="s">
        <v>56</v>
      </c>
      <c r="B167" s="18">
        <v>8</v>
      </c>
      <c r="C167" s="19">
        <v>0</v>
      </c>
      <c r="D167" s="18">
        <v>-31</v>
      </c>
      <c r="E167" s="18">
        <v>-44</v>
      </c>
      <c r="F167" s="18">
        <v>-27</v>
      </c>
      <c r="G167" s="160"/>
      <c r="H167" s="107" t="s">
        <v>316</v>
      </c>
      <c r="I167" s="227">
        <f ca="1">(N77+N74)/N84</f>
        <v>1.9568928346195933</v>
      </c>
      <c r="J167" s="227">
        <f ca="1">(O77+O74)/O84</f>
        <v>1.1971209873400284</v>
      </c>
      <c r="K167" s="227">
        <f ca="1">(P77+P74)/P84</f>
        <v>1.4352192642318367</v>
      </c>
      <c r="L167" s="227">
        <f ca="1">(Q77+Q74)/Q84</f>
        <v>1.6405209637534575</v>
      </c>
      <c r="M167" s="227">
        <f ca="1">(R77+R74)/R84</f>
        <v>1.8329577482896899</v>
      </c>
      <c r="N167" s="106"/>
      <c r="O167" s="158"/>
      <c r="P167" s="108"/>
      <c r="Q167" s="159"/>
      <c r="R167" s="106"/>
      <c r="S167" s="166"/>
    </row>
    <row r="168" spans="1:19" x14ac:dyDescent="0.25">
      <c r="A168" s="15" t="s">
        <v>10</v>
      </c>
      <c r="B168" s="18">
        <v>-12</v>
      </c>
      <c r="C168" s="18">
        <v>-32</v>
      </c>
      <c r="D168" s="18">
        <v>-1</v>
      </c>
      <c r="E168" s="18">
        <v>-4</v>
      </c>
      <c r="F168" s="19">
        <v>0</v>
      </c>
      <c r="G168" s="160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166"/>
    </row>
    <row r="169" spans="1:19" x14ac:dyDescent="0.25">
      <c r="A169" s="14" t="s">
        <v>55</v>
      </c>
      <c r="B169" s="18">
        <v>-1714</v>
      </c>
      <c r="C169" s="18">
        <v>-29</v>
      </c>
      <c r="D169" s="18">
        <v>-1724</v>
      </c>
      <c r="E169" s="18">
        <v>-1300</v>
      </c>
      <c r="F169" s="18">
        <v>-1113</v>
      </c>
      <c r="G169" s="160"/>
      <c r="S169" s="166"/>
    </row>
    <row r="170" spans="1:19" x14ac:dyDescent="0.25">
      <c r="A170" s="14"/>
      <c r="B170" s="19"/>
      <c r="C170" s="19"/>
      <c r="D170" s="15"/>
      <c r="E170" s="15"/>
      <c r="F170" s="15"/>
      <c r="G170" s="160"/>
      <c r="S170" s="166"/>
    </row>
    <row r="171" spans="1:19" x14ac:dyDescent="0.25">
      <c r="A171" s="15" t="s">
        <v>54</v>
      </c>
      <c r="B171" s="31">
        <v>-19</v>
      </c>
      <c r="C171" s="31">
        <v>-15</v>
      </c>
      <c r="D171" s="18">
        <v>8</v>
      </c>
      <c r="E171" s="18">
        <v>-10</v>
      </c>
      <c r="F171" s="18">
        <v>-2</v>
      </c>
      <c r="G171" s="160"/>
      <c r="S171" s="166"/>
    </row>
    <row r="172" spans="1:19" x14ac:dyDescent="0.25">
      <c r="A172" s="15" t="s">
        <v>53</v>
      </c>
      <c r="B172" s="31"/>
      <c r="C172" s="31"/>
      <c r="D172" s="15"/>
      <c r="E172" s="15"/>
      <c r="F172" s="15"/>
      <c r="G172" s="160"/>
      <c r="S172" s="166"/>
    </row>
    <row r="173" spans="1:19" ht="65.400000000000006" customHeight="1" x14ac:dyDescent="0.25">
      <c r="A173" s="15" t="s">
        <v>331</v>
      </c>
      <c r="B173" s="31">
        <v>88</v>
      </c>
      <c r="C173" s="31">
        <v>828</v>
      </c>
      <c r="D173" s="18">
        <v>-1014</v>
      </c>
      <c r="E173" s="18">
        <v>-186</v>
      </c>
      <c r="F173" s="18">
        <v>146</v>
      </c>
      <c r="G173" s="160"/>
      <c r="S173" s="166"/>
    </row>
    <row r="174" spans="1:19" ht="118.8" customHeight="1" x14ac:dyDescent="0.25">
      <c r="A174" s="15" t="s">
        <v>332</v>
      </c>
      <c r="B174" s="18">
        <v>768</v>
      </c>
      <c r="C174" s="18">
        <v>856</v>
      </c>
      <c r="D174" s="18">
        <v>1684</v>
      </c>
      <c r="E174" s="18">
        <v>670</v>
      </c>
      <c r="F174" s="18">
        <v>484</v>
      </c>
    </row>
    <row r="175" spans="1:19" x14ac:dyDescent="0.25">
      <c r="A175" s="15"/>
      <c r="B175" s="18"/>
      <c r="C175" s="18"/>
      <c r="D175" s="15"/>
      <c r="E175" s="15"/>
      <c r="F175" s="15"/>
    </row>
    <row r="176" spans="1:19" x14ac:dyDescent="0.25">
      <c r="A176" s="15" t="s">
        <v>333</v>
      </c>
      <c r="B176" s="17">
        <v>856</v>
      </c>
      <c r="C176" s="17">
        <v>1684</v>
      </c>
      <c r="D176" s="17">
        <v>670</v>
      </c>
      <c r="E176" s="17">
        <v>484</v>
      </c>
      <c r="F176" s="17">
        <v>630</v>
      </c>
    </row>
    <row r="177" spans="1:6" x14ac:dyDescent="0.25">
      <c r="A177" s="15"/>
      <c r="B177" s="15"/>
      <c r="C177" s="15"/>
      <c r="D177" s="15"/>
      <c r="E177" s="18"/>
      <c r="F177" s="18"/>
    </row>
    <row r="178" spans="1:6" x14ac:dyDescent="0.25">
      <c r="A178" s="4"/>
      <c r="B178" s="4"/>
      <c r="C178" s="4"/>
      <c r="D178" s="4"/>
      <c r="E178" s="4"/>
      <c r="F178" s="4"/>
    </row>
    <row r="179" spans="1:6" x14ac:dyDescent="0.25">
      <c r="A179" s="4"/>
      <c r="B179" s="4"/>
      <c r="C179" s="4"/>
      <c r="D179" s="4"/>
      <c r="E179" s="4"/>
      <c r="F179" s="4"/>
    </row>
    <row r="180" spans="1:6" x14ac:dyDescent="0.25">
      <c r="A180" s="4"/>
      <c r="B180" s="4"/>
      <c r="C180" s="4"/>
      <c r="D180" s="4"/>
      <c r="E180" s="4"/>
      <c r="F180" s="4"/>
    </row>
  </sheetData>
  <mergeCells count="24">
    <mergeCell ref="M144:Q144"/>
    <mergeCell ref="M147:Q147"/>
    <mergeCell ref="H4:H5"/>
    <mergeCell ref="O28:O29"/>
    <mergeCell ref="Q28:Q29"/>
    <mergeCell ref="H33:R33"/>
    <mergeCell ref="H143:R143"/>
    <mergeCell ref="H16:R16"/>
    <mergeCell ref="L148:N148"/>
    <mergeCell ref="P148:R148"/>
    <mergeCell ref="H1:R1"/>
    <mergeCell ref="I9:M9"/>
    <mergeCell ref="I2:M2"/>
    <mergeCell ref="N2:R2"/>
    <mergeCell ref="N9:R9"/>
    <mergeCell ref="J5:K5"/>
    <mergeCell ref="J7:K7"/>
    <mergeCell ref="I3:M3"/>
    <mergeCell ref="H7:H8"/>
    <mergeCell ref="I10:M10"/>
    <mergeCell ref="L13:M14"/>
    <mergeCell ref="O25:Q25"/>
    <mergeCell ref="N11:R11"/>
    <mergeCell ref="N10:R10"/>
  </mergeCells>
  <pageMargins left="0.7" right="0.7" top="0.75" bottom="0.75" header="0.3" footer="0.3"/>
  <pageSetup orientation="landscape" r:id="rId1"/>
  <ignoredErrors>
    <ignoredError sqref="N60:R60 I52:N52 O99:R99" formula="1"/>
    <ignoredError sqref="I85:M85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Group Box 6">
              <controlPr defaultSize="0" autoFill="0" autoPict="0">
                <anchor moveWithCells="1">
                  <from>
                    <xdr:col>8</xdr:col>
                    <xdr:colOff>891540</xdr:colOff>
                    <xdr:row>10</xdr:row>
                    <xdr:rowOff>83820</xdr:rowOff>
                  </from>
                  <to>
                    <xdr:col>10</xdr:col>
                    <xdr:colOff>792480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Option Button 7">
              <controlPr defaultSize="0" autoFill="0" autoLine="0" autoPict="0">
                <anchor moveWithCells="1">
                  <from>
                    <xdr:col>10</xdr:col>
                    <xdr:colOff>579120</xdr:colOff>
                    <xdr:row>10</xdr:row>
                    <xdr:rowOff>182880</xdr:rowOff>
                  </from>
                  <to>
                    <xdr:col>10</xdr:col>
                    <xdr:colOff>876300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6" name="Option Button 10">
              <controlPr defaultSize="0" autoFill="0" autoLine="0" autoPict="0">
                <anchor moveWithCells="1">
                  <from>
                    <xdr:col>10</xdr:col>
                    <xdr:colOff>579120</xdr:colOff>
                    <xdr:row>11</xdr:row>
                    <xdr:rowOff>182880</xdr:rowOff>
                  </from>
                  <to>
                    <xdr:col>10</xdr:col>
                    <xdr:colOff>876300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7" name="Check Box 17">
              <controlPr defaultSize="0" autoFill="0" autoLine="0" autoPict="0">
                <anchor moveWithCells="1">
                  <from>
                    <xdr:col>7</xdr:col>
                    <xdr:colOff>3657600</xdr:colOff>
                    <xdr:row>9</xdr:row>
                    <xdr:rowOff>213360</xdr:rowOff>
                  </from>
                  <to>
                    <xdr:col>7</xdr:col>
                    <xdr:colOff>3954780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8" name="Check Box 18">
              <controlPr defaultSize="0" autoFill="0" autoLine="0" autoPict="0">
                <anchor moveWithCells="1">
                  <from>
                    <xdr:col>7</xdr:col>
                    <xdr:colOff>3657600</xdr:colOff>
                    <xdr:row>10</xdr:row>
                    <xdr:rowOff>175260</xdr:rowOff>
                  </from>
                  <to>
                    <xdr:col>7</xdr:col>
                    <xdr:colOff>3947160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9" name="Check Box 19">
              <controlPr defaultSize="0" autoFill="0" autoLine="0" autoPict="0">
                <anchor moveWithCells="1">
                  <from>
                    <xdr:col>7</xdr:col>
                    <xdr:colOff>3657600</xdr:colOff>
                    <xdr:row>11</xdr:row>
                    <xdr:rowOff>182880</xdr:rowOff>
                  </from>
                  <to>
                    <xdr:col>7</xdr:col>
                    <xdr:colOff>3947160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0" name="Check Box 20">
              <controlPr defaultSize="0" autoFill="0" autoLine="0" autoPict="0">
                <anchor moveWithCells="1">
                  <from>
                    <xdr:col>7</xdr:col>
                    <xdr:colOff>3657600</xdr:colOff>
                    <xdr:row>12</xdr:row>
                    <xdr:rowOff>190500</xdr:rowOff>
                  </from>
                  <to>
                    <xdr:col>7</xdr:col>
                    <xdr:colOff>3947160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1" name="Scroll Bar 22">
              <controlPr defaultSize="0" autoPict="0">
                <anchor moveWithCells="1">
                  <from>
                    <xdr:col>13</xdr:col>
                    <xdr:colOff>251460</xdr:colOff>
                    <xdr:row>5</xdr:row>
                    <xdr:rowOff>83820</xdr:rowOff>
                  </from>
                  <to>
                    <xdr:col>17</xdr:col>
                    <xdr:colOff>807720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2" name="Option Button 23">
              <controlPr defaultSize="0" autoFill="0" autoLine="0" autoPict="0">
                <anchor moveWithCells="1">
                  <from>
                    <xdr:col>10</xdr:col>
                    <xdr:colOff>579120</xdr:colOff>
                    <xdr:row>12</xdr:row>
                    <xdr:rowOff>167640</xdr:rowOff>
                  </from>
                  <to>
                    <xdr:col>10</xdr:col>
                    <xdr:colOff>876300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3" name="List Box 33">
              <controlPr defaultSize="0" autoLine="0" autoPict="0">
                <anchor moveWithCells="1">
                  <from>
                    <xdr:col>9</xdr:col>
                    <xdr:colOff>320040</xdr:colOff>
                    <xdr:row>4</xdr:row>
                    <xdr:rowOff>22860</xdr:rowOff>
                  </from>
                  <to>
                    <xdr:col>11</xdr:col>
                    <xdr:colOff>594360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4" name="Spinner 34">
              <controlPr defaultSize="0" autoPict="0">
                <anchor moveWithCells="1" sizeWithCells="1">
                  <from>
                    <xdr:col>7</xdr:col>
                    <xdr:colOff>2659380</xdr:colOff>
                    <xdr:row>3</xdr:row>
                    <xdr:rowOff>0</xdr:rowOff>
                  </from>
                  <to>
                    <xdr:col>7</xdr:col>
                    <xdr:colOff>3009900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5" name="List Box 35">
              <controlPr defaultSize="0" autoLine="0" autoPict="0">
                <anchor moveWithCells="1">
                  <from>
                    <xdr:col>13</xdr:col>
                    <xdr:colOff>693420</xdr:colOff>
                    <xdr:row>10</xdr:row>
                    <xdr:rowOff>144780</xdr:rowOff>
                  </from>
                  <to>
                    <xdr:col>17</xdr:col>
                    <xdr:colOff>327660</xdr:colOff>
                    <xdr:row>13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CCE4-F13A-4F3F-BD73-FFB9143E2E6F}">
  <dimension ref="A1:F40"/>
  <sheetViews>
    <sheetView showGridLines="0" workbookViewId="0">
      <selection activeCell="H3" sqref="H3"/>
    </sheetView>
  </sheetViews>
  <sheetFormatPr defaultRowHeight="13.8" x14ac:dyDescent="0.25"/>
  <cols>
    <col min="1" max="1" width="79.77734375" style="282" customWidth="1"/>
    <col min="2" max="6" width="12" style="282" bestFit="1" customWidth="1"/>
    <col min="7" max="16384" width="8.88671875" style="282"/>
  </cols>
  <sheetData>
    <row r="1" spans="1:6" ht="28.8" customHeight="1" x14ac:dyDescent="0.25">
      <c r="A1" s="327" t="s">
        <v>356</v>
      </c>
      <c r="B1" s="328" t="s">
        <v>334</v>
      </c>
      <c r="C1" s="328"/>
      <c r="D1" s="328"/>
      <c r="E1" s="328"/>
      <c r="F1" s="328"/>
    </row>
    <row r="2" spans="1:6" ht="14.4" x14ac:dyDescent="0.25">
      <c r="A2" s="327"/>
      <c r="B2" s="269" t="s">
        <v>352</v>
      </c>
      <c r="C2" s="269" t="s">
        <v>353</v>
      </c>
      <c r="D2" s="269" t="s">
        <v>335</v>
      </c>
      <c r="E2" s="269" t="s">
        <v>336</v>
      </c>
      <c r="F2" s="269" t="s">
        <v>337</v>
      </c>
    </row>
    <row r="3" spans="1:6" ht="14.4" x14ac:dyDescent="0.25">
      <c r="A3" s="283" t="s">
        <v>338</v>
      </c>
      <c r="B3" s="284"/>
      <c r="C3" s="284"/>
      <c r="D3" s="284"/>
      <c r="E3" s="284"/>
      <c r="F3" s="284"/>
    </row>
    <row r="4" spans="1:6" ht="14.4" x14ac:dyDescent="0.25">
      <c r="A4" s="285" t="s">
        <v>120</v>
      </c>
      <c r="B4" s="286">
        <v>1601</v>
      </c>
      <c r="C4" s="286">
        <v>1701</v>
      </c>
      <c r="D4" s="286">
        <v>1321</v>
      </c>
      <c r="E4" s="286">
        <v>1530</v>
      </c>
      <c r="F4" s="286">
        <v>1681</v>
      </c>
    </row>
    <row r="5" spans="1:6" ht="14.4" x14ac:dyDescent="0.25">
      <c r="A5" s="285" t="s">
        <v>113</v>
      </c>
      <c r="B5" s="287">
        <v>1308</v>
      </c>
      <c r="C5" s="287">
        <v>1390</v>
      </c>
      <c r="D5" s="286"/>
      <c r="E5" s="286"/>
      <c r="F5" s="286"/>
    </row>
    <row r="6" spans="1:6" ht="14.4" x14ac:dyDescent="0.25">
      <c r="A6" s="285" t="s">
        <v>119</v>
      </c>
      <c r="B6" s="287"/>
      <c r="C6" s="287"/>
      <c r="D6" s="287">
        <v>324</v>
      </c>
      <c r="E6" s="287">
        <v>321</v>
      </c>
      <c r="F6" s="287">
        <v>332</v>
      </c>
    </row>
    <row r="7" spans="1:6" ht="14.4" x14ac:dyDescent="0.25">
      <c r="A7" s="285" t="s">
        <v>118</v>
      </c>
      <c r="B7" s="285"/>
      <c r="C7" s="285"/>
      <c r="D7" s="287">
        <v>222</v>
      </c>
      <c r="E7" s="287">
        <v>235</v>
      </c>
      <c r="F7" s="287">
        <v>230</v>
      </c>
    </row>
    <row r="8" spans="1:6" ht="14.4" x14ac:dyDescent="0.25">
      <c r="A8" s="285" t="s">
        <v>112</v>
      </c>
      <c r="B8" s="287">
        <v>4233</v>
      </c>
      <c r="C8" s="287">
        <v>4126</v>
      </c>
      <c r="D8" s="287">
        <v>1432</v>
      </c>
      <c r="E8" s="287">
        <v>1484</v>
      </c>
      <c r="F8" s="287">
        <v>1422</v>
      </c>
    </row>
    <row r="9" spans="1:6" ht="14.4" x14ac:dyDescent="0.25">
      <c r="A9" s="285" t="s">
        <v>117</v>
      </c>
      <c r="B9" s="285"/>
      <c r="C9" s="285"/>
      <c r="D9" s="287">
        <v>105</v>
      </c>
      <c r="E9" s="287">
        <v>98</v>
      </c>
      <c r="F9" s="287">
        <v>101</v>
      </c>
    </row>
    <row r="10" spans="1:6" ht="14.4" x14ac:dyDescent="0.25">
      <c r="A10" s="285" t="s">
        <v>116</v>
      </c>
      <c r="B10" s="287">
        <v>4130</v>
      </c>
      <c r="C10" s="287">
        <v>4446</v>
      </c>
      <c r="D10" s="287">
        <v>4727</v>
      </c>
      <c r="E10" s="287">
        <v>5238</v>
      </c>
      <c r="F10" s="287">
        <v>5686</v>
      </c>
    </row>
    <row r="11" spans="1:6" ht="14.4" x14ac:dyDescent="0.25">
      <c r="A11" s="285" t="s">
        <v>121</v>
      </c>
      <c r="B11" s="288">
        <v>11272</v>
      </c>
      <c r="C11" s="288">
        <v>11663</v>
      </c>
      <c r="D11" s="288">
        <v>8131</v>
      </c>
      <c r="E11" s="288">
        <v>8906</v>
      </c>
      <c r="F11" s="288">
        <v>9452</v>
      </c>
    </row>
    <row r="12" spans="1:6" ht="14.4" x14ac:dyDescent="0.25">
      <c r="A12" s="285" t="s">
        <v>113</v>
      </c>
      <c r="B12" s="287">
        <v>897</v>
      </c>
      <c r="C12" s="287">
        <v>948</v>
      </c>
      <c r="D12" s="287"/>
      <c r="E12" s="285"/>
      <c r="F12" s="285"/>
    </row>
    <row r="13" spans="1:6" ht="14.4" x14ac:dyDescent="0.25">
      <c r="A13" s="285" t="s">
        <v>112</v>
      </c>
      <c r="B13" s="287">
        <v>3168</v>
      </c>
      <c r="C13" s="287">
        <v>3100</v>
      </c>
      <c r="D13" s="287">
        <v>1269</v>
      </c>
      <c r="E13" s="287">
        <v>1332</v>
      </c>
      <c r="F13" s="287">
        <v>1254</v>
      </c>
    </row>
    <row r="14" spans="1:6" ht="14.4" x14ac:dyDescent="0.25">
      <c r="A14" s="285" t="s">
        <v>111</v>
      </c>
      <c r="B14" s="287">
        <v>9</v>
      </c>
      <c r="C14" s="287">
        <v>15</v>
      </c>
      <c r="D14" s="287"/>
      <c r="E14" s="287"/>
      <c r="F14" s="287"/>
    </row>
    <row r="15" spans="1:6" ht="14.4" x14ac:dyDescent="0.25">
      <c r="A15" s="285" t="s">
        <v>85</v>
      </c>
      <c r="B15" s="287">
        <v>692</v>
      </c>
      <c r="C15" s="287">
        <v>686</v>
      </c>
      <c r="D15" s="287">
        <v>336</v>
      </c>
      <c r="E15" s="287">
        <v>325</v>
      </c>
      <c r="F15" s="287">
        <v>346</v>
      </c>
    </row>
    <row r="16" spans="1:6" ht="14.4" x14ac:dyDescent="0.25">
      <c r="A16" s="285" t="s">
        <v>110</v>
      </c>
      <c r="B16" s="287">
        <v>611</v>
      </c>
      <c r="C16" s="287">
        <v>616</v>
      </c>
      <c r="D16" s="287">
        <v>439</v>
      </c>
      <c r="E16" s="287">
        <v>443</v>
      </c>
      <c r="F16" s="287">
        <v>441</v>
      </c>
    </row>
    <row r="17" spans="1:6" ht="14.4" x14ac:dyDescent="0.25">
      <c r="A17" s="285" t="s">
        <v>109</v>
      </c>
      <c r="B17" s="285"/>
      <c r="C17" s="285"/>
      <c r="D17" s="287">
        <v>56</v>
      </c>
      <c r="E17" s="287">
        <v>51</v>
      </c>
      <c r="F17" s="287">
        <v>72</v>
      </c>
    </row>
    <row r="18" spans="1:6" ht="14.4" x14ac:dyDescent="0.25">
      <c r="A18" s="285" t="s">
        <v>108</v>
      </c>
      <c r="B18" s="287">
        <v>4130</v>
      </c>
      <c r="C18" s="287">
        <v>4446</v>
      </c>
      <c r="D18" s="287">
        <v>4899</v>
      </c>
      <c r="E18" s="287">
        <v>5323</v>
      </c>
      <c r="F18" s="287">
        <v>5763</v>
      </c>
    </row>
    <row r="19" spans="1:6" ht="14.4" x14ac:dyDescent="0.25">
      <c r="A19" s="285" t="s">
        <v>114</v>
      </c>
      <c r="B19" s="288">
        <v>9507</v>
      </c>
      <c r="C19" s="288">
        <v>9811</v>
      </c>
      <c r="D19" s="288">
        <v>6999</v>
      </c>
      <c r="E19" s="288">
        <v>7474</v>
      </c>
      <c r="F19" s="288">
        <v>7876</v>
      </c>
    </row>
    <row r="20" spans="1:6" ht="14.4" x14ac:dyDescent="0.25">
      <c r="A20" s="285" t="s">
        <v>84</v>
      </c>
      <c r="B20" s="287">
        <v>306</v>
      </c>
      <c r="C20" s="287">
        <v>9</v>
      </c>
      <c r="D20" s="289">
        <v>0</v>
      </c>
      <c r="E20" s="289">
        <v>0</v>
      </c>
      <c r="F20" s="287">
        <v>81</v>
      </c>
    </row>
    <row r="21" spans="1:6" ht="14.4" x14ac:dyDescent="0.25">
      <c r="A21" s="285" t="s">
        <v>107</v>
      </c>
      <c r="B21" s="287">
        <v>2071</v>
      </c>
      <c r="C21" s="287">
        <v>1861</v>
      </c>
      <c r="D21" s="287">
        <v>1132</v>
      </c>
      <c r="E21" s="287">
        <v>1432</v>
      </c>
      <c r="F21" s="287">
        <v>1657</v>
      </c>
    </row>
    <row r="22" spans="1:6" ht="14.4" x14ac:dyDescent="0.25">
      <c r="A22" s="290" t="s">
        <v>339</v>
      </c>
      <c r="B22" s="285"/>
      <c r="C22" s="285"/>
      <c r="D22" s="285"/>
      <c r="E22" s="285"/>
      <c r="F22" s="285"/>
    </row>
    <row r="23" spans="1:6" ht="14.4" x14ac:dyDescent="0.25">
      <c r="A23" s="285" t="s">
        <v>106</v>
      </c>
      <c r="B23" s="287">
        <v>19</v>
      </c>
      <c r="C23" s="287">
        <v>12</v>
      </c>
      <c r="D23" s="285"/>
      <c r="E23" s="285"/>
      <c r="F23" s="285"/>
    </row>
    <row r="24" spans="1:6" ht="14.4" x14ac:dyDescent="0.25">
      <c r="A24" s="285" t="s">
        <v>105</v>
      </c>
      <c r="B24" s="287">
        <v>-575</v>
      </c>
      <c r="C24" s="287">
        <v>-587</v>
      </c>
      <c r="D24" s="287">
        <v>-351</v>
      </c>
      <c r="E24" s="287">
        <v>-371</v>
      </c>
      <c r="F24" s="287">
        <v>-414</v>
      </c>
    </row>
    <row r="25" spans="1:6" ht="14.4" x14ac:dyDescent="0.25">
      <c r="A25" s="285" t="s">
        <v>104</v>
      </c>
      <c r="B25" s="287">
        <v>23</v>
      </c>
      <c r="C25" s="287">
        <v>8</v>
      </c>
      <c r="D25" s="287"/>
      <c r="E25" s="287"/>
      <c r="F25" s="287"/>
    </row>
    <row r="26" spans="1:6" ht="14.4" x14ac:dyDescent="0.25">
      <c r="A26" s="285" t="s">
        <v>103</v>
      </c>
      <c r="B26" s="287">
        <v>-41</v>
      </c>
      <c r="C26" s="287">
        <v>-13</v>
      </c>
      <c r="D26" s="287">
        <v>3</v>
      </c>
      <c r="E26" s="287">
        <v>-11</v>
      </c>
      <c r="F26" s="287">
        <v>-2</v>
      </c>
    </row>
    <row r="27" spans="1:6" ht="14.4" x14ac:dyDescent="0.25">
      <c r="A27" s="285" t="s">
        <v>82</v>
      </c>
      <c r="B27" s="285"/>
      <c r="C27" s="285"/>
      <c r="D27" s="287">
        <v>-60</v>
      </c>
      <c r="E27" s="289">
        <v>0</v>
      </c>
      <c r="F27" s="289">
        <v>0</v>
      </c>
    </row>
    <row r="28" spans="1:6" ht="14.4" x14ac:dyDescent="0.25">
      <c r="A28" s="285" t="s">
        <v>102</v>
      </c>
      <c r="B28" s="287">
        <v>-1</v>
      </c>
      <c r="C28" s="287">
        <v>-26</v>
      </c>
      <c r="D28" s="287">
        <v>29</v>
      </c>
      <c r="E28" s="287">
        <v>28</v>
      </c>
      <c r="F28" s="287">
        <v>3</v>
      </c>
    </row>
    <row r="29" spans="1:6" ht="14.4" x14ac:dyDescent="0.25">
      <c r="A29" s="285" t="s">
        <v>101</v>
      </c>
      <c r="B29" s="287">
        <v>1496</v>
      </c>
      <c r="C29" s="287">
        <v>1255</v>
      </c>
      <c r="D29" s="287">
        <v>753</v>
      </c>
      <c r="E29" s="287">
        <v>1078</v>
      </c>
      <c r="F29" s="287">
        <v>1244</v>
      </c>
    </row>
    <row r="30" spans="1:6" ht="14.4" x14ac:dyDescent="0.25">
      <c r="A30" s="285" t="s">
        <v>100</v>
      </c>
      <c r="B30" s="287">
        <v>-80</v>
      </c>
      <c r="C30" s="287">
        <v>-891</v>
      </c>
      <c r="D30" s="287">
        <v>336</v>
      </c>
      <c r="E30" s="287">
        <v>-309</v>
      </c>
      <c r="F30" s="287">
        <v>-358</v>
      </c>
    </row>
    <row r="31" spans="1:6" ht="14.4" x14ac:dyDescent="0.25">
      <c r="A31" s="285" t="s">
        <v>89</v>
      </c>
      <c r="B31" s="286">
        <v>1416</v>
      </c>
      <c r="C31" s="286">
        <v>364</v>
      </c>
      <c r="D31" s="286">
        <v>1089</v>
      </c>
      <c r="E31" s="286">
        <v>769</v>
      </c>
      <c r="F31" s="286">
        <v>886</v>
      </c>
    </row>
    <row r="32" spans="1:6" ht="14.4" x14ac:dyDescent="0.25">
      <c r="A32" s="285" t="s">
        <v>99</v>
      </c>
      <c r="B32" s="287">
        <v>-12</v>
      </c>
      <c r="C32" s="287">
        <v>-16</v>
      </c>
      <c r="D32" s="287">
        <v>-5</v>
      </c>
      <c r="E32" s="287">
        <v>-5</v>
      </c>
      <c r="F32" s="287">
        <v>-5</v>
      </c>
    </row>
    <row r="33" spans="1:6" ht="14.4" x14ac:dyDescent="0.25">
      <c r="A33" s="285" t="s">
        <v>98</v>
      </c>
      <c r="B33" s="286">
        <v>1404</v>
      </c>
      <c r="C33" s="286">
        <v>348</v>
      </c>
      <c r="D33" s="286">
        <v>1084</v>
      </c>
      <c r="E33" s="286">
        <v>764</v>
      </c>
      <c r="F33" s="286">
        <v>881</v>
      </c>
    </row>
    <row r="34" spans="1:6" ht="14.4" x14ac:dyDescent="0.25">
      <c r="A34" s="290" t="s">
        <v>97</v>
      </c>
      <c r="B34" s="285"/>
      <c r="C34" s="285"/>
      <c r="D34" s="285"/>
      <c r="E34" s="285"/>
      <c r="F34" s="285"/>
    </row>
    <row r="35" spans="1:6" ht="14.4" x14ac:dyDescent="0.25">
      <c r="A35" s="291" t="s">
        <v>340</v>
      </c>
      <c r="B35" s="292">
        <v>4.2699999999999996</v>
      </c>
      <c r="C35" s="292">
        <v>1.06</v>
      </c>
      <c r="D35" s="292">
        <v>3.34</v>
      </c>
      <c r="E35" s="292">
        <v>2.5299999999999998</v>
      </c>
      <c r="F35" s="292">
        <v>3.07</v>
      </c>
    </row>
    <row r="36" spans="1:6" ht="14.4" x14ac:dyDescent="0.25">
      <c r="A36" s="291" t="s">
        <v>341</v>
      </c>
      <c r="B36" s="292">
        <v>4.26</v>
      </c>
      <c r="C36" s="292">
        <v>1.05</v>
      </c>
      <c r="D36" s="292">
        <v>3.32</v>
      </c>
      <c r="E36" s="292">
        <v>2.5</v>
      </c>
      <c r="F36" s="292">
        <v>3.04</v>
      </c>
    </row>
    <row r="37" spans="1:6" ht="14.4" x14ac:dyDescent="0.25">
      <c r="A37" s="285" t="s">
        <v>94</v>
      </c>
      <c r="B37" s="292">
        <v>0.42</v>
      </c>
      <c r="C37" s="292">
        <v>0.84</v>
      </c>
      <c r="D37" s="292">
        <v>0.6</v>
      </c>
      <c r="E37" s="292">
        <v>0.6</v>
      </c>
      <c r="F37" s="292">
        <v>0.6</v>
      </c>
    </row>
    <row r="38" spans="1:6" ht="14.4" x14ac:dyDescent="0.25">
      <c r="A38" s="290" t="s">
        <v>342</v>
      </c>
      <c r="B38" s="292"/>
      <c r="C38" s="292"/>
      <c r="D38" s="292"/>
      <c r="E38" s="292"/>
      <c r="F38" s="292"/>
    </row>
    <row r="39" spans="1:6" ht="14.4" x14ac:dyDescent="0.25">
      <c r="A39" s="285" t="s">
        <v>200</v>
      </c>
      <c r="B39" s="293">
        <f>B33/B35</f>
        <v>328.80562060889935</v>
      </c>
      <c r="C39" s="293">
        <f>C33/C35</f>
        <v>328.30188679245282</v>
      </c>
      <c r="D39" s="293">
        <f>D33/D35</f>
        <v>324.55089820359285</v>
      </c>
      <c r="E39" s="293">
        <f>E33/E35</f>
        <v>301.97628458498025</v>
      </c>
      <c r="F39" s="293">
        <f>F33/F35</f>
        <v>286.97068403908798</v>
      </c>
    </row>
    <row r="40" spans="1:6" ht="14.4" x14ac:dyDescent="0.25">
      <c r="A40" s="285" t="s">
        <v>201</v>
      </c>
      <c r="B40" s="293">
        <f>B33/B36</f>
        <v>329.57746478873241</v>
      </c>
      <c r="C40" s="293">
        <f>C33/C36</f>
        <v>331.42857142857139</v>
      </c>
      <c r="D40" s="293">
        <f>D33/D36</f>
        <v>326.50602409638554</v>
      </c>
      <c r="E40" s="293">
        <f>E33/E36</f>
        <v>305.60000000000002</v>
      </c>
      <c r="F40" s="293">
        <f>F33/F36</f>
        <v>289.80263157894734</v>
      </c>
    </row>
  </sheetData>
  <mergeCells count="2">
    <mergeCell ref="A1:A2"/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90D6-E848-4934-95D4-64046D4B56BB}">
  <dimension ref="A1:F57"/>
  <sheetViews>
    <sheetView showGridLines="0" workbookViewId="0">
      <selection activeCell="A2" sqref="A2"/>
    </sheetView>
  </sheetViews>
  <sheetFormatPr defaultRowHeight="13.8" x14ac:dyDescent="0.25"/>
  <cols>
    <col min="1" max="1" width="64.6640625" style="272" customWidth="1"/>
    <col min="2" max="6" width="12" style="272" bestFit="1" customWidth="1"/>
    <col min="7" max="16384" width="8.88671875" style="272"/>
  </cols>
  <sheetData>
    <row r="1" spans="1:6" ht="30" customHeight="1" x14ac:dyDescent="0.25">
      <c r="A1" s="270" t="s">
        <v>355</v>
      </c>
      <c r="B1" s="271" t="s">
        <v>352</v>
      </c>
      <c r="C1" s="271" t="s">
        <v>353</v>
      </c>
      <c r="D1" s="271" t="s">
        <v>335</v>
      </c>
      <c r="E1" s="271" t="s">
        <v>336</v>
      </c>
      <c r="F1" s="271" t="s">
        <v>337</v>
      </c>
    </row>
    <row r="2" spans="1:6" ht="14.4" x14ac:dyDescent="0.25">
      <c r="A2" s="273" t="s">
        <v>343</v>
      </c>
      <c r="B2" s="274"/>
      <c r="C2" s="274"/>
      <c r="D2" s="274"/>
      <c r="E2" s="274"/>
      <c r="F2" s="274"/>
    </row>
    <row r="3" spans="1:6" ht="14.4" x14ac:dyDescent="0.25">
      <c r="A3" s="275" t="s">
        <v>46</v>
      </c>
      <c r="B3" s="276">
        <v>609</v>
      </c>
      <c r="C3" s="276">
        <v>1062</v>
      </c>
      <c r="D3" s="276">
        <v>570</v>
      </c>
      <c r="E3" s="276">
        <v>403</v>
      </c>
      <c r="F3" s="276">
        <v>538</v>
      </c>
    </row>
    <row r="4" spans="1:6" ht="14.4" x14ac:dyDescent="0.25">
      <c r="A4" s="275" t="s">
        <v>45</v>
      </c>
      <c r="B4" s="277">
        <v>247</v>
      </c>
      <c r="C4" s="277">
        <v>121</v>
      </c>
      <c r="D4" s="277">
        <v>100</v>
      </c>
      <c r="E4" s="277">
        <v>81</v>
      </c>
      <c r="F4" s="277">
        <v>92</v>
      </c>
    </row>
    <row r="5" spans="1:6" ht="14.4" x14ac:dyDescent="0.25">
      <c r="A5" s="275" t="s">
        <v>44</v>
      </c>
      <c r="B5" s="277">
        <v>876</v>
      </c>
      <c r="C5" s="277">
        <v>755</v>
      </c>
      <c r="D5" s="277">
        <v>998</v>
      </c>
      <c r="E5" s="277">
        <v>1150</v>
      </c>
      <c r="F5" s="277">
        <v>1261</v>
      </c>
    </row>
    <row r="6" spans="1:6" ht="14.4" x14ac:dyDescent="0.25">
      <c r="A6" s="275" t="s">
        <v>43</v>
      </c>
      <c r="B6" s="277">
        <v>442</v>
      </c>
      <c r="C6" s="278">
        <v>0</v>
      </c>
      <c r="D6" s="278">
        <v>0</v>
      </c>
      <c r="E6" s="278">
        <v>0</v>
      </c>
      <c r="F6" s="278">
        <v>0</v>
      </c>
    </row>
    <row r="7" spans="1:6" ht="14.4" x14ac:dyDescent="0.25">
      <c r="A7" s="275" t="s">
        <v>42</v>
      </c>
      <c r="B7" s="278">
        <v>129</v>
      </c>
      <c r="C7" s="278">
        <v>0</v>
      </c>
      <c r="D7" s="278">
        <v>0</v>
      </c>
      <c r="E7" s="278">
        <v>0</v>
      </c>
      <c r="F7" s="278">
        <v>0</v>
      </c>
    </row>
    <row r="8" spans="1:6" ht="14.4" x14ac:dyDescent="0.25">
      <c r="A8" s="275" t="s">
        <v>41</v>
      </c>
      <c r="B8" s="277">
        <v>147</v>
      </c>
      <c r="C8" s="277">
        <v>89</v>
      </c>
      <c r="D8" s="277">
        <v>111</v>
      </c>
      <c r="E8" s="277">
        <v>160</v>
      </c>
      <c r="F8" s="277">
        <v>130</v>
      </c>
    </row>
    <row r="9" spans="1:6" ht="14.4" x14ac:dyDescent="0.25">
      <c r="A9" s="275" t="s">
        <v>40</v>
      </c>
      <c r="B9" s="277">
        <v>97</v>
      </c>
      <c r="C9" s="277">
        <v>13</v>
      </c>
      <c r="D9" s="277">
        <v>36</v>
      </c>
      <c r="E9" s="278">
        <v>0</v>
      </c>
      <c r="F9" s="278">
        <v>0</v>
      </c>
    </row>
    <row r="10" spans="1:6" ht="14.4" x14ac:dyDescent="0.25">
      <c r="A10" s="275" t="s">
        <v>10</v>
      </c>
      <c r="B10" s="277">
        <v>38</v>
      </c>
      <c r="C10" s="277">
        <v>39</v>
      </c>
      <c r="D10" s="277">
        <v>171</v>
      </c>
      <c r="E10" s="277">
        <v>189</v>
      </c>
      <c r="F10" s="277">
        <v>72</v>
      </c>
    </row>
    <row r="11" spans="1:6" ht="14.4" x14ac:dyDescent="0.25">
      <c r="A11" s="275" t="s">
        <v>39</v>
      </c>
      <c r="B11" s="278">
        <v>0</v>
      </c>
      <c r="C11" s="277">
        <v>1478</v>
      </c>
      <c r="D11" s="278">
        <v>0</v>
      </c>
      <c r="E11" s="278">
        <v>0</v>
      </c>
      <c r="F11" s="278">
        <v>0</v>
      </c>
    </row>
    <row r="12" spans="1:6" ht="14.4" x14ac:dyDescent="0.25">
      <c r="A12" s="275" t="s">
        <v>38</v>
      </c>
      <c r="B12" s="276">
        <v>2585</v>
      </c>
      <c r="C12" s="276">
        <v>3557</v>
      </c>
      <c r="D12" s="276">
        <v>1986</v>
      </c>
      <c r="E12" s="276">
        <v>1983</v>
      </c>
      <c r="F12" s="276">
        <v>2093</v>
      </c>
    </row>
    <row r="13" spans="1:6" ht="14.4" x14ac:dyDescent="0.25">
      <c r="A13" s="275" t="s">
        <v>37</v>
      </c>
      <c r="B13" s="274"/>
      <c r="C13" s="274"/>
      <c r="D13" s="274"/>
      <c r="E13" s="274"/>
      <c r="F13" s="274"/>
    </row>
    <row r="14" spans="1:6" ht="14.4" x14ac:dyDescent="0.25">
      <c r="A14" s="275" t="s">
        <v>36</v>
      </c>
      <c r="B14" s="276">
        <v>5887</v>
      </c>
      <c r="C14" s="276">
        <v>5218</v>
      </c>
      <c r="D14" s="276">
        <v>5190</v>
      </c>
      <c r="E14" s="276">
        <v>5160</v>
      </c>
      <c r="F14" s="276">
        <v>5159</v>
      </c>
    </row>
    <row r="15" spans="1:6" ht="14.4" x14ac:dyDescent="0.25">
      <c r="A15" s="275" t="s">
        <v>35</v>
      </c>
      <c r="B15" s="277">
        <v>4919</v>
      </c>
      <c r="C15" s="277">
        <v>4848</v>
      </c>
      <c r="D15" s="277">
        <v>4890</v>
      </c>
      <c r="E15" s="277">
        <v>4869</v>
      </c>
      <c r="F15" s="277">
        <v>4877</v>
      </c>
    </row>
    <row r="16" spans="1:6" ht="14.4" x14ac:dyDescent="0.25">
      <c r="A16" s="275" t="s">
        <v>34</v>
      </c>
      <c r="B16" s="277">
        <v>1149</v>
      </c>
      <c r="C16" s="277">
        <v>963</v>
      </c>
      <c r="D16" s="277">
        <v>909</v>
      </c>
      <c r="E16" s="277">
        <v>872</v>
      </c>
      <c r="F16" s="277">
        <v>780</v>
      </c>
    </row>
    <row r="17" spans="1:6" ht="14.4" x14ac:dyDescent="0.25">
      <c r="A17" s="275" t="s">
        <v>33</v>
      </c>
      <c r="B17" s="277">
        <v>586</v>
      </c>
      <c r="C17" s="277">
        <v>447</v>
      </c>
      <c r="D17" s="278">
        <v>433</v>
      </c>
      <c r="E17" s="278">
        <v>415</v>
      </c>
      <c r="F17" s="277">
        <v>421</v>
      </c>
    </row>
    <row r="18" spans="1:6" ht="14.4" x14ac:dyDescent="0.25">
      <c r="A18" s="275" t="s">
        <v>32</v>
      </c>
      <c r="B18" s="279">
        <v>0</v>
      </c>
      <c r="C18" s="279">
        <v>0</v>
      </c>
      <c r="D18" s="278">
        <v>0</v>
      </c>
      <c r="E18" s="278">
        <v>0</v>
      </c>
      <c r="F18" s="277">
        <v>867</v>
      </c>
    </row>
    <row r="19" spans="1:6" ht="14.4" x14ac:dyDescent="0.25">
      <c r="A19" s="275" t="s">
        <v>31</v>
      </c>
      <c r="B19" s="278">
        <v>887</v>
      </c>
      <c r="C19" s="278">
        <v>0</v>
      </c>
      <c r="D19" s="278">
        <v>0</v>
      </c>
      <c r="E19" s="278">
        <v>0</v>
      </c>
      <c r="F19" s="278">
        <v>0</v>
      </c>
    </row>
    <row r="20" spans="1:6" ht="14.4" x14ac:dyDescent="0.25">
      <c r="A20" s="275" t="s">
        <v>30</v>
      </c>
      <c r="B20" s="277">
        <v>9119</v>
      </c>
      <c r="C20" s="277">
        <v>341</v>
      </c>
      <c r="D20" s="277">
        <v>353</v>
      </c>
      <c r="E20" s="277">
        <v>367</v>
      </c>
      <c r="F20" s="277">
        <v>380</v>
      </c>
    </row>
    <row r="21" spans="1:6" ht="14.4" x14ac:dyDescent="0.25">
      <c r="A21" s="275" t="s">
        <v>29</v>
      </c>
      <c r="B21" s="277">
        <v>138</v>
      </c>
      <c r="C21" s="278">
        <v>0</v>
      </c>
      <c r="D21" s="278">
        <v>0</v>
      </c>
      <c r="E21" s="278">
        <v>0</v>
      </c>
      <c r="F21" s="278">
        <v>0</v>
      </c>
    </row>
    <row r="22" spans="1:6" ht="14.4" x14ac:dyDescent="0.25">
      <c r="A22" s="275" t="s">
        <v>28</v>
      </c>
      <c r="B22" s="277">
        <v>78</v>
      </c>
      <c r="C22" s="277">
        <v>82</v>
      </c>
      <c r="D22" s="277">
        <v>113</v>
      </c>
      <c r="E22" s="277">
        <v>90</v>
      </c>
      <c r="F22" s="277">
        <v>100</v>
      </c>
    </row>
    <row r="23" spans="1:6" ht="14.4" x14ac:dyDescent="0.25">
      <c r="A23" s="275" t="s">
        <v>10</v>
      </c>
      <c r="B23" s="277">
        <v>274</v>
      </c>
      <c r="C23" s="277">
        <v>408</v>
      </c>
      <c r="D23" s="277">
        <v>434</v>
      </c>
      <c r="E23" s="277">
        <v>239</v>
      </c>
      <c r="F23" s="277">
        <v>280</v>
      </c>
    </row>
    <row r="24" spans="1:6" ht="14.4" x14ac:dyDescent="0.25">
      <c r="A24" s="275" t="s">
        <v>27</v>
      </c>
      <c r="B24" s="278">
        <v>0</v>
      </c>
      <c r="C24" s="277">
        <v>10347</v>
      </c>
      <c r="D24" s="278">
        <v>0</v>
      </c>
      <c r="E24" s="278">
        <v>0</v>
      </c>
      <c r="F24" s="278">
        <v>0</v>
      </c>
    </row>
    <row r="25" spans="1:6" ht="14.4" x14ac:dyDescent="0.25">
      <c r="A25" s="275" t="s">
        <v>26</v>
      </c>
      <c r="B25" s="276">
        <v>23037</v>
      </c>
      <c r="C25" s="276">
        <v>22654</v>
      </c>
      <c r="D25" s="276">
        <v>12322</v>
      </c>
      <c r="E25" s="276">
        <v>12012</v>
      </c>
      <c r="F25" s="276">
        <v>12864</v>
      </c>
    </row>
    <row r="26" spans="1:6" ht="14.4" x14ac:dyDescent="0.25">
      <c r="A26" s="280" t="s">
        <v>344</v>
      </c>
      <c r="B26" s="276">
        <v>25622</v>
      </c>
      <c r="C26" s="276">
        <v>26211</v>
      </c>
      <c r="D26" s="276">
        <v>14308</v>
      </c>
      <c r="E26" s="276">
        <v>13995</v>
      </c>
      <c r="F26" s="276">
        <v>14957</v>
      </c>
    </row>
    <row r="27" spans="1:6" ht="14.4" x14ac:dyDescent="0.25">
      <c r="A27" s="273" t="s">
        <v>345</v>
      </c>
      <c r="B27" s="274"/>
      <c r="C27" s="274"/>
      <c r="D27" s="274"/>
      <c r="E27" s="274"/>
      <c r="F27" s="274"/>
    </row>
    <row r="28" spans="1:6" ht="14.4" x14ac:dyDescent="0.25">
      <c r="A28" s="275" t="s">
        <v>22</v>
      </c>
      <c r="B28" s="276">
        <v>2206</v>
      </c>
      <c r="C28" s="276">
        <v>1821</v>
      </c>
      <c r="D28" s="276">
        <v>2150</v>
      </c>
      <c r="E28" s="276">
        <v>1549</v>
      </c>
      <c r="F28" s="276">
        <v>1703</v>
      </c>
    </row>
    <row r="29" spans="1:6" ht="14.4" x14ac:dyDescent="0.25">
      <c r="A29" s="275" t="s">
        <v>21</v>
      </c>
      <c r="B29" s="277">
        <v>247</v>
      </c>
      <c r="C29" s="277">
        <v>121</v>
      </c>
      <c r="D29" s="277">
        <v>100</v>
      </c>
      <c r="E29" s="277">
        <v>81</v>
      </c>
      <c r="F29" s="277">
        <v>92</v>
      </c>
    </row>
    <row r="30" spans="1:6" ht="14.4" x14ac:dyDescent="0.25">
      <c r="A30" s="275" t="s">
        <v>51</v>
      </c>
      <c r="B30" s="277">
        <v>876</v>
      </c>
      <c r="C30" s="277">
        <v>755</v>
      </c>
      <c r="D30" s="277">
        <v>998</v>
      </c>
      <c r="E30" s="277">
        <v>1150</v>
      </c>
      <c r="F30" s="277">
        <v>1261</v>
      </c>
    </row>
    <row r="31" spans="1:6" ht="14.4" x14ac:dyDescent="0.25">
      <c r="A31" s="275" t="s">
        <v>20</v>
      </c>
      <c r="B31" s="277">
        <v>247</v>
      </c>
      <c r="C31" s="277">
        <v>121</v>
      </c>
      <c r="D31" s="277">
        <v>100</v>
      </c>
      <c r="E31" s="277">
        <v>81</v>
      </c>
      <c r="F31" s="277">
        <v>92</v>
      </c>
    </row>
    <row r="32" spans="1:6" ht="14.4" x14ac:dyDescent="0.25">
      <c r="A32" s="275" t="s">
        <v>19</v>
      </c>
      <c r="B32" s="277">
        <v>876</v>
      </c>
      <c r="C32" s="277">
        <v>755</v>
      </c>
      <c r="D32" s="277">
        <v>998</v>
      </c>
      <c r="E32" s="277">
        <v>1150</v>
      </c>
      <c r="F32" s="277">
        <v>1261</v>
      </c>
    </row>
    <row r="33" spans="1:6" ht="14.4" x14ac:dyDescent="0.25">
      <c r="A33" s="275" t="s">
        <v>18</v>
      </c>
      <c r="B33" s="277">
        <v>247</v>
      </c>
      <c r="C33" s="277">
        <v>121</v>
      </c>
      <c r="D33" s="277">
        <v>100</v>
      </c>
      <c r="E33" s="277">
        <v>81</v>
      </c>
      <c r="F33" s="277">
        <v>92</v>
      </c>
    </row>
    <row r="34" spans="1:6" ht="14.4" x14ac:dyDescent="0.25">
      <c r="A34" s="275" t="s">
        <v>17</v>
      </c>
      <c r="B34" s="277">
        <v>876</v>
      </c>
      <c r="C34" s="277">
        <v>755</v>
      </c>
      <c r="D34" s="277">
        <v>998</v>
      </c>
      <c r="E34" s="277">
        <v>1150</v>
      </c>
      <c r="F34" s="277">
        <v>1261</v>
      </c>
    </row>
    <row r="35" spans="1:6" ht="14.4" x14ac:dyDescent="0.25">
      <c r="A35" s="275" t="s">
        <v>16</v>
      </c>
      <c r="B35" s="276">
        <v>2443</v>
      </c>
      <c r="C35" s="276">
        <v>2684</v>
      </c>
      <c r="D35" s="276">
        <v>2208</v>
      </c>
      <c r="E35" s="276">
        <v>2615</v>
      </c>
      <c r="F35" s="276">
        <v>2871</v>
      </c>
    </row>
    <row r="36" spans="1:6" ht="14.4" x14ac:dyDescent="0.25">
      <c r="A36" s="275" t="s">
        <v>15</v>
      </c>
      <c r="B36" s="276">
        <v>9857</v>
      </c>
      <c r="C36" s="276">
        <v>6583</v>
      </c>
      <c r="D36" s="276">
        <v>6556</v>
      </c>
      <c r="E36" s="276">
        <v>7266</v>
      </c>
      <c r="F36" s="276">
        <v>7956</v>
      </c>
    </row>
    <row r="37" spans="1:6" ht="14.4" x14ac:dyDescent="0.25">
      <c r="A37" s="275" t="s">
        <v>14</v>
      </c>
      <c r="B37" s="278">
        <v>0</v>
      </c>
      <c r="C37" s="278">
        <v>0</v>
      </c>
      <c r="D37" s="278">
        <v>0</v>
      </c>
      <c r="E37" s="278">
        <v>0</v>
      </c>
      <c r="F37" s="277">
        <v>1037</v>
      </c>
    </row>
    <row r="38" spans="1:6" ht="14.4" x14ac:dyDescent="0.25">
      <c r="A38" s="275" t="s">
        <v>52</v>
      </c>
      <c r="B38" s="277">
        <v>392</v>
      </c>
      <c r="C38" s="278">
        <v>0</v>
      </c>
      <c r="D38" s="278">
        <v>0</v>
      </c>
      <c r="E38" s="278">
        <v>0</v>
      </c>
      <c r="F38" s="278">
        <v>0</v>
      </c>
    </row>
    <row r="39" spans="1:6" ht="14.4" x14ac:dyDescent="0.25">
      <c r="A39" s="275" t="s">
        <v>13</v>
      </c>
      <c r="B39" s="277">
        <v>283</v>
      </c>
      <c r="C39" s="277">
        <v>42</v>
      </c>
      <c r="D39" s="277">
        <v>97</v>
      </c>
      <c r="E39" s="277">
        <v>826</v>
      </c>
      <c r="F39" s="277">
        <v>827</v>
      </c>
    </row>
    <row r="40" spans="1:6" ht="14.4" x14ac:dyDescent="0.25">
      <c r="A40" s="275" t="s">
        <v>12</v>
      </c>
      <c r="B40" s="277">
        <v>4630</v>
      </c>
      <c r="C40" s="277">
        <v>1778</v>
      </c>
      <c r="D40" s="277">
        <v>1063</v>
      </c>
      <c r="E40" s="277">
        <v>898</v>
      </c>
      <c r="F40" s="277">
        <v>795</v>
      </c>
    </row>
    <row r="41" spans="1:6" ht="14.4" x14ac:dyDescent="0.25">
      <c r="A41" s="275" t="s">
        <v>11</v>
      </c>
      <c r="B41" s="277">
        <v>784</v>
      </c>
      <c r="C41" s="277">
        <v>889</v>
      </c>
      <c r="D41" s="277">
        <v>839</v>
      </c>
      <c r="E41" s="277">
        <v>969</v>
      </c>
      <c r="F41" s="277">
        <v>1060</v>
      </c>
    </row>
    <row r="42" spans="1:6" ht="14.4" x14ac:dyDescent="0.25">
      <c r="A42" s="275" t="s">
        <v>10</v>
      </c>
      <c r="B42" s="277">
        <v>1282</v>
      </c>
      <c r="C42" s="277">
        <v>1492</v>
      </c>
      <c r="D42" s="277">
        <v>1470</v>
      </c>
      <c r="E42" s="277">
        <v>863</v>
      </c>
      <c r="F42" s="277">
        <v>883</v>
      </c>
    </row>
    <row r="43" spans="1:6" ht="14.4" x14ac:dyDescent="0.25">
      <c r="A43" s="275" t="s">
        <v>9</v>
      </c>
      <c r="B43" s="277"/>
      <c r="C43" s="277">
        <v>6894</v>
      </c>
      <c r="D43" s="277"/>
      <c r="E43" s="277"/>
      <c r="F43" s="277"/>
    </row>
    <row r="44" spans="1:6" ht="14.4" x14ac:dyDescent="0.25">
      <c r="A44" s="275" t="s">
        <v>8</v>
      </c>
      <c r="B44" s="276">
        <v>19671</v>
      </c>
      <c r="C44" s="276">
        <v>20362</v>
      </c>
      <c r="D44" s="276">
        <v>12233</v>
      </c>
      <c r="E44" s="276">
        <v>13437</v>
      </c>
      <c r="F44" s="276">
        <v>15429</v>
      </c>
    </row>
    <row r="45" spans="1:6" ht="14.4" x14ac:dyDescent="0.25">
      <c r="A45" s="273" t="s">
        <v>346</v>
      </c>
      <c r="B45" s="281"/>
      <c r="C45" s="281"/>
      <c r="D45" s="281"/>
      <c r="E45" s="281"/>
      <c r="F45" s="281"/>
    </row>
    <row r="46" spans="1:6" ht="14.4" x14ac:dyDescent="0.25">
      <c r="A46" s="281" t="s">
        <v>232</v>
      </c>
      <c r="B46" s="281"/>
      <c r="C46" s="281"/>
      <c r="D46" s="281"/>
      <c r="E46" s="281"/>
      <c r="F46" s="281"/>
    </row>
    <row r="47" spans="1:6" ht="14.4" x14ac:dyDescent="0.25">
      <c r="A47" s="281" t="s">
        <v>233</v>
      </c>
      <c r="B47" s="274"/>
      <c r="C47" s="274"/>
      <c r="D47" s="274"/>
      <c r="E47" s="274"/>
      <c r="F47" s="274"/>
    </row>
    <row r="48" spans="1:6" ht="14.4" x14ac:dyDescent="0.25">
      <c r="A48" s="281" t="s">
        <v>234</v>
      </c>
      <c r="B48" s="274"/>
      <c r="C48" s="274"/>
      <c r="D48" s="274"/>
      <c r="E48" s="274"/>
      <c r="F48" s="274"/>
    </row>
    <row r="49" spans="1:6" ht="14.4" x14ac:dyDescent="0.25">
      <c r="A49" s="281" t="s">
        <v>235</v>
      </c>
      <c r="B49" s="276">
        <v>10</v>
      </c>
      <c r="C49" s="276">
        <v>10</v>
      </c>
      <c r="D49" s="276">
        <v>3</v>
      </c>
      <c r="E49" s="276">
        <v>3</v>
      </c>
      <c r="F49" s="276">
        <v>3</v>
      </c>
    </row>
    <row r="50" spans="1:6" ht="14.4" x14ac:dyDescent="0.25">
      <c r="A50" s="275" t="s">
        <v>7</v>
      </c>
      <c r="B50" s="278">
        <v>0</v>
      </c>
      <c r="C50" s="278">
        <v>0</v>
      </c>
      <c r="D50" s="277">
        <v>-891</v>
      </c>
      <c r="E50" s="277">
        <v>-2625</v>
      </c>
      <c r="F50" s="277">
        <v>-4169</v>
      </c>
    </row>
    <row r="51" spans="1:6" ht="14.4" x14ac:dyDescent="0.25">
      <c r="A51" s="275" t="s">
        <v>6</v>
      </c>
      <c r="B51" s="277">
        <v>10151</v>
      </c>
      <c r="C51" s="277">
        <v>10220</v>
      </c>
      <c r="D51" s="277">
        <v>10298</v>
      </c>
      <c r="E51" s="277">
        <v>10372</v>
      </c>
      <c r="F51" s="277">
        <v>10489</v>
      </c>
    </row>
    <row r="52" spans="1:6" ht="14.4" x14ac:dyDescent="0.25">
      <c r="A52" s="275" t="s">
        <v>5</v>
      </c>
      <c r="B52" s="277">
        <v>-3392</v>
      </c>
      <c r="C52" s="277">
        <v>-3323</v>
      </c>
      <c r="D52" s="277">
        <v>-6596</v>
      </c>
      <c r="E52" s="277">
        <v>-6417</v>
      </c>
      <c r="F52" s="277">
        <v>-5965</v>
      </c>
    </row>
    <row r="53" spans="1:6" ht="14.4" x14ac:dyDescent="0.25">
      <c r="A53" s="275" t="s">
        <v>4</v>
      </c>
      <c r="B53" s="277">
        <v>-784</v>
      </c>
      <c r="C53" s="277">
        <v>-1001</v>
      </c>
      <c r="D53" s="277">
        <v>-742</v>
      </c>
      <c r="E53" s="277">
        <v>-782</v>
      </c>
      <c r="F53" s="277">
        <v>-840</v>
      </c>
    </row>
    <row r="54" spans="1:6" ht="14.4" x14ac:dyDescent="0.25">
      <c r="A54" s="275" t="s">
        <v>3</v>
      </c>
      <c r="B54" s="277">
        <v>5985</v>
      </c>
      <c r="C54" s="277">
        <f>SUM(C51:C53)</f>
        <v>5896</v>
      </c>
      <c r="D54" s="277">
        <v>2072</v>
      </c>
      <c r="E54" s="277">
        <v>551</v>
      </c>
      <c r="F54" s="277">
        <v>-482</v>
      </c>
    </row>
    <row r="55" spans="1:6" ht="14.4" x14ac:dyDescent="0.25">
      <c r="A55" s="275" t="s">
        <v>2</v>
      </c>
      <c r="B55" s="277">
        <v>-34</v>
      </c>
      <c r="C55" s="277">
        <v>-50</v>
      </c>
      <c r="D55" s="277">
        <v>3</v>
      </c>
      <c r="E55" s="277">
        <v>7</v>
      </c>
      <c r="F55" s="277">
        <v>10</v>
      </c>
    </row>
    <row r="56" spans="1:6" ht="14.4" x14ac:dyDescent="0.25">
      <c r="A56" s="275" t="s">
        <v>1</v>
      </c>
      <c r="B56" s="277">
        <v>5951</v>
      </c>
      <c r="C56" s="277">
        <v>5849</v>
      </c>
      <c r="D56" s="277">
        <v>2075</v>
      </c>
      <c r="E56" s="277">
        <v>558</v>
      </c>
      <c r="F56" s="277">
        <v>-472</v>
      </c>
    </row>
    <row r="57" spans="1:6" ht="14.4" x14ac:dyDescent="0.25">
      <c r="A57" s="280" t="s">
        <v>347</v>
      </c>
      <c r="B57" s="276">
        <v>25622</v>
      </c>
      <c r="C57" s="276">
        <v>26211</v>
      </c>
      <c r="D57" s="276">
        <v>14308</v>
      </c>
      <c r="E57" s="276">
        <v>13995</v>
      </c>
      <c r="F57" s="276">
        <v>14957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F161-FEA7-427A-99AA-17802DBF87E3}">
  <dimension ref="A1:F46"/>
  <sheetViews>
    <sheetView showGridLines="0" workbookViewId="0">
      <selection activeCell="E7" sqref="E7"/>
    </sheetView>
  </sheetViews>
  <sheetFormatPr defaultRowHeight="14.4" x14ac:dyDescent="0.25"/>
  <cols>
    <col min="1" max="1" width="65.109375" style="275" customWidth="1"/>
    <col min="2" max="2" width="12" style="275" customWidth="1"/>
    <col min="3" max="6" width="12" style="275" bestFit="1" customWidth="1"/>
    <col min="7" max="16384" width="8.88671875" style="275"/>
  </cols>
  <sheetData>
    <row r="1" spans="1:6" ht="14.4" customHeight="1" x14ac:dyDescent="0.25">
      <c r="A1" s="329" t="s">
        <v>354</v>
      </c>
      <c r="B1" s="331" t="s">
        <v>334</v>
      </c>
      <c r="C1" s="331"/>
      <c r="D1" s="331"/>
      <c r="E1" s="331"/>
      <c r="F1" s="331"/>
    </row>
    <row r="2" spans="1:6" x14ac:dyDescent="0.25">
      <c r="A2" s="330"/>
      <c r="B2" s="271" t="s">
        <v>352</v>
      </c>
      <c r="C2" s="271" t="s">
        <v>353</v>
      </c>
      <c r="D2" s="271" t="s">
        <v>335</v>
      </c>
      <c r="E2" s="271" t="s">
        <v>336</v>
      </c>
      <c r="F2" s="271" t="s">
        <v>337</v>
      </c>
    </row>
    <row r="3" spans="1:6" x14ac:dyDescent="0.25">
      <c r="A3" s="273" t="s">
        <v>348</v>
      </c>
      <c r="B3" s="281"/>
      <c r="C3" s="281"/>
      <c r="D3" s="281"/>
      <c r="E3" s="281"/>
      <c r="F3" s="281"/>
    </row>
    <row r="4" spans="1:6" x14ac:dyDescent="0.25">
      <c r="A4" s="281" t="s">
        <v>89</v>
      </c>
      <c r="B4" s="294">
        <v>1416</v>
      </c>
      <c r="C4" s="294">
        <v>364</v>
      </c>
      <c r="D4" s="294">
        <v>1089</v>
      </c>
      <c r="E4" s="294">
        <v>769</v>
      </c>
      <c r="F4" s="294">
        <v>886</v>
      </c>
    </row>
    <row r="5" spans="1:6" ht="13.8" customHeight="1" x14ac:dyDescent="0.25">
      <c r="A5" s="273" t="s">
        <v>349</v>
      </c>
      <c r="B5" s="281"/>
      <c r="C5" s="281"/>
      <c r="D5" s="281"/>
      <c r="E5" s="281"/>
      <c r="F5" s="281"/>
    </row>
    <row r="6" spans="1:6" x14ac:dyDescent="0.25">
      <c r="A6" s="281" t="s">
        <v>86</v>
      </c>
      <c r="B6" s="277"/>
      <c r="C6" s="277"/>
      <c r="D6" s="277">
        <v>17</v>
      </c>
      <c r="E6" s="277">
        <v>27</v>
      </c>
      <c r="F6" s="277">
        <v>29</v>
      </c>
    </row>
    <row r="7" spans="1:6" x14ac:dyDescent="0.25">
      <c r="A7" s="281" t="s">
        <v>85</v>
      </c>
      <c r="B7" s="277">
        <v>692</v>
      </c>
      <c r="C7" s="277">
        <v>686</v>
      </c>
      <c r="D7" s="277">
        <v>336</v>
      </c>
      <c r="E7" s="277">
        <v>325</v>
      </c>
      <c r="F7" s="277">
        <v>346</v>
      </c>
    </row>
    <row r="8" spans="1:6" x14ac:dyDescent="0.25">
      <c r="A8" s="281" t="s">
        <v>84</v>
      </c>
      <c r="B8" s="277">
        <v>-306</v>
      </c>
      <c r="C8" s="277">
        <v>-9</v>
      </c>
      <c r="D8" s="278">
        <v>0</v>
      </c>
      <c r="E8" s="278">
        <v>0</v>
      </c>
      <c r="F8" s="277">
        <v>-81</v>
      </c>
    </row>
    <row r="9" spans="1:6" x14ac:dyDescent="0.25">
      <c r="A9" s="281" t="s">
        <v>83</v>
      </c>
      <c r="B9" s="279">
        <v>41</v>
      </c>
      <c r="C9" s="279">
        <v>13</v>
      </c>
      <c r="D9" s="277">
        <v>-3</v>
      </c>
      <c r="E9" s="277">
        <v>11</v>
      </c>
      <c r="F9" s="277">
        <v>2</v>
      </c>
    </row>
    <row r="10" spans="1:6" x14ac:dyDescent="0.25">
      <c r="A10" s="281" t="s">
        <v>82</v>
      </c>
      <c r="B10" s="278">
        <v>0</v>
      </c>
      <c r="C10" s="278">
        <v>0</v>
      </c>
      <c r="D10" s="277">
        <v>60</v>
      </c>
      <c r="E10" s="278">
        <v>0</v>
      </c>
      <c r="F10" s="278">
        <v>0</v>
      </c>
    </row>
    <row r="11" spans="1:6" x14ac:dyDescent="0.25">
      <c r="A11" s="281" t="s">
        <v>81</v>
      </c>
      <c r="B11" s="277">
        <v>124</v>
      </c>
      <c r="C11" s="277">
        <v>65</v>
      </c>
      <c r="D11" s="277">
        <v>121</v>
      </c>
      <c r="E11" s="277">
        <v>127</v>
      </c>
      <c r="F11" s="277">
        <v>154</v>
      </c>
    </row>
    <row r="12" spans="1:6" x14ac:dyDescent="0.25">
      <c r="A12" s="281" t="s">
        <v>80</v>
      </c>
      <c r="B12" s="277">
        <v>38</v>
      </c>
      <c r="C12" s="277">
        <v>32</v>
      </c>
      <c r="D12" s="277">
        <v>15</v>
      </c>
      <c r="E12" s="277">
        <v>16</v>
      </c>
      <c r="F12" s="277">
        <v>16</v>
      </c>
    </row>
    <row r="13" spans="1:6" x14ac:dyDescent="0.25">
      <c r="A13" s="281" t="s">
        <v>79</v>
      </c>
      <c r="B13" s="277">
        <v>26</v>
      </c>
      <c r="C13" s="277">
        <v>22</v>
      </c>
      <c r="D13" s="277">
        <v>1</v>
      </c>
      <c r="E13" s="277">
        <v>4</v>
      </c>
      <c r="F13" s="277">
        <v>2</v>
      </c>
    </row>
    <row r="14" spans="1:6" x14ac:dyDescent="0.25">
      <c r="A14" s="281" t="s">
        <v>78</v>
      </c>
      <c r="B14" s="277">
        <v>-479</v>
      </c>
      <c r="C14" s="277">
        <v>-79</v>
      </c>
      <c r="D14" s="277">
        <v>-729</v>
      </c>
      <c r="E14" s="277">
        <v>-14</v>
      </c>
      <c r="F14" s="277">
        <v>-20</v>
      </c>
    </row>
    <row r="15" spans="1:6" x14ac:dyDescent="0.25">
      <c r="A15" s="281" t="s">
        <v>77</v>
      </c>
      <c r="B15" s="277">
        <v>-37</v>
      </c>
      <c r="C15" s="277">
        <v>-55</v>
      </c>
      <c r="D15" s="277">
        <v>-75</v>
      </c>
      <c r="E15" s="277">
        <v>-103</v>
      </c>
      <c r="F15" s="277">
        <v>-90</v>
      </c>
    </row>
    <row r="16" spans="1:6" x14ac:dyDescent="0.25">
      <c r="A16" s="273" t="s">
        <v>76</v>
      </c>
      <c r="B16" s="281"/>
      <c r="C16" s="281"/>
      <c r="D16" s="281"/>
      <c r="E16" s="281"/>
      <c r="F16" s="281"/>
    </row>
    <row r="17" spans="1:6" x14ac:dyDescent="0.25">
      <c r="A17" s="281" t="s">
        <v>75</v>
      </c>
      <c r="B17" s="277">
        <v>-47</v>
      </c>
      <c r="C17" s="277">
        <v>-143</v>
      </c>
      <c r="D17" s="277">
        <v>-204</v>
      </c>
      <c r="E17" s="277">
        <v>-161</v>
      </c>
      <c r="F17" s="277">
        <v>-105</v>
      </c>
    </row>
    <row r="18" spans="1:6" x14ac:dyDescent="0.25">
      <c r="A18" s="281" t="s">
        <v>41</v>
      </c>
      <c r="B18" s="279">
        <v>-27</v>
      </c>
      <c r="C18" s="278">
        <v>0</v>
      </c>
      <c r="D18" s="277">
        <v>-11</v>
      </c>
      <c r="E18" s="277">
        <v>-39</v>
      </c>
      <c r="F18" s="277">
        <v>6</v>
      </c>
    </row>
    <row r="19" spans="1:6" x14ac:dyDescent="0.25">
      <c r="A19" s="281" t="s">
        <v>74</v>
      </c>
      <c r="B19" s="277">
        <v>32</v>
      </c>
      <c r="C19" s="277">
        <v>-2</v>
      </c>
      <c r="D19" s="277">
        <v>-24</v>
      </c>
      <c r="E19" s="277">
        <v>13</v>
      </c>
      <c r="F19" s="277">
        <v>15</v>
      </c>
    </row>
    <row r="20" spans="1:6" x14ac:dyDescent="0.25">
      <c r="A20" s="281" t="s">
        <v>22</v>
      </c>
      <c r="B20" s="277">
        <v>59</v>
      </c>
      <c r="C20" s="277">
        <v>217</v>
      </c>
      <c r="D20" s="277">
        <v>-17</v>
      </c>
      <c r="E20" s="277">
        <v>148</v>
      </c>
      <c r="F20" s="277">
        <v>99</v>
      </c>
    </row>
    <row r="21" spans="1:6" x14ac:dyDescent="0.25">
      <c r="A21" s="281" t="s">
        <v>73</v>
      </c>
      <c r="B21" s="277">
        <v>-212</v>
      </c>
      <c r="C21" s="277">
        <v>-219</v>
      </c>
      <c r="D21" s="277">
        <v>334</v>
      </c>
      <c r="E21" s="277">
        <v>-18</v>
      </c>
      <c r="F21" s="277">
        <v>-17</v>
      </c>
    </row>
    <row r="22" spans="1:6" x14ac:dyDescent="0.25">
      <c r="A22" s="281" t="s">
        <v>72</v>
      </c>
      <c r="B22" s="277">
        <v>64</v>
      </c>
      <c r="C22" s="277">
        <v>154</v>
      </c>
      <c r="D22" s="277">
        <v>29</v>
      </c>
      <c r="E22" s="277">
        <v>207</v>
      </c>
      <c r="F22" s="277">
        <v>191</v>
      </c>
    </row>
    <row r="23" spans="1:6" x14ac:dyDescent="0.25">
      <c r="A23" s="281" t="s">
        <v>71</v>
      </c>
      <c r="B23" s="277">
        <v>154</v>
      </c>
      <c r="C23" s="277">
        <v>166</v>
      </c>
      <c r="D23" s="277">
        <v>-95</v>
      </c>
      <c r="E23" s="277">
        <v>-53</v>
      </c>
      <c r="F23" s="277">
        <v>-14</v>
      </c>
    </row>
    <row r="24" spans="1:6" x14ac:dyDescent="0.25">
      <c r="A24" s="281" t="s">
        <v>10</v>
      </c>
      <c r="B24" s="277">
        <v>20</v>
      </c>
      <c r="C24" s="277">
        <v>-36</v>
      </c>
      <c r="D24" s="277">
        <v>5</v>
      </c>
      <c r="E24" s="277">
        <v>-4</v>
      </c>
      <c r="F24" s="277">
        <v>2</v>
      </c>
    </row>
    <row r="25" spans="1:6" x14ac:dyDescent="0.25">
      <c r="A25" s="295" t="s">
        <v>70</v>
      </c>
      <c r="B25" s="277">
        <v>1407</v>
      </c>
      <c r="C25" s="277">
        <v>1350</v>
      </c>
      <c r="D25" s="277">
        <v>849</v>
      </c>
      <c r="E25" s="277">
        <v>1255</v>
      </c>
      <c r="F25" s="277">
        <v>1384</v>
      </c>
    </row>
    <row r="26" spans="1:6" x14ac:dyDescent="0.25">
      <c r="A26" s="273" t="s">
        <v>350</v>
      </c>
      <c r="B26" s="281"/>
      <c r="C26" s="281"/>
      <c r="D26" s="281"/>
      <c r="E26" s="281"/>
      <c r="F26" s="281"/>
    </row>
    <row r="27" spans="1:6" x14ac:dyDescent="0.25">
      <c r="A27" s="281" t="s">
        <v>68</v>
      </c>
      <c r="B27" s="277">
        <v>-610</v>
      </c>
      <c r="C27" s="277">
        <v>-317</v>
      </c>
      <c r="D27" s="277">
        <v>-58</v>
      </c>
      <c r="E27" s="277">
        <v>-72</v>
      </c>
      <c r="F27" s="277">
        <v>-81</v>
      </c>
    </row>
    <row r="28" spans="1:6" x14ac:dyDescent="0.25">
      <c r="A28" s="281" t="s">
        <v>67</v>
      </c>
      <c r="B28" s="278">
        <v>0</v>
      </c>
      <c r="C28" s="278">
        <v>0</v>
      </c>
      <c r="D28" s="277">
        <v>7</v>
      </c>
      <c r="E28" s="277">
        <v>50</v>
      </c>
      <c r="F28" s="277">
        <v>3</v>
      </c>
    </row>
    <row r="29" spans="1:6" x14ac:dyDescent="0.25">
      <c r="A29" s="281" t="s">
        <v>66</v>
      </c>
      <c r="B29" s="277">
        <v>2205</v>
      </c>
      <c r="C29" s="277">
        <v>11</v>
      </c>
      <c r="D29" s="278">
        <v>0</v>
      </c>
      <c r="E29" s="278">
        <v>0</v>
      </c>
      <c r="F29" s="277">
        <v>120</v>
      </c>
    </row>
    <row r="30" spans="1:6" x14ac:dyDescent="0.25">
      <c r="A30" s="281" t="s">
        <v>65</v>
      </c>
      <c r="B30" s="277">
        <v>-62</v>
      </c>
      <c r="C30" s="277">
        <v>-81</v>
      </c>
      <c r="D30" s="277">
        <v>-75</v>
      </c>
      <c r="E30" s="277">
        <v>-87</v>
      </c>
      <c r="F30" s="277">
        <v>-124</v>
      </c>
    </row>
    <row r="31" spans="1:6" x14ac:dyDescent="0.25">
      <c r="A31" s="281" t="s">
        <v>10</v>
      </c>
      <c r="B31" s="279">
        <v>20</v>
      </c>
      <c r="C31" s="279">
        <v>-36</v>
      </c>
      <c r="D31" s="277">
        <v>-21</v>
      </c>
      <c r="E31" s="277">
        <v>-22</v>
      </c>
      <c r="F31" s="277">
        <v>-41</v>
      </c>
    </row>
    <row r="32" spans="1:6" x14ac:dyDescent="0.25">
      <c r="A32" s="273" t="s">
        <v>350</v>
      </c>
      <c r="B32" s="279">
        <v>414</v>
      </c>
      <c r="C32" s="279">
        <v>-478</v>
      </c>
      <c r="D32" s="277">
        <v>-147</v>
      </c>
      <c r="E32" s="277">
        <v>-131</v>
      </c>
      <c r="F32" s="277">
        <v>-123</v>
      </c>
    </row>
    <row r="33" spans="1:6" x14ac:dyDescent="0.25">
      <c r="A33" s="281" t="s">
        <v>62</v>
      </c>
      <c r="B33" s="277">
        <v>48</v>
      </c>
      <c r="C33" s="277">
        <v>4715</v>
      </c>
      <c r="D33" s="277">
        <v>1824</v>
      </c>
      <c r="E33" s="277">
        <v>1676</v>
      </c>
      <c r="F33" s="277">
        <v>2200</v>
      </c>
    </row>
    <row r="34" spans="1:6" x14ac:dyDescent="0.25">
      <c r="A34" s="281" t="s">
        <v>61</v>
      </c>
      <c r="B34" s="277">
        <v>-1624</v>
      </c>
      <c r="C34" s="277">
        <v>-4359</v>
      </c>
      <c r="D34" s="277">
        <v>-1860</v>
      </c>
      <c r="E34" s="277">
        <v>-1005</v>
      </c>
      <c r="F34" s="277">
        <v>-1547</v>
      </c>
    </row>
    <row r="35" spans="1:6" x14ac:dyDescent="0.25">
      <c r="A35" s="281" t="s">
        <v>60</v>
      </c>
      <c r="B35" s="278">
        <v>0</v>
      </c>
      <c r="C35" s="277">
        <v>-76</v>
      </c>
      <c r="D35" s="277">
        <v>-69</v>
      </c>
      <c r="E35" s="277">
        <v>-21</v>
      </c>
      <c r="F35" s="277">
        <v>-29</v>
      </c>
    </row>
    <row r="36" spans="1:6" x14ac:dyDescent="0.25">
      <c r="A36" s="281" t="s">
        <v>59</v>
      </c>
      <c r="B36" s="277">
        <v>-138</v>
      </c>
      <c r="C36" s="277">
        <v>-277</v>
      </c>
      <c r="D36" s="277">
        <v>-195</v>
      </c>
      <c r="E36" s="277">
        <v>-181</v>
      </c>
      <c r="F36" s="277">
        <v>-172</v>
      </c>
    </row>
    <row r="37" spans="1:6" x14ac:dyDescent="0.25">
      <c r="A37" s="281" t="s">
        <v>58</v>
      </c>
      <c r="B37" s="278">
        <v>0</v>
      </c>
      <c r="C37" s="278">
        <v>0</v>
      </c>
      <c r="D37" s="277">
        <v>-501</v>
      </c>
      <c r="E37" s="278">
        <v>0</v>
      </c>
      <c r="F37" s="278">
        <v>0</v>
      </c>
    </row>
    <row r="38" spans="1:6" x14ac:dyDescent="0.25">
      <c r="A38" s="281" t="s">
        <v>57</v>
      </c>
      <c r="B38" s="278">
        <v>0</v>
      </c>
      <c r="C38" s="278">
        <v>0</v>
      </c>
      <c r="D38" s="277">
        <v>-891</v>
      </c>
      <c r="E38" s="277">
        <v>-1721</v>
      </c>
      <c r="F38" s="277">
        <v>-1538</v>
      </c>
    </row>
    <row r="39" spans="1:6" x14ac:dyDescent="0.25">
      <c r="A39" s="281" t="s">
        <v>56</v>
      </c>
      <c r="B39" s="277">
        <v>8</v>
      </c>
      <c r="C39" s="278">
        <v>0</v>
      </c>
      <c r="D39" s="277">
        <v>-31</v>
      </c>
      <c r="E39" s="277">
        <v>-44</v>
      </c>
      <c r="F39" s="277">
        <v>-27</v>
      </c>
    </row>
    <row r="40" spans="1:6" x14ac:dyDescent="0.25">
      <c r="A40" s="281" t="s">
        <v>10</v>
      </c>
      <c r="B40" s="277">
        <v>-12</v>
      </c>
      <c r="C40" s="277">
        <v>-32</v>
      </c>
      <c r="D40" s="277">
        <v>-1</v>
      </c>
      <c r="E40" s="277">
        <v>-4</v>
      </c>
      <c r="F40" s="278">
        <v>0</v>
      </c>
    </row>
    <row r="41" spans="1:6" x14ac:dyDescent="0.25">
      <c r="A41" s="281" t="s">
        <v>351</v>
      </c>
      <c r="B41" s="277">
        <v>-1714</v>
      </c>
      <c r="C41" s="277">
        <v>-29</v>
      </c>
      <c r="D41" s="277">
        <v>-1724</v>
      </c>
      <c r="E41" s="277">
        <v>-1300</v>
      </c>
      <c r="F41" s="277">
        <v>-1113</v>
      </c>
    </row>
    <row r="42" spans="1:6" x14ac:dyDescent="0.25">
      <c r="A42" s="281" t="s">
        <v>54</v>
      </c>
      <c r="B42" s="279">
        <v>-19</v>
      </c>
      <c r="C42" s="279">
        <v>-15</v>
      </c>
      <c r="D42" s="277">
        <v>8</v>
      </c>
      <c r="E42" s="277">
        <v>-10</v>
      </c>
      <c r="F42" s="277">
        <v>-2</v>
      </c>
    </row>
    <row r="43" spans="1:6" x14ac:dyDescent="0.25">
      <c r="A43" s="281" t="s">
        <v>53</v>
      </c>
      <c r="B43" s="279"/>
      <c r="C43" s="279"/>
      <c r="D43" s="281"/>
      <c r="E43" s="281"/>
      <c r="F43" s="281"/>
    </row>
    <row r="44" spans="1:6" x14ac:dyDescent="0.25">
      <c r="A44" s="281" t="s">
        <v>331</v>
      </c>
      <c r="B44" s="279">
        <v>88</v>
      </c>
      <c r="C44" s="279">
        <v>828</v>
      </c>
      <c r="D44" s="277">
        <v>-1014</v>
      </c>
      <c r="E44" s="277">
        <v>-186</v>
      </c>
      <c r="F44" s="277">
        <v>146</v>
      </c>
    </row>
    <row r="45" spans="1:6" x14ac:dyDescent="0.25">
      <c r="A45" s="281" t="s">
        <v>332</v>
      </c>
      <c r="B45" s="277">
        <v>768</v>
      </c>
      <c r="C45" s="277">
        <v>856</v>
      </c>
      <c r="D45" s="277">
        <v>1684</v>
      </c>
      <c r="E45" s="277">
        <v>670</v>
      </c>
      <c r="F45" s="277">
        <v>484</v>
      </c>
    </row>
    <row r="46" spans="1:6" x14ac:dyDescent="0.25">
      <c r="A46" s="281" t="s">
        <v>333</v>
      </c>
      <c r="B46" s="294">
        <v>856</v>
      </c>
      <c r="C46" s="294">
        <v>1684</v>
      </c>
      <c r="D46" s="294">
        <v>670</v>
      </c>
      <c r="E46" s="294">
        <v>484</v>
      </c>
      <c r="F46" s="294">
        <v>630</v>
      </c>
    </row>
  </sheetData>
  <mergeCells count="2">
    <mergeCell ref="A1:A2"/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4823-3BF2-42BD-8DC0-A5B7383B7953}">
  <dimension ref="A1:P65"/>
  <sheetViews>
    <sheetView showGridLines="0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27.88671875" bestFit="1" customWidth="1"/>
    <col min="2" max="2" width="15.21875" customWidth="1"/>
    <col min="3" max="6" width="14.109375" customWidth="1"/>
    <col min="7" max="7" width="8.109375" bestFit="1" customWidth="1"/>
    <col min="9" max="9" width="18.88671875" bestFit="1" customWidth="1"/>
    <col min="11" max="14" width="8.109375" bestFit="1" customWidth="1"/>
    <col min="15" max="15" width="20" bestFit="1" customWidth="1"/>
  </cols>
  <sheetData>
    <row r="1" spans="1:9" s="5" customFormat="1" ht="18" thickBot="1" x14ac:dyDescent="0.3">
      <c r="A1" s="178"/>
      <c r="B1" s="178">
        <v>2020</v>
      </c>
      <c r="C1" s="178">
        <v>2021</v>
      </c>
      <c r="D1" s="178">
        <v>2022</v>
      </c>
      <c r="E1" s="178">
        <v>2023</v>
      </c>
      <c r="F1" s="178">
        <v>2024</v>
      </c>
      <c r="G1" s="178"/>
      <c r="H1" s="178"/>
      <c r="I1" s="178"/>
    </row>
    <row r="2" spans="1:9" ht="13.8" thickTop="1" x14ac:dyDescent="0.25">
      <c r="A2" s="333" t="s">
        <v>259</v>
      </c>
      <c r="B2" s="333"/>
      <c r="C2" s="333"/>
      <c r="D2" s="333"/>
      <c r="E2" s="333"/>
      <c r="F2" s="333"/>
      <c r="G2" s="333"/>
      <c r="H2" s="333"/>
      <c r="I2" s="333"/>
    </row>
    <row r="3" spans="1:9" ht="14.4" x14ac:dyDescent="0.25">
      <c r="A3" s="1" t="s">
        <v>261</v>
      </c>
      <c r="B3" s="75">
        <f>AVERAGE(Main!L68:M68)</f>
        <v>-0.28721163999069377</v>
      </c>
      <c r="C3" s="75">
        <f>B3</f>
        <v>-0.28721163999069377</v>
      </c>
      <c r="D3" s="75">
        <f t="shared" ref="D3:F3" si="0">C3</f>
        <v>-0.28721163999069377</v>
      </c>
      <c r="E3" s="75">
        <f t="shared" si="0"/>
        <v>-0.28721163999069377</v>
      </c>
      <c r="F3" s="75">
        <f t="shared" si="0"/>
        <v>-0.28721163999069377</v>
      </c>
      <c r="G3" s="74" t="s">
        <v>258</v>
      </c>
      <c r="I3" s="82">
        <v>2</v>
      </c>
    </row>
    <row r="4" spans="1:9" x14ac:dyDescent="0.25">
      <c r="A4" s="1" t="s">
        <v>260</v>
      </c>
      <c r="B4" s="50">
        <v>-0.28999999999999998</v>
      </c>
      <c r="C4" s="50">
        <f>B4*(1+$H4)</f>
        <v>-0.30933333333333329</v>
      </c>
      <c r="D4" s="50">
        <f t="shared" ref="D4:E4" si="1">C4*(1+$H4)</f>
        <v>-0.3299555555555555</v>
      </c>
      <c r="E4" s="50">
        <f t="shared" si="1"/>
        <v>-0.35195259259259254</v>
      </c>
      <c r="F4" s="50">
        <f>(1+G4)*$B$3</f>
        <v>-0.38294885332092499</v>
      </c>
      <c r="G4" s="198">
        <f>28/21-1</f>
        <v>0.33333333333333326</v>
      </c>
      <c r="H4">
        <f>G4/5</f>
        <v>6.6666666666666652E-2</v>
      </c>
    </row>
    <row r="5" spans="1:9" x14ac:dyDescent="0.25">
      <c r="A5" s="1" t="s">
        <v>262</v>
      </c>
      <c r="B5" s="50">
        <v>-0.28999999999999998</v>
      </c>
      <c r="C5" s="50">
        <f>B5*(1+$H5)</f>
        <v>-0.32866666666666666</v>
      </c>
      <c r="D5" s="50">
        <f t="shared" ref="D5:E5" si="2">C5*(1+$H5)</f>
        <v>-0.37248888888888887</v>
      </c>
      <c r="E5" s="50">
        <f t="shared" si="2"/>
        <v>-0.42215407407407401</v>
      </c>
      <c r="F5" s="50">
        <f>(1+G5)*$B$3</f>
        <v>-0.47868606665115632</v>
      </c>
      <c r="G5" s="198">
        <f>35/21-1</f>
        <v>0.66666666666666674</v>
      </c>
      <c r="H5" s="5">
        <f>G5/5</f>
        <v>0.13333333333333336</v>
      </c>
    </row>
    <row r="6" spans="1:9" x14ac:dyDescent="0.25">
      <c r="A6" s="78" t="s">
        <v>290</v>
      </c>
      <c r="C6" s="5"/>
      <c r="D6" s="5"/>
      <c r="E6" s="5"/>
      <c r="F6" s="5"/>
    </row>
    <row r="7" spans="1:9" x14ac:dyDescent="0.25">
      <c r="A7" s="333" t="s">
        <v>273</v>
      </c>
      <c r="B7" s="333"/>
      <c r="C7" s="333"/>
      <c r="D7" s="333"/>
      <c r="E7" s="333"/>
      <c r="F7" s="333"/>
      <c r="G7" s="333"/>
      <c r="H7" s="333"/>
      <c r="I7" s="333"/>
    </row>
    <row r="8" spans="1:9" ht="14.4" x14ac:dyDescent="0.25">
      <c r="A8" s="177" t="s">
        <v>274</v>
      </c>
      <c r="B8" s="180">
        <v>10000</v>
      </c>
      <c r="C8" s="180">
        <v>10000</v>
      </c>
      <c r="D8" s="180">
        <v>10000</v>
      </c>
      <c r="E8" s="180">
        <v>10000</v>
      </c>
      <c r="F8" s="180">
        <v>10000</v>
      </c>
      <c r="I8" s="82">
        <v>1</v>
      </c>
    </row>
    <row r="9" spans="1:9" x14ac:dyDescent="0.25">
      <c r="A9" s="177" t="s">
        <v>271</v>
      </c>
      <c r="B9" s="180">
        <v>10000</v>
      </c>
      <c r="C9" s="180">
        <v>10000</v>
      </c>
      <c r="D9" s="180">
        <v>10000</v>
      </c>
      <c r="E9" s="180">
        <v>10000</v>
      </c>
      <c r="F9" s="180">
        <v>10000</v>
      </c>
    </row>
    <row r="10" spans="1:9" x14ac:dyDescent="0.25">
      <c r="A10" s="177" t="s">
        <v>272</v>
      </c>
      <c r="B10" s="180">
        <v>10000</v>
      </c>
      <c r="C10" s="180">
        <v>10000</v>
      </c>
      <c r="D10" s="180">
        <v>10000</v>
      </c>
      <c r="E10" s="180">
        <v>10000</v>
      </c>
      <c r="F10" s="180">
        <v>10000</v>
      </c>
    </row>
    <row r="11" spans="1:9" x14ac:dyDescent="0.25">
      <c r="C11" s="5"/>
      <c r="D11" s="5"/>
      <c r="E11" s="5"/>
      <c r="F11" s="5"/>
    </row>
    <row r="12" spans="1:9" x14ac:dyDescent="0.25">
      <c r="A12" s="333" t="s">
        <v>278</v>
      </c>
      <c r="B12" s="333"/>
      <c r="C12" s="333"/>
      <c r="D12" s="333"/>
      <c r="E12" s="333"/>
      <c r="F12" s="333"/>
      <c r="G12" s="333"/>
      <c r="H12" s="333"/>
      <c r="I12" s="333"/>
    </row>
    <row r="13" spans="1:9" ht="14.4" x14ac:dyDescent="0.25">
      <c r="A13" s="187" t="s">
        <v>357</v>
      </c>
      <c r="B13" s="180"/>
      <c r="C13" s="180"/>
      <c r="D13" s="180"/>
      <c r="E13" s="180"/>
      <c r="F13" s="180"/>
      <c r="G13" s="5"/>
      <c r="H13" s="5"/>
      <c r="I13" s="82">
        <v>725</v>
      </c>
    </row>
    <row r="14" spans="1:9" x14ac:dyDescent="0.25">
      <c r="A14" s="192" t="s">
        <v>283</v>
      </c>
      <c r="B14" s="191">
        <f>Main!N38*Main!N61</f>
        <v>-1164.4563721381483</v>
      </c>
      <c r="C14" s="191">
        <f>Main!O38*Main!O61</f>
        <v>-1542.015915355737</v>
      </c>
      <c r="D14" s="191">
        <f>Main!P38*Main!P61</f>
        <v>-1643.1565340035438</v>
      </c>
      <c r="E14" s="191">
        <f>Main!Q38*Main!Q61</f>
        <v>-1762.9670478491269</v>
      </c>
      <c r="F14" s="191">
        <f>Main!R38*Main!R61</f>
        <v>-1907.0539119554994</v>
      </c>
      <c r="G14" s="1" t="s">
        <v>289</v>
      </c>
      <c r="H14" s="5"/>
      <c r="I14" s="5"/>
    </row>
    <row r="15" spans="1:9" s="5" customFormat="1" x14ac:dyDescent="0.25">
      <c r="A15" s="177" t="s">
        <v>358</v>
      </c>
      <c r="B15" s="179">
        <f>(B$14*0.75)</f>
        <v>-873.34227910361119</v>
      </c>
      <c r="C15" s="179">
        <f t="shared" ref="C15:F15" si="3">(C$14*0.75)</f>
        <v>-1156.5119365168027</v>
      </c>
      <c r="D15" s="179">
        <f t="shared" si="3"/>
        <v>-1232.3674005026578</v>
      </c>
      <c r="E15" s="179">
        <f t="shared" si="3"/>
        <v>-1322.2252858868451</v>
      </c>
      <c r="F15" s="179">
        <f t="shared" si="3"/>
        <v>-1430.2904339666245</v>
      </c>
    </row>
    <row r="16" spans="1:9" s="5" customFormat="1" x14ac:dyDescent="0.25">
      <c r="A16" s="177" t="s">
        <v>359</v>
      </c>
      <c r="B16" s="179">
        <f>(B14*0.25)*(Main!$P$5/Main!$N$5)</f>
        <v>-291.11409303453706</v>
      </c>
      <c r="C16" s="179">
        <f>(C14*0.25)*(Main!$P$5/Main!$N$5)</f>
        <v>-385.50397883893424</v>
      </c>
      <c r="D16" s="179">
        <f>(D14*0.25)*(Main!$P$5/Main!$N$5)</f>
        <v>-410.78913350088595</v>
      </c>
      <c r="E16" s="179">
        <f>(E14*0.25)*(Main!$P$5/Main!$N$5)</f>
        <v>-440.74176196228171</v>
      </c>
      <c r="F16" s="179">
        <f>(F14*0.25)*(Main!$P$5/Main!$N$5)</f>
        <v>-476.76347798887485</v>
      </c>
      <c r="H16" s="1"/>
    </row>
    <row r="17" spans="1:9" s="5" customFormat="1" x14ac:dyDescent="0.25">
      <c r="A17" s="192" t="s">
        <v>282</v>
      </c>
      <c r="B17" s="191">
        <f>B16+B15</f>
        <v>-1164.4563721381483</v>
      </c>
      <c r="C17" s="191">
        <f t="shared" ref="C17:F17" si="4">C16+C15</f>
        <v>-1542.015915355737</v>
      </c>
      <c r="D17" s="191">
        <f t="shared" si="4"/>
        <v>-1643.1565340035438</v>
      </c>
      <c r="E17" s="191">
        <f t="shared" si="4"/>
        <v>-1762.9670478491269</v>
      </c>
      <c r="F17" s="191">
        <f t="shared" si="4"/>
        <v>-1907.0539119554994</v>
      </c>
      <c r="H17" s="1"/>
    </row>
    <row r="18" spans="1:9" s="5" customFormat="1" x14ac:dyDescent="0.25">
      <c r="A18" s="192"/>
      <c r="B18" s="179"/>
      <c r="C18" s="179"/>
      <c r="D18" s="179"/>
      <c r="E18" s="179"/>
      <c r="F18" s="179"/>
      <c r="H18" s="1"/>
    </row>
    <row r="19" spans="1:9" x14ac:dyDescent="0.25">
      <c r="A19" s="192" t="s">
        <v>284</v>
      </c>
      <c r="B19" s="191">
        <f>Main!N38*Main!N62</f>
        <v>-4782.1421466178863</v>
      </c>
      <c r="C19" s="191">
        <f>Main!O38*Main!O62</f>
        <v>-6332.6883479867965</v>
      </c>
      <c r="D19" s="191">
        <f>Main!P38*Main!P62</f>
        <v>-6748.0485338584085</v>
      </c>
      <c r="E19" s="191">
        <f>Main!Q38*Main!Q62</f>
        <v>-7240.0814872415131</v>
      </c>
      <c r="F19" s="191">
        <f>Main!R38*Main!R62</f>
        <v>-7831.8115701400939</v>
      </c>
      <c r="G19" s="1" t="s">
        <v>289</v>
      </c>
      <c r="H19" s="1"/>
      <c r="I19" s="5"/>
    </row>
    <row r="20" spans="1:9" x14ac:dyDescent="0.25">
      <c r="A20" s="177" t="s">
        <v>358</v>
      </c>
      <c r="B20" s="179">
        <f>B19*0.75</f>
        <v>-3586.6066099634145</v>
      </c>
      <c r="C20" s="179">
        <f t="shared" ref="C20:F20" si="5">C19*0.75</f>
        <v>-4749.5162609900972</v>
      </c>
      <c r="D20" s="179">
        <f t="shared" si="5"/>
        <v>-5061.0364003938066</v>
      </c>
      <c r="E20" s="179">
        <f t="shared" si="5"/>
        <v>-5430.0611154311346</v>
      </c>
      <c r="F20" s="179">
        <f t="shared" si="5"/>
        <v>-5873.8586776050706</v>
      </c>
    </row>
    <row r="21" spans="1:9" x14ac:dyDescent="0.25">
      <c r="A21" s="177" t="s">
        <v>359</v>
      </c>
      <c r="B21" s="179">
        <f>(B19*0.25)*(Main!$P$5/Main!$N$5)</f>
        <v>-1195.5355366544716</v>
      </c>
      <c r="C21" s="179">
        <f>(C19*0.25)*(Main!$P$5/Main!$N$5)</f>
        <v>-1583.1720869966991</v>
      </c>
      <c r="D21" s="179">
        <f>(D19*0.25)*(Main!$P$5/Main!$N$5)</f>
        <v>-1687.0121334646021</v>
      </c>
      <c r="E21" s="179">
        <f>(E19*0.25)*(Main!$P$5/Main!$N$5)</f>
        <v>-1810.0203718103783</v>
      </c>
      <c r="F21" s="179">
        <f>(F19*0.25)*(Main!$P$5/Main!$N$5)</f>
        <v>-1957.9528925350235</v>
      </c>
    </row>
    <row r="22" spans="1:9" x14ac:dyDescent="0.25">
      <c r="A22" s="192" t="s">
        <v>282</v>
      </c>
      <c r="B22" s="191">
        <f>B21+B20</f>
        <v>-4782.1421466178863</v>
      </c>
      <c r="C22" s="191">
        <f t="shared" ref="C22:F22" si="6">C21+C20</f>
        <v>-6332.6883479867965</v>
      </c>
      <c r="D22" s="191">
        <f t="shared" si="6"/>
        <v>-6748.0485338584085</v>
      </c>
      <c r="E22" s="191">
        <f t="shared" si="6"/>
        <v>-7240.0814872415131</v>
      </c>
      <c r="F22" s="191">
        <f t="shared" si="6"/>
        <v>-7831.8115701400939</v>
      </c>
    </row>
    <row r="23" spans="1:9" x14ac:dyDescent="0.25">
      <c r="C23" s="5"/>
      <c r="D23" s="5"/>
      <c r="E23" s="5"/>
      <c r="F23" s="5"/>
    </row>
    <row r="24" spans="1:9" x14ac:dyDescent="0.25">
      <c r="A24" s="333" t="s">
        <v>292</v>
      </c>
      <c r="B24" s="333"/>
      <c r="C24" s="333"/>
      <c r="D24" s="333"/>
      <c r="E24" s="333"/>
      <c r="F24" s="333"/>
      <c r="G24" s="333"/>
      <c r="H24" s="333"/>
      <c r="I24" s="333"/>
    </row>
    <row r="25" spans="1:9" ht="14.4" x14ac:dyDescent="0.25">
      <c r="A25" s="187"/>
      <c r="B25" s="180"/>
      <c r="C25" s="180"/>
      <c r="D25" s="180"/>
      <c r="E25" s="180"/>
      <c r="F25" s="180"/>
      <c r="G25" s="5"/>
      <c r="H25" s="5"/>
      <c r="I25" s="82">
        <v>20</v>
      </c>
    </row>
    <row r="26" spans="1:9" x14ac:dyDescent="0.25">
      <c r="A26" s="195" t="s">
        <v>293</v>
      </c>
      <c r="B26" s="194">
        <f>Main!M$35*(1+Main!N$58)</f>
        <v>1882.7200000000003</v>
      </c>
      <c r="C26" s="191"/>
      <c r="D26" s="191"/>
      <c r="H26" s="5"/>
      <c r="I26" s="176"/>
    </row>
    <row r="27" spans="1:9" s="5" customFormat="1" x14ac:dyDescent="0.25">
      <c r="A27" s="192" t="s">
        <v>297</v>
      </c>
      <c r="B27" s="191">
        <f>B26*(1-Main!$H$4)</f>
        <v>1506.1760000000004</v>
      </c>
      <c r="C27" s="191"/>
      <c r="D27" s="191"/>
      <c r="E27"/>
      <c r="F27"/>
      <c r="G27"/>
    </row>
    <row r="28" spans="1:9" x14ac:dyDescent="0.25">
      <c r="A28" s="195" t="s">
        <v>294</v>
      </c>
      <c r="B28" s="194">
        <f>Main!M$36*(1+Main!N$59)</f>
        <v>1464.66</v>
      </c>
      <c r="C28" s="179"/>
      <c r="D28" s="179"/>
      <c r="H28" s="5"/>
      <c r="I28" s="5"/>
    </row>
    <row r="29" spans="1:9" x14ac:dyDescent="0.25">
      <c r="A29" s="192" t="s">
        <v>297</v>
      </c>
      <c r="B29" s="191">
        <f>B28*(1-Main!$H$4)</f>
        <v>1171.7280000000001</v>
      </c>
    </row>
    <row r="30" spans="1:9" x14ac:dyDescent="0.25">
      <c r="A30" s="196" t="s">
        <v>299</v>
      </c>
      <c r="B30" s="194">
        <f>Main!M$37*(1+Main!N$60)</f>
        <v>6615.4161387872618</v>
      </c>
    </row>
    <row r="31" spans="1:9" x14ac:dyDescent="0.25">
      <c r="A31" s="192" t="s">
        <v>297</v>
      </c>
      <c r="B31" s="191">
        <f>B30*(1-Main!$H$4)</f>
        <v>5292.33291102981</v>
      </c>
    </row>
    <row r="33" spans="1:16" ht="18" thickBot="1" x14ac:dyDescent="0.3">
      <c r="A33" s="333" t="s">
        <v>291</v>
      </c>
      <c r="B33" s="333"/>
      <c r="C33" s="333"/>
      <c r="D33" s="333"/>
      <c r="E33" s="333"/>
      <c r="F33" s="333"/>
      <c r="G33" s="333"/>
      <c r="H33" s="333"/>
      <c r="I33" s="333"/>
      <c r="J33" s="178">
        <v>2020</v>
      </c>
      <c r="K33" s="178">
        <v>2021</v>
      </c>
      <c r="L33" s="178">
        <v>2022</v>
      </c>
      <c r="M33" s="178">
        <v>2023</v>
      </c>
      <c r="N33" s="178">
        <v>2024</v>
      </c>
    </row>
    <row r="34" spans="1:16" ht="15" thickTop="1" x14ac:dyDescent="0.25">
      <c r="A34" s="78" t="s">
        <v>301</v>
      </c>
      <c r="B34" s="180"/>
      <c r="C34" s="180"/>
      <c r="D34" s="180"/>
      <c r="E34" s="180"/>
      <c r="F34" s="180"/>
      <c r="G34" s="5"/>
      <c r="H34" s="5"/>
      <c r="I34" s="82">
        <v>1</v>
      </c>
    </row>
    <row r="35" spans="1:16" x14ac:dyDescent="0.25">
      <c r="A35" s="195" t="s">
        <v>293</v>
      </c>
      <c r="B35" s="194"/>
      <c r="C35" s="194">
        <f>Main!N$35*(1+Main!O$58)</f>
        <v>1677.8800640000002</v>
      </c>
      <c r="D35" s="194">
        <f>Main!O$35*(1+Main!P$58)</f>
        <v>2324.4930936640003</v>
      </c>
      <c r="E35" s="194">
        <f>Main!P$35*(1+Main!Q$58)</f>
        <v>2563.6485656056207</v>
      </c>
      <c r="F35" s="194">
        <f>Main!Q$35*(1+Main!R$58)</f>
        <v>2814.2214991443384</v>
      </c>
      <c r="G35" s="53"/>
      <c r="H35" s="5"/>
      <c r="K35" s="332" t="s">
        <v>305</v>
      </c>
      <c r="L35" s="332"/>
      <c r="M35" s="332"/>
      <c r="N35" s="332"/>
    </row>
    <row r="36" spans="1:16" s="5" customFormat="1" x14ac:dyDescent="0.25">
      <c r="A36" s="177" t="s">
        <v>300</v>
      </c>
      <c r="B36" s="194"/>
      <c r="C36" s="191">
        <v>2097.3500800000002</v>
      </c>
      <c r="D36" s="191">
        <v>2324.4930936640003</v>
      </c>
      <c r="E36" s="191">
        <v>2563.6485656056207</v>
      </c>
      <c r="F36" s="191">
        <v>2814.2214991443384</v>
      </c>
      <c r="G36" s="53"/>
      <c r="I36" s="177" t="s">
        <v>302</v>
      </c>
      <c r="J36" s="194">
        <f>2500*(1.4)</f>
        <v>3500</v>
      </c>
      <c r="K36" s="180">
        <f>J36*(1+INDEX($P$36:$P$39,$I$34))</f>
        <v>3500</v>
      </c>
      <c r="L36" s="180">
        <f>K36*(1+INDEX($P$36:$P$39,$I$34))</f>
        <v>3500</v>
      </c>
      <c r="M36" s="180">
        <f>L36*(1+INDEX($P$36:$P$39,$I$34))</f>
        <v>3500</v>
      </c>
      <c r="N36" s="180">
        <f>M36*(1+INDEX($P$36:$P$39,$I$34))</f>
        <v>3500</v>
      </c>
      <c r="O36" s="216" t="s">
        <v>309</v>
      </c>
      <c r="P36" s="217">
        <v>0</v>
      </c>
    </row>
    <row r="37" spans="1:16" x14ac:dyDescent="0.25">
      <c r="A37" s="192" t="s">
        <v>297</v>
      </c>
      <c r="B37" s="191"/>
      <c r="C37" s="199">
        <f>IF(K$36=J$36,C36,C36*(1-K$39))</f>
        <v>2097.3500800000002</v>
      </c>
      <c r="D37" s="199">
        <f>IF(L$36=K$36,D36,D36*(1-L$39))</f>
        <v>2324.4930936640003</v>
      </c>
      <c r="E37" s="199">
        <f t="shared" ref="E37:F37" si="7">IF(M$36=L$36,E36,E36*(1-M$39))</f>
        <v>2563.6485656056207</v>
      </c>
      <c r="F37" s="199">
        <f t="shared" si="7"/>
        <v>2814.2214991443384</v>
      </c>
      <c r="G37" s="53"/>
      <c r="H37" s="5"/>
      <c r="I37" s="1" t="s">
        <v>303</v>
      </c>
      <c r="J37" s="194">
        <f>Main!N$38</f>
        <v>7970.2369110298105</v>
      </c>
      <c r="K37" s="194">
        <f>Main!O$38</f>
        <v>10554.480579977995</v>
      </c>
      <c r="L37" s="194">
        <f>Main!P$38</f>
        <v>11246.747556430681</v>
      </c>
      <c r="M37" s="194">
        <f>Main!Q$38</f>
        <v>12066.802478735855</v>
      </c>
      <c r="N37" s="194">
        <f>Main!R$38</f>
        <v>13053.019283566824</v>
      </c>
      <c r="O37" s="216" t="s">
        <v>310</v>
      </c>
      <c r="P37" s="218">
        <v>0.05</v>
      </c>
    </row>
    <row r="38" spans="1:16" x14ac:dyDescent="0.25">
      <c r="A38" s="195" t="s">
        <v>294</v>
      </c>
      <c r="B38" s="194"/>
      <c r="C38" s="194">
        <f>Main!N$36*(1+Main!O$59)</f>
        <v>1206.8798400000001</v>
      </c>
      <c r="D38" s="194">
        <f>Main!O$36*(1+Main!P$59)</f>
        <v>1553.8577940000002</v>
      </c>
      <c r="E38" s="194">
        <f>Main!P$36*(1+Main!Q$59)</f>
        <v>1600.4735278200003</v>
      </c>
      <c r="F38" s="194">
        <f>Main!Q$36*(1+Main!R$59)</f>
        <v>1648.4877336546003</v>
      </c>
      <c r="G38" s="50"/>
      <c r="H38" s="5"/>
      <c r="I38" s="1" t="s">
        <v>304</v>
      </c>
      <c r="J38" s="50">
        <f>J36/J37</f>
        <v>0.43913374709808661</v>
      </c>
      <c r="K38" s="208">
        <f t="shared" ref="K38:N38" si="8">K36/K37</f>
        <v>0.33161271873857551</v>
      </c>
      <c r="L38" s="208">
        <f t="shared" si="8"/>
        <v>0.31120108124048407</v>
      </c>
      <c r="M38" s="208">
        <f t="shared" si="8"/>
        <v>0.29005198404197857</v>
      </c>
      <c r="N38" s="208">
        <f t="shared" si="8"/>
        <v>0.2681371967638434</v>
      </c>
      <c r="O38" s="216" t="s">
        <v>311</v>
      </c>
      <c r="P38" s="218">
        <v>0.15</v>
      </c>
    </row>
    <row r="39" spans="1:16" s="5" customFormat="1" x14ac:dyDescent="0.25">
      <c r="A39" s="177" t="s">
        <v>300</v>
      </c>
      <c r="B39" s="194"/>
      <c r="C39" s="191">
        <v>1508.5998000000002</v>
      </c>
      <c r="D39" s="191">
        <v>1553.8577940000002</v>
      </c>
      <c r="E39" s="191">
        <v>1600.4735278200003</v>
      </c>
      <c r="F39" s="191">
        <v>1648.4877336546003</v>
      </c>
      <c r="G39" s="50"/>
      <c r="K39" s="198">
        <f>K38*0.2</f>
        <v>6.632254374771511E-2</v>
      </c>
      <c r="L39" s="198">
        <f t="shared" ref="L39:M39" si="9">L38*0.2</f>
        <v>6.2240216248096815E-2</v>
      </c>
      <c r="M39" s="198">
        <f t="shared" si="9"/>
        <v>5.8010396808395717E-2</v>
      </c>
      <c r="N39" s="198">
        <f>N38*0.2</f>
        <v>5.3627439352768681E-2</v>
      </c>
      <c r="O39" s="216" t="s">
        <v>312</v>
      </c>
      <c r="P39" s="218">
        <v>0.25</v>
      </c>
    </row>
    <row r="40" spans="1:16" x14ac:dyDescent="0.25">
      <c r="A40" s="192" t="s">
        <v>297</v>
      </c>
      <c r="B40" s="191"/>
      <c r="C40" s="199">
        <f>IF(K$36=J$36,C39,C39*(1-K$39))</f>
        <v>1508.5998000000002</v>
      </c>
      <c r="D40" s="199">
        <f t="shared" ref="D40:F40" si="10">IF(L$36=K$36,D39,D39*(1-L$39))</f>
        <v>1553.8577940000002</v>
      </c>
      <c r="E40" s="199">
        <f t="shared" si="10"/>
        <v>1600.4735278200003</v>
      </c>
      <c r="F40" s="199">
        <f t="shared" si="10"/>
        <v>1648.4877336546003</v>
      </c>
      <c r="G40" s="50"/>
      <c r="H40" s="5"/>
    </row>
    <row r="41" spans="1:16" x14ac:dyDescent="0.25">
      <c r="A41" s="196" t="s">
        <v>299</v>
      </c>
      <c r="B41" s="194"/>
      <c r="C41" s="194">
        <f>Main!N$37*(1+Main!O$60)</f>
        <v>5558.8245599823967</v>
      </c>
      <c r="D41" s="194">
        <f>Main!O$37*(1+Main!P$60)</f>
        <v>7368.3966687666789</v>
      </c>
      <c r="E41" s="194">
        <f>Main!P$37*(1+Main!Q$60)</f>
        <v>7902.6803853102347</v>
      </c>
      <c r="F41" s="194">
        <f>Main!Q$37*(1+Main!R$60)</f>
        <v>8590.3100507678846</v>
      </c>
      <c r="G41" s="5"/>
      <c r="H41" s="5"/>
      <c r="I41" s="1" t="s">
        <v>307</v>
      </c>
      <c r="K41" s="180">
        <f>K37*(1-K39)</f>
        <v>9854.4805799779951</v>
      </c>
      <c r="L41" s="180">
        <f t="shared" ref="L41:N41" si="11">L37*(1-L39)</f>
        <v>10546.747556430681</v>
      </c>
      <c r="M41" s="180">
        <f t="shared" si="11"/>
        <v>11366.802478735855</v>
      </c>
      <c r="N41" s="180">
        <f t="shared" si="11"/>
        <v>12353.019283566824</v>
      </c>
    </row>
    <row r="42" spans="1:16" s="5" customFormat="1" x14ac:dyDescent="0.25">
      <c r="A42" s="177" t="s">
        <v>300</v>
      </c>
      <c r="B42" s="194"/>
      <c r="C42" s="191">
        <v>6948.530699977995</v>
      </c>
      <c r="D42" s="191">
        <v>7368.3966687666789</v>
      </c>
      <c r="E42" s="191">
        <v>7902.6803853102347</v>
      </c>
      <c r="F42" s="191">
        <v>8590.3100507678846</v>
      </c>
      <c r="I42" s="1" t="s">
        <v>306</v>
      </c>
      <c r="K42" s="180">
        <f>K41-K37</f>
        <v>-700</v>
      </c>
      <c r="L42" s="180">
        <f t="shared" ref="L42:N42" si="12">L41-L37</f>
        <v>-700</v>
      </c>
      <c r="M42" s="180">
        <f t="shared" si="12"/>
        <v>-700</v>
      </c>
      <c r="N42" s="180">
        <f t="shared" si="12"/>
        <v>-700</v>
      </c>
    </row>
    <row r="43" spans="1:16" x14ac:dyDescent="0.25">
      <c r="A43" s="192" t="s">
        <v>297</v>
      </c>
      <c r="B43" s="191"/>
      <c r="C43" s="199">
        <f>IF(K$36=J$36,C42,C42*(1-K$39))</f>
        <v>6948.530699977995</v>
      </c>
      <c r="D43" s="199">
        <f t="shared" ref="D43:F43" si="13">IF(L36=K36,D42,D42*(1-L$39))</f>
        <v>7368.3966687666789</v>
      </c>
      <c r="E43" s="199">
        <f t="shared" si="13"/>
        <v>7902.6803853102347</v>
      </c>
      <c r="F43" s="199">
        <f t="shared" si="13"/>
        <v>8590.3100507678846</v>
      </c>
      <c r="G43" s="5"/>
      <c r="H43" s="5"/>
      <c r="I43" s="5"/>
    </row>
    <row r="45" spans="1:16" x14ac:dyDescent="0.25">
      <c r="A45" s="333" t="s">
        <v>292</v>
      </c>
      <c r="B45" s="333"/>
      <c r="C45" s="333"/>
      <c r="D45" s="333"/>
      <c r="E45" s="333"/>
      <c r="F45" s="333"/>
      <c r="G45" s="333"/>
      <c r="H45" s="333"/>
      <c r="I45" s="333"/>
    </row>
    <row r="46" spans="1:16" ht="14.4" x14ac:dyDescent="0.25">
      <c r="A46" s="187"/>
      <c r="B46" s="180"/>
      <c r="C46" s="180"/>
      <c r="D46" s="180"/>
      <c r="E46" s="180"/>
      <c r="F46" s="180"/>
      <c r="G46" s="5"/>
      <c r="H46" s="5"/>
      <c r="I46" s="82">
        <v>1</v>
      </c>
    </row>
    <row r="47" spans="1:16" x14ac:dyDescent="0.25">
      <c r="A47" s="195"/>
      <c r="B47" s="194"/>
      <c r="C47" s="191"/>
      <c r="D47" s="191"/>
      <c r="E47" s="191"/>
      <c r="F47" s="191"/>
      <c r="G47" s="53"/>
      <c r="H47" s="5"/>
      <c r="I47" s="176"/>
    </row>
    <row r="48" spans="1:16" x14ac:dyDescent="0.25">
      <c r="A48" s="220" t="s">
        <v>124</v>
      </c>
      <c r="B48" s="221">
        <v>10000</v>
      </c>
      <c r="C48" s="191"/>
      <c r="D48" s="74"/>
      <c r="E48" s="191"/>
      <c r="F48" s="191"/>
      <c r="G48" s="53"/>
      <c r="H48" s="5"/>
      <c r="I48" s="5"/>
    </row>
    <row r="49" spans="1:9" x14ac:dyDescent="0.25">
      <c r="A49" s="222" t="s">
        <v>313</v>
      </c>
      <c r="B49" s="223">
        <v>10000</v>
      </c>
      <c r="C49" s="179"/>
      <c r="D49" s="191" t="s">
        <v>144</v>
      </c>
      <c r="E49" s="193"/>
      <c r="F49" s="179"/>
      <c r="G49" s="50"/>
      <c r="H49" s="5"/>
      <c r="I49" s="5"/>
    </row>
    <row r="50" spans="1:9" s="5" customFormat="1" x14ac:dyDescent="0.25">
      <c r="A50" s="195"/>
      <c r="B50" s="194"/>
      <c r="C50" s="179"/>
      <c r="D50" s="193" t="s">
        <v>315</v>
      </c>
      <c r="E50" s="193"/>
      <c r="F50" s="179"/>
      <c r="G50" s="50"/>
    </row>
    <row r="51" spans="1:9" x14ac:dyDescent="0.25">
      <c r="A51" s="220" t="s">
        <v>124</v>
      </c>
      <c r="B51" s="221">
        <v>10000</v>
      </c>
      <c r="C51" s="5"/>
      <c r="D51" s="5"/>
      <c r="E51" s="74"/>
      <c r="F51" s="5"/>
      <c r="G51" s="50"/>
      <c r="H51" s="5"/>
      <c r="I51" s="5"/>
    </row>
    <row r="52" spans="1:9" x14ac:dyDescent="0.25">
      <c r="A52" s="222" t="s">
        <v>145</v>
      </c>
      <c r="B52" s="223">
        <v>10000</v>
      </c>
      <c r="C52" s="5"/>
      <c r="D52" s="5"/>
      <c r="E52" s="5"/>
      <c r="F52" s="5"/>
      <c r="G52" s="5"/>
      <c r="H52" s="5"/>
      <c r="I52" s="5"/>
    </row>
    <row r="53" spans="1:9" s="5" customFormat="1" x14ac:dyDescent="0.25">
      <c r="A53" s="196"/>
      <c r="B53" s="194"/>
    </row>
    <row r="54" spans="1:9" x14ac:dyDescent="0.25">
      <c r="A54" s="333" t="s">
        <v>321</v>
      </c>
      <c r="B54" s="333"/>
      <c r="C54" s="333"/>
      <c r="D54" s="333"/>
      <c r="E54" s="333"/>
      <c r="F54" s="333"/>
      <c r="G54" s="333"/>
      <c r="H54" s="333"/>
      <c r="I54" s="333"/>
    </row>
    <row r="55" spans="1:9" x14ac:dyDescent="0.25">
      <c r="A55" s="78"/>
      <c r="B55" s="180"/>
      <c r="C55" s="180"/>
      <c r="D55" s="180"/>
      <c r="E55" s="180"/>
      <c r="F55" s="180"/>
      <c r="G55" s="5"/>
      <c r="H55" s="5"/>
    </row>
    <row r="56" spans="1:9" x14ac:dyDescent="0.25">
      <c r="A56" s="195" t="s">
        <v>326</v>
      </c>
      <c r="B56" s="194"/>
      <c r="C56" s="194"/>
      <c r="D56" s="194"/>
      <c r="E56" s="194"/>
      <c r="F56" s="194"/>
      <c r="G56" s="53"/>
      <c r="H56" s="5"/>
      <c r="I56" s="5"/>
    </row>
    <row r="57" spans="1:9" ht="15" x14ac:dyDescent="0.25">
      <c r="A57" s="334" t="s">
        <v>322</v>
      </c>
      <c r="B57" s="335"/>
      <c r="C57" s="82" t="b">
        <v>0</v>
      </c>
      <c r="D57" s="262">
        <f>IF(C57,(22*0.2)/100,0)</f>
        <v>0</v>
      </c>
      <c r="E57" s="191"/>
      <c r="F57" s="191"/>
      <c r="G57" s="53"/>
      <c r="H57" s="5"/>
      <c r="I57" s="177"/>
    </row>
    <row r="58" spans="1:9" ht="15" x14ac:dyDescent="0.25">
      <c r="A58" s="334" t="s">
        <v>323</v>
      </c>
      <c r="B58" s="335"/>
      <c r="C58" s="82" t="b">
        <v>0</v>
      </c>
      <c r="D58" s="262">
        <f>IF(C58,(44*0.2)/100,0)</f>
        <v>0</v>
      </c>
      <c r="E58" s="199"/>
      <c r="F58" s="191"/>
      <c r="G58" s="53"/>
      <c r="H58" s="5"/>
      <c r="I58" s="1"/>
    </row>
    <row r="59" spans="1:9" ht="15" x14ac:dyDescent="0.25">
      <c r="A59" s="334" t="s">
        <v>324</v>
      </c>
      <c r="B59" s="335"/>
      <c r="C59" s="82" t="b">
        <v>0</v>
      </c>
      <c r="D59" s="262">
        <f>IF(C59,(36*0.2)/100,0)</f>
        <v>0</v>
      </c>
      <c r="E59" s="194"/>
      <c r="F59" s="191"/>
      <c r="G59" s="50"/>
      <c r="H59" s="5"/>
      <c r="I59" s="1"/>
    </row>
    <row r="60" spans="1:9" ht="15" x14ac:dyDescent="0.25">
      <c r="A60" s="334" t="s">
        <v>325</v>
      </c>
      <c r="B60" s="335"/>
      <c r="C60" s="82" t="b">
        <v>0</v>
      </c>
      <c r="D60" s="262">
        <f>IF(C60,(26*0.2)/100,0)</f>
        <v>0</v>
      </c>
      <c r="E60" s="191"/>
      <c r="F60" s="191"/>
      <c r="G60" s="50"/>
      <c r="H60" s="5"/>
      <c r="I60" s="5"/>
    </row>
    <row r="61" spans="1:9" x14ac:dyDescent="0.25">
      <c r="A61" s="192"/>
      <c r="B61" s="191"/>
      <c r="C61" s="263" t="s">
        <v>328</v>
      </c>
      <c r="D61" s="262">
        <f>SUM(D57:D60)</f>
        <v>0</v>
      </c>
      <c r="E61" s="199"/>
      <c r="F61" s="199"/>
      <c r="G61" s="50"/>
      <c r="H61" s="5"/>
      <c r="I61" s="5"/>
    </row>
    <row r="62" spans="1:9" x14ac:dyDescent="0.25">
      <c r="A62" s="177" t="s">
        <v>329</v>
      </c>
      <c r="B62" s="198">
        <f>Main!N99</f>
        <v>1.4083900692969624</v>
      </c>
      <c r="C62" s="198">
        <f>Main!O99</f>
        <v>1.372708507105088</v>
      </c>
      <c r="D62" s="198">
        <f>Main!P99</f>
        <v>1.3806934597317033</v>
      </c>
      <c r="E62" s="198">
        <f>Main!Q99</f>
        <v>1.3872640120445847</v>
      </c>
      <c r="F62" s="198">
        <f>Main!R99</f>
        <v>1.3802219929604587</v>
      </c>
      <c r="G62" s="5"/>
      <c r="H62" s="5"/>
      <c r="I62" s="1"/>
    </row>
    <row r="63" spans="1:9" s="5" customFormat="1" x14ac:dyDescent="0.25">
      <c r="A63" s="177"/>
      <c r="B63" s="198">
        <f>B62+$D$61</f>
        <v>1.4083900692969624</v>
      </c>
      <c r="C63" s="198">
        <f t="shared" ref="C63:F63" si="14">C62+$D$61</f>
        <v>1.372708507105088</v>
      </c>
      <c r="D63" s="198">
        <f t="shared" si="14"/>
        <v>1.3806934597317033</v>
      </c>
      <c r="E63" s="198">
        <f t="shared" si="14"/>
        <v>1.3872640120445847</v>
      </c>
      <c r="F63" s="198">
        <f t="shared" si="14"/>
        <v>1.3802219929604587</v>
      </c>
      <c r="I63" s="1"/>
    </row>
    <row r="64" spans="1:9" x14ac:dyDescent="0.25">
      <c r="A64" s="196" t="s">
        <v>327</v>
      </c>
      <c r="B64" s="191">
        <v>14031.503144298102</v>
      </c>
      <c r="C64" s="191">
        <v>14488.225280211236</v>
      </c>
      <c r="D64" s="191">
        <v>15528.310794417357</v>
      </c>
      <c r="E64" s="191">
        <v>16739.840819200643</v>
      </c>
      <c r="F64" s="191">
        <v>18016.064289715901</v>
      </c>
      <c r="G64" s="5"/>
      <c r="H64" s="5"/>
      <c r="I64" s="5"/>
    </row>
    <row r="65" spans="1:6" x14ac:dyDescent="0.25">
      <c r="A65" s="192"/>
      <c r="B65" s="194">
        <f>(Main!N$38*(B63))</f>
        <v>11225.202515438483</v>
      </c>
      <c r="C65" s="194">
        <f>(Main!O$38*(C63))</f>
        <v>14488.225280211236</v>
      </c>
      <c r="D65" s="194">
        <f>(Main!P$38*(D63))</f>
        <v>15528.310794417357</v>
      </c>
      <c r="E65" s="194">
        <f>(Main!Q$38*(E63))</f>
        <v>16739.840819200643</v>
      </c>
      <c r="F65" s="194">
        <f>(Main!R$38*(F63))</f>
        <v>18016.064289715901</v>
      </c>
    </row>
  </sheetData>
  <mergeCells count="12">
    <mergeCell ref="A2:I2"/>
    <mergeCell ref="A7:I7"/>
    <mergeCell ref="A54:I54"/>
    <mergeCell ref="A57:B57"/>
    <mergeCell ref="A58:B58"/>
    <mergeCell ref="K35:N35"/>
    <mergeCell ref="A45:I45"/>
    <mergeCell ref="A59:B59"/>
    <mergeCell ref="A60:B60"/>
    <mergeCell ref="A12:I12"/>
    <mergeCell ref="A24:I24"/>
    <mergeCell ref="A33:I33"/>
  </mergeCells>
  <hyperlinks>
    <hyperlink ref="A13" r:id="rId1" display="Wages account for 50% of a hotel's expenses" xr:uid="{F6DC8423-C026-46E1-B076-9DC676987CBB}"/>
    <hyperlink ref="A6" r:id="rId2" location="fa99b264443e" display="https://www.forbes.com/sites/anthonynitti/2020/03/06/tale-of-the-tape-comparing-the-tax-plans-of-joe-biden-and-bernie-sanders/ - fa99b264443e" xr:uid="{D504B681-DCD2-4493-8315-4E9AD2A84D02}"/>
    <hyperlink ref="A34" r:id="rId3" xr:uid="{FF828323-8702-4B3C-91D2-7D5D6D9663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288F57ADE6B34E955CF9DC49CF9BE9" ma:contentTypeVersion="7" ma:contentTypeDescription="Create a new document." ma:contentTypeScope="" ma:versionID="d212ec62ee97263fe06e35c7ad772643">
  <xsd:schema xmlns:xsd="http://www.w3.org/2001/XMLSchema" xmlns:xs="http://www.w3.org/2001/XMLSchema" xmlns:p="http://schemas.microsoft.com/office/2006/metadata/properties" xmlns:ns3="ea110b27-4240-4013-83d5-80cac7987ddf" xmlns:ns4="3e97872e-bbab-4a32-9d69-8bb1217a0067" targetNamespace="http://schemas.microsoft.com/office/2006/metadata/properties" ma:root="true" ma:fieldsID="4c31f58c9b9e6cffd32593d6480fbf3b" ns3:_="" ns4:_="">
    <xsd:import namespace="ea110b27-4240-4013-83d5-80cac7987ddf"/>
    <xsd:import namespace="3e97872e-bbab-4a32-9d69-8bb1217a00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10b27-4240-4013-83d5-80cac7987d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97872e-bbab-4a32-9d69-8bb1217a00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7585EA-297D-4C1D-9CE5-4E050D1DE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10b27-4240-4013-83d5-80cac7987ddf"/>
    <ds:schemaRef ds:uri="3e97872e-bbab-4a32-9d69-8bb1217a00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867B68-AB5F-40C7-8D57-1EC58388E9F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ea110b27-4240-4013-83d5-80cac7987ddf"/>
    <ds:schemaRef ds:uri="http://purl.org/dc/elements/1.1/"/>
    <ds:schemaRef ds:uri="http://schemas.microsoft.com/office/2006/metadata/properties"/>
    <ds:schemaRef ds:uri="3e97872e-bbab-4a32-9d69-8bb1217a006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D7FB5D9-92F7-4C75-9CB5-2BB518955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Main</vt:lpstr>
      <vt:lpstr>IS</vt:lpstr>
      <vt:lpstr>BS</vt:lpstr>
      <vt:lpstr>CF</vt:lpstr>
      <vt:lpstr>Dashboard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pricerigler</dc:creator>
  <cp:lastModifiedBy>Matthew Ohman</cp:lastModifiedBy>
  <cp:lastPrinted>2020-03-29T00:26:57Z</cp:lastPrinted>
  <dcterms:created xsi:type="dcterms:W3CDTF">2020-02-28T01:10:01Z</dcterms:created>
  <dcterms:modified xsi:type="dcterms:W3CDTF">2020-11-15T01:49:01Z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0x01010095288F57ADE6B34E955CF9DC49CF9BE9</vt:lpwstr>
  </property>
</Properties>
</file>