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35" firstSheet="1" activeTab="10"/>
  </bookViews>
  <sheets>
    <sheet name="Sheet1" sheetId="1" r:id="rId1"/>
    <sheet name="ratio_columns" sheetId="10" r:id="rId2"/>
    <sheet name="ratio_rows" sheetId="5" r:id="rId3"/>
    <sheet name="ratio_total" sheetId="11" r:id="rId4"/>
    <sheet name="ratio_columns (2)" sheetId="12" r:id="rId5"/>
    <sheet name="ratio_rows (2)" sheetId="13" r:id="rId6"/>
    <sheet name="ratio_rows (3)" sheetId="14" r:id="rId7"/>
    <sheet name="ratio_rows (4)" sheetId="15" r:id="rId8"/>
    <sheet name="ratio_rows (5)" sheetId="16" r:id="rId9"/>
    <sheet name="top4" sheetId="17" r:id="rId10"/>
    <sheet name="top4 (2)" sheetId="18" r:id="rId11"/>
  </sheets>
  <calcPr calcId="145621"/>
</workbook>
</file>

<file path=xl/calcChain.xml><?xml version="1.0" encoding="utf-8"?>
<calcChain xmlns="http://schemas.openxmlformats.org/spreadsheetml/2006/main">
  <c r="AY32" i="1" l="1"/>
  <c r="AX32" i="1"/>
  <c r="BA32" i="1" s="1"/>
  <c r="AY31" i="1"/>
  <c r="AY33" i="1" s="1"/>
  <c r="AX31" i="1"/>
  <c r="AX33" i="1" s="1"/>
  <c r="BA31" i="1" l="1"/>
  <c r="BB32" i="1" s="1"/>
  <c r="AI65" i="1"/>
  <c r="AH65" i="1"/>
  <c r="T65" i="1"/>
  <c r="N65" i="1"/>
  <c r="AI64" i="1"/>
  <c r="AH64" i="1"/>
  <c r="T64" i="1"/>
  <c r="W64" i="1" s="1"/>
  <c r="N64" i="1"/>
  <c r="AI63" i="1"/>
  <c r="AH63" i="1"/>
  <c r="T63" i="1"/>
  <c r="N63" i="1"/>
  <c r="W63" i="1" s="1"/>
  <c r="AC63" i="1" s="1"/>
  <c r="AI61" i="1"/>
  <c r="AH61" i="1"/>
  <c r="Q61" i="1"/>
  <c r="T61" i="1" s="1"/>
  <c r="W61" i="1" s="1"/>
  <c r="N61" i="1"/>
  <c r="AI60" i="1"/>
  <c r="AH60" i="1"/>
  <c r="Q60" i="1"/>
  <c r="T60" i="1" s="1"/>
  <c r="N60" i="1"/>
  <c r="AI59" i="1"/>
  <c r="AL59" i="1" s="1"/>
  <c r="AH59" i="1"/>
  <c r="AK59" i="1" s="1"/>
  <c r="Q59" i="1"/>
  <c r="T59" i="1" s="1"/>
  <c r="N59" i="1"/>
  <c r="AI58" i="1"/>
  <c r="AH58" i="1"/>
  <c r="Q58" i="1"/>
  <c r="T58" i="1" s="1"/>
  <c r="N58" i="1"/>
  <c r="Q56" i="1"/>
  <c r="T56" i="1" s="1"/>
  <c r="N56" i="1"/>
  <c r="Q55" i="1"/>
  <c r="T55" i="1" s="1"/>
  <c r="N55" i="1"/>
  <c r="Q54" i="1"/>
  <c r="T54" i="1" s="1"/>
  <c r="N54" i="1"/>
  <c r="Q53" i="1"/>
  <c r="T53" i="1" s="1"/>
  <c r="N53" i="1"/>
  <c r="Q52" i="1"/>
  <c r="T52" i="1" s="1"/>
  <c r="N52" i="1"/>
  <c r="Q51" i="1"/>
  <c r="T51" i="1" s="1"/>
  <c r="N51" i="1"/>
  <c r="Q50" i="1"/>
  <c r="T50" i="1" s="1"/>
  <c r="N50" i="1"/>
  <c r="Q49" i="1"/>
  <c r="T49" i="1" s="1"/>
  <c r="N49" i="1"/>
  <c r="Q48" i="1"/>
  <c r="T48" i="1" s="1"/>
  <c r="N48" i="1"/>
  <c r="Q47" i="1"/>
  <c r="T47" i="1" s="1"/>
  <c r="N47" i="1"/>
  <c r="Q45" i="1"/>
  <c r="T45" i="1" s="1"/>
  <c r="N45" i="1"/>
  <c r="Q44" i="1"/>
  <c r="T44" i="1" s="1"/>
  <c r="N44" i="1"/>
  <c r="Q43" i="1"/>
  <c r="T43" i="1" s="1"/>
  <c r="N43" i="1"/>
  <c r="Q42" i="1"/>
  <c r="T42" i="1" s="1"/>
  <c r="N42" i="1"/>
  <c r="AI41" i="1"/>
  <c r="AH41" i="1"/>
  <c r="Q41" i="1"/>
  <c r="T41" i="1" s="1"/>
  <c r="N41" i="1"/>
  <c r="AI40" i="1"/>
  <c r="AH40" i="1"/>
  <c r="Q40" i="1"/>
  <c r="T40" i="1" s="1"/>
  <c r="N40" i="1"/>
  <c r="AI39" i="1"/>
  <c r="AH39" i="1"/>
  <c r="Q39" i="1"/>
  <c r="T39" i="1" s="1"/>
  <c r="N39" i="1"/>
  <c r="AI38" i="1"/>
  <c r="AH38" i="1"/>
  <c r="Q38" i="1"/>
  <c r="T38" i="1" s="1"/>
  <c r="N38" i="1"/>
  <c r="AI37" i="1"/>
  <c r="AH37" i="1"/>
  <c r="Q37" i="1"/>
  <c r="T37" i="1" s="1"/>
  <c r="N37" i="1"/>
  <c r="AI36" i="1"/>
  <c r="AH36" i="1"/>
  <c r="Q36" i="1"/>
  <c r="T36" i="1" s="1"/>
  <c r="N36" i="1"/>
  <c r="AI35" i="1"/>
  <c r="AH35" i="1"/>
  <c r="Q35" i="1"/>
  <c r="T35" i="1" s="1"/>
  <c r="N35" i="1"/>
  <c r="Q34" i="1"/>
  <c r="T34" i="1" s="1"/>
  <c r="N34" i="1"/>
  <c r="Q33" i="1"/>
  <c r="T33" i="1" s="1"/>
  <c r="N33" i="1"/>
  <c r="Q32" i="1"/>
  <c r="T32" i="1" s="1"/>
  <c r="N32" i="1"/>
  <c r="Q31" i="1"/>
  <c r="T31" i="1" s="1"/>
  <c r="N31" i="1"/>
  <c r="Q30" i="1"/>
  <c r="T30" i="1" s="1"/>
  <c r="N30" i="1"/>
  <c r="Q29" i="1"/>
  <c r="T29" i="1" s="1"/>
  <c r="W29" i="1" s="1"/>
  <c r="N29" i="1"/>
  <c r="T27" i="1"/>
  <c r="N27" i="1"/>
  <c r="T26" i="1"/>
  <c r="N26" i="1"/>
  <c r="T25" i="1"/>
  <c r="N25" i="1"/>
  <c r="T24" i="1"/>
  <c r="W24" i="1" s="1"/>
  <c r="AA24" i="1" s="1"/>
  <c r="N24" i="1"/>
  <c r="T23" i="1"/>
  <c r="N23" i="1"/>
  <c r="T22" i="1"/>
  <c r="N22" i="1"/>
  <c r="T21" i="1"/>
  <c r="N21" i="1"/>
  <c r="AI20" i="1"/>
  <c r="AL20" i="1" s="1"/>
  <c r="AH20" i="1"/>
  <c r="AK20" i="1" s="1"/>
  <c r="T20" i="1"/>
  <c r="N20" i="1"/>
  <c r="AI19" i="1"/>
  <c r="AL19" i="1" s="1"/>
  <c r="AH19" i="1"/>
  <c r="AK19" i="1" s="1"/>
  <c r="T19" i="1"/>
  <c r="N19" i="1"/>
  <c r="AI18" i="1"/>
  <c r="AL18" i="1" s="1"/>
  <c r="AH18" i="1"/>
  <c r="AK18" i="1" s="1"/>
  <c r="T18" i="1"/>
  <c r="N18" i="1"/>
  <c r="AI17" i="1"/>
  <c r="AL17" i="1" s="1"/>
  <c r="AH17" i="1"/>
  <c r="AK17" i="1" s="1"/>
  <c r="T17" i="1"/>
  <c r="N17" i="1"/>
  <c r="AI16" i="1"/>
  <c r="AL16" i="1" s="1"/>
  <c r="AH16" i="1"/>
  <c r="AK16" i="1" s="1"/>
  <c r="T16" i="1"/>
  <c r="N16" i="1"/>
  <c r="AI15" i="1"/>
  <c r="AL15" i="1" s="1"/>
  <c r="AH15" i="1"/>
  <c r="AK15" i="1" s="1"/>
  <c r="T15" i="1"/>
  <c r="N15" i="1"/>
  <c r="AI14" i="1"/>
  <c r="AL14" i="1" s="1"/>
  <c r="AH14" i="1"/>
  <c r="AK14" i="1" s="1"/>
  <c r="T14" i="1"/>
  <c r="N14" i="1"/>
  <c r="AI13" i="1"/>
  <c r="AL13" i="1" s="1"/>
  <c r="AH13" i="1"/>
  <c r="AK13" i="1" s="1"/>
  <c r="T13" i="1"/>
  <c r="N13" i="1"/>
  <c r="AI12" i="1"/>
  <c r="AL12" i="1" s="1"/>
  <c r="AH12" i="1"/>
  <c r="AK12" i="1" s="1"/>
  <c r="T12" i="1"/>
  <c r="N12" i="1"/>
  <c r="AI11" i="1"/>
  <c r="AL11" i="1" s="1"/>
  <c r="AH11" i="1"/>
  <c r="AK11" i="1" s="1"/>
  <c r="T11" i="1"/>
  <c r="N11" i="1"/>
  <c r="AL10" i="1"/>
  <c r="AK10" i="1"/>
  <c r="T10" i="1"/>
  <c r="N10" i="1"/>
  <c r="AL9" i="1"/>
  <c r="AK9" i="1"/>
  <c r="T9" i="1"/>
  <c r="N9" i="1"/>
  <c r="M3" i="1"/>
  <c r="AL33" i="1" s="1"/>
  <c r="AR33" i="1" s="1"/>
  <c r="L3" i="1"/>
  <c r="K3" i="1"/>
  <c r="AL60" i="1" s="1"/>
  <c r="J3" i="1"/>
  <c r="AQ59" i="1" l="1"/>
  <c r="AL40" i="1"/>
  <c r="AR40" i="1" s="1"/>
  <c r="W52" i="1"/>
  <c r="W22" i="1"/>
  <c r="AA22" i="1" s="1"/>
  <c r="W45" i="1"/>
  <c r="W50" i="1"/>
  <c r="AC50" i="1" s="1"/>
  <c r="W54" i="1"/>
  <c r="AA54" i="1" s="1"/>
  <c r="AK60" i="1"/>
  <c r="AQ60" i="1" s="1"/>
  <c r="W48" i="1"/>
  <c r="AC48" i="1" s="1"/>
  <c r="AR9" i="1"/>
  <c r="AL65" i="1"/>
  <c r="W43" i="1"/>
  <c r="AC43" i="1" s="1"/>
  <c r="W56" i="1"/>
  <c r="AQ11" i="1"/>
  <c r="AQ18" i="1"/>
  <c r="AR17" i="1"/>
  <c r="W32" i="1"/>
  <c r="AK63" i="1"/>
  <c r="AQ63" i="1" s="1"/>
  <c r="AR60" i="1"/>
  <c r="W12" i="1"/>
  <c r="AA12" i="1" s="1"/>
  <c r="W14" i="1"/>
  <c r="AA14" i="1" s="1"/>
  <c r="W21" i="1"/>
  <c r="AC21" i="1" s="1"/>
  <c r="W25" i="1"/>
  <c r="AC25" i="1" s="1"/>
  <c r="W27" i="1"/>
  <c r="AC27" i="1" s="1"/>
  <c r="W41" i="1"/>
  <c r="AC41" i="1" s="1"/>
  <c r="AL63" i="1"/>
  <c r="AR63" i="1" s="1"/>
  <c r="AX38" i="1"/>
  <c r="W10" i="1"/>
  <c r="AN10" i="1" s="1"/>
  <c r="AR14" i="1"/>
  <c r="AY37" i="1"/>
  <c r="AY38" i="1"/>
  <c r="AR20" i="1"/>
  <c r="AQ14" i="1"/>
  <c r="AK29" i="1"/>
  <c r="AL30" i="1"/>
  <c r="AR30" i="1" s="1"/>
  <c r="AK35" i="1"/>
  <c r="AQ35" i="1" s="1"/>
  <c r="AQ12" i="1"/>
  <c r="AR15" i="1"/>
  <c r="W19" i="1"/>
  <c r="AN19" i="1" s="1"/>
  <c r="AL38" i="1"/>
  <c r="AR38" i="1" s="1"/>
  <c r="AR59" i="1"/>
  <c r="AK64" i="1"/>
  <c r="AQ9" i="1"/>
  <c r="AR13" i="1"/>
  <c r="W26" i="1"/>
  <c r="AA26" i="1" s="1"/>
  <c r="W42" i="1"/>
  <c r="AA42" i="1" s="1"/>
  <c r="W44" i="1"/>
  <c r="AA44" i="1" s="1"/>
  <c r="W47" i="1"/>
  <c r="AC47" i="1" s="1"/>
  <c r="W49" i="1"/>
  <c r="AA49" i="1" s="1"/>
  <c r="W51" i="1"/>
  <c r="AC51" i="1" s="1"/>
  <c r="W53" i="1"/>
  <c r="W55" i="1"/>
  <c r="AC55" i="1" s="1"/>
  <c r="W58" i="1"/>
  <c r="AC58" i="1" s="1"/>
  <c r="AA63" i="1"/>
  <c r="AL64" i="1"/>
  <c r="AR64" i="1" s="1"/>
  <c r="W9" i="1"/>
  <c r="AO9" i="1" s="1"/>
  <c r="AR10" i="1"/>
  <c r="AR11" i="1"/>
  <c r="W13" i="1"/>
  <c r="AA13" i="1" s="1"/>
  <c r="W18" i="1"/>
  <c r="AC18" i="1" s="1"/>
  <c r="AK36" i="1"/>
  <c r="AQ36" i="1" s="1"/>
  <c r="AK41" i="1"/>
  <c r="AQ41" i="1" s="1"/>
  <c r="W65" i="1"/>
  <c r="AC65" i="1" s="1"/>
  <c r="AC26" i="1"/>
  <c r="W36" i="1"/>
  <c r="AA41" i="1"/>
  <c r="AC53" i="1"/>
  <c r="AA53" i="1"/>
  <c r="AA58" i="1"/>
  <c r="W34" i="1"/>
  <c r="AR12" i="1"/>
  <c r="AA43" i="1"/>
  <c r="AA45" i="1"/>
  <c r="AC45" i="1"/>
  <c r="AA50" i="1"/>
  <c r="AA52" i="1"/>
  <c r="AC52" i="1"/>
  <c r="AA56" i="1"/>
  <c r="AC56" i="1"/>
  <c r="W60" i="1"/>
  <c r="AA64" i="1"/>
  <c r="AC64" i="1"/>
  <c r="AO18" i="1"/>
  <c r="AR18" i="1"/>
  <c r="AA61" i="1"/>
  <c r="AC61" i="1"/>
  <c r="W31" i="1"/>
  <c r="AO13" i="1"/>
  <c r="AT13" i="1"/>
  <c r="AC13" i="1"/>
  <c r="AO29" i="1"/>
  <c r="AC29" i="1"/>
  <c r="AA29" i="1"/>
  <c r="AO10" i="1"/>
  <c r="AA10" i="1"/>
  <c r="AO14" i="1"/>
  <c r="AQ19" i="1"/>
  <c r="W40" i="1"/>
  <c r="AL34" i="1"/>
  <c r="AR34" i="1" s="1"/>
  <c r="AK32" i="1"/>
  <c r="AQ32" i="1" s="1"/>
  <c r="AL31" i="1"/>
  <c r="AR31" i="1" s="1"/>
  <c r="W15" i="1"/>
  <c r="AQ15" i="1"/>
  <c r="AN18" i="1"/>
  <c r="AL29" i="1"/>
  <c r="AR29" i="1" s="1"/>
  <c r="W30" i="1"/>
  <c r="AK31" i="1"/>
  <c r="AQ31" i="1" s="1"/>
  <c r="W37" i="1"/>
  <c r="W38" i="1"/>
  <c r="AK38" i="1"/>
  <c r="AQ38" i="1" s="1"/>
  <c r="AL41" i="1"/>
  <c r="AQ10" i="1"/>
  <c r="W11" i="1"/>
  <c r="AC14" i="1"/>
  <c r="AR16" i="1"/>
  <c r="AC24" i="1"/>
  <c r="AC32" i="1"/>
  <c r="W33" i="1"/>
  <c r="AL36" i="1"/>
  <c r="AR36" i="1" s="1"/>
  <c r="AK37" i="1"/>
  <c r="AQ37" i="1" s="1"/>
  <c r="AK39" i="1"/>
  <c r="AQ39" i="1" s="1"/>
  <c r="AK40" i="1"/>
  <c r="AQ40" i="1" s="1"/>
  <c r="AN12" i="1"/>
  <c r="AT12" i="1"/>
  <c r="AQ13" i="1"/>
  <c r="AN14" i="1"/>
  <c r="W16" i="1"/>
  <c r="AQ16" i="1"/>
  <c r="AR19" i="1"/>
  <c r="W20" i="1"/>
  <c r="AQ20" i="1"/>
  <c r="W23" i="1"/>
  <c r="AK30" i="1"/>
  <c r="AQ30" i="1" s="1"/>
  <c r="AL32" i="1"/>
  <c r="AR32" i="1" s="1"/>
  <c r="AK33" i="1"/>
  <c r="AQ33" i="1" s="1"/>
  <c r="AK34" i="1"/>
  <c r="AQ34" i="1" s="1"/>
  <c r="W35" i="1"/>
  <c r="AL37" i="1"/>
  <c r="AR37" i="1" s="1"/>
  <c r="AL39" i="1"/>
  <c r="AR39" i="1" s="1"/>
  <c r="AK58" i="1"/>
  <c r="AQ58" i="1" s="1"/>
  <c r="W59" i="1"/>
  <c r="AL61" i="1"/>
  <c r="AK65" i="1"/>
  <c r="AQ65" i="1" s="1"/>
  <c r="AO12" i="1"/>
  <c r="W17" i="1"/>
  <c r="AQ17" i="1"/>
  <c r="AC22" i="1"/>
  <c r="AA32" i="1"/>
  <c r="AL35" i="1"/>
  <c r="AR35" i="1" s="1"/>
  <c r="W39" i="1"/>
  <c r="AL58" i="1"/>
  <c r="AR58" i="1" s="1"/>
  <c r="AK61" i="1"/>
  <c r="AN61" i="1" s="1"/>
  <c r="AR65" i="1"/>
  <c r="AC12" i="1" l="1"/>
  <c r="AC10" i="1"/>
  <c r="AN13" i="1"/>
  <c r="AO64" i="1"/>
  <c r="AC42" i="1"/>
  <c r="AO65" i="1"/>
  <c r="AA27" i="1"/>
  <c r="AT64" i="1"/>
  <c r="AT29" i="1"/>
  <c r="AT10" i="1"/>
  <c r="AT41" i="1"/>
  <c r="AA21" i="1"/>
  <c r="AN32" i="1"/>
  <c r="AC54" i="1"/>
  <c r="AC9" i="1"/>
  <c r="BA37" i="1"/>
  <c r="AY39" i="1"/>
  <c r="AA48" i="1"/>
  <c r="AA65" i="1"/>
  <c r="AA19" i="1"/>
  <c r="AT61" i="1"/>
  <c r="BA38" i="1"/>
  <c r="AX39" i="1"/>
  <c r="AO63" i="1"/>
  <c r="AN63" i="1"/>
  <c r="AN64" i="1"/>
  <c r="AT63" i="1"/>
  <c r="AN29" i="1"/>
  <c r="AA51" i="1"/>
  <c r="AO19" i="1"/>
  <c r="AC44" i="1"/>
  <c r="AQ64" i="1"/>
  <c r="AA25" i="1"/>
  <c r="AT19" i="1"/>
  <c r="AN41" i="1"/>
  <c r="AT14" i="1"/>
  <c r="AC19" i="1"/>
  <c r="AN9" i="1"/>
  <c r="AO58" i="1"/>
  <c r="AQ61" i="1"/>
  <c r="AT18" i="1"/>
  <c r="AA55" i="1"/>
  <c r="AA47" i="1"/>
  <c r="AN58" i="1"/>
  <c r="AR61" i="1"/>
  <c r="AT65" i="1"/>
  <c r="AA9" i="1"/>
  <c r="AT9" i="1"/>
  <c r="AC49" i="1"/>
  <c r="AO41" i="1"/>
  <c r="AQ29" i="1"/>
  <c r="AA18" i="1"/>
  <c r="AT17" i="1"/>
  <c r="AO17" i="1"/>
  <c r="AA17" i="1"/>
  <c r="AC17" i="1"/>
  <c r="AN17" i="1"/>
  <c r="AO61" i="1"/>
  <c r="AA23" i="1"/>
  <c r="AC23" i="1"/>
  <c r="AT33" i="1"/>
  <c r="AN33" i="1"/>
  <c r="AA33" i="1"/>
  <c r="AO33" i="1"/>
  <c r="AC33" i="1"/>
  <c r="AR41" i="1"/>
  <c r="AO60" i="1"/>
  <c r="AA60" i="1"/>
  <c r="AT60" i="1"/>
  <c r="AN60" i="1"/>
  <c r="AC60" i="1"/>
  <c r="AT34" i="1"/>
  <c r="AN34" i="1"/>
  <c r="AA34" i="1"/>
  <c r="AO34" i="1"/>
  <c r="AC34" i="1"/>
  <c r="AT35" i="1"/>
  <c r="AN35" i="1"/>
  <c r="AO35" i="1"/>
  <c r="AA35" i="1"/>
  <c r="AC35" i="1"/>
  <c r="AT30" i="1"/>
  <c r="AN30" i="1"/>
  <c r="AA30" i="1"/>
  <c r="AC30" i="1"/>
  <c r="AO30" i="1"/>
  <c r="AO32" i="1"/>
  <c r="AN31" i="1"/>
  <c r="AT31" i="1"/>
  <c r="AC31" i="1"/>
  <c r="AO31" i="1"/>
  <c r="AA31" i="1"/>
  <c r="AT58" i="1"/>
  <c r="AT39" i="1"/>
  <c r="AN39" i="1"/>
  <c r="AO39" i="1"/>
  <c r="AA39" i="1"/>
  <c r="AC39" i="1"/>
  <c r="AO20" i="1"/>
  <c r="AN20" i="1"/>
  <c r="AT20" i="1"/>
  <c r="AC20" i="1"/>
  <c r="AA20" i="1"/>
  <c r="AT16" i="1"/>
  <c r="AO16" i="1"/>
  <c r="AA16" i="1"/>
  <c r="AN16" i="1"/>
  <c r="AC16" i="1"/>
  <c r="AN65" i="1"/>
  <c r="AC38" i="1"/>
  <c r="AT38" i="1"/>
  <c r="AN38" i="1"/>
  <c r="AA38" i="1"/>
  <c r="AO38" i="1"/>
  <c r="AO40" i="1"/>
  <c r="AA40" i="1"/>
  <c r="AN40" i="1"/>
  <c r="AC40" i="1"/>
  <c r="AT40" i="1"/>
  <c r="AT11" i="1"/>
  <c r="AA11" i="1"/>
  <c r="AO11" i="1"/>
  <c r="AN11" i="1"/>
  <c r="AC11" i="1"/>
  <c r="AA37" i="1"/>
  <c r="AC37" i="1"/>
  <c r="AT37" i="1"/>
  <c r="AO37" i="1"/>
  <c r="AN37" i="1"/>
  <c r="AO36" i="1"/>
  <c r="AA36" i="1"/>
  <c r="AN36" i="1"/>
  <c r="AC36" i="1"/>
  <c r="AT36" i="1"/>
  <c r="AT59" i="1"/>
  <c r="AN59" i="1"/>
  <c r="AO59" i="1"/>
  <c r="AA59" i="1"/>
  <c r="AC59" i="1"/>
  <c r="AT15" i="1"/>
  <c r="AO15" i="1"/>
  <c r="AA15" i="1"/>
  <c r="AN15" i="1"/>
  <c r="AC15" i="1"/>
  <c r="AT32" i="1"/>
  <c r="BB38" i="1" l="1"/>
</calcChain>
</file>

<file path=xl/sharedStrings.xml><?xml version="1.0" encoding="utf-8"?>
<sst xmlns="http://schemas.openxmlformats.org/spreadsheetml/2006/main" count="128" uniqueCount="102">
  <si>
    <t>Stratix 5</t>
  </si>
  <si>
    <t>Stratix 4</t>
  </si>
  <si>
    <t>Stratix 3</t>
  </si>
  <si>
    <t>Stratix 2</t>
  </si>
  <si>
    <t>Tech (nm)</t>
  </si>
  <si>
    <t>Year</t>
  </si>
  <si>
    <t>Model</t>
  </si>
  <si>
    <t>GT</t>
  </si>
  <si>
    <t>GX</t>
  </si>
  <si>
    <t>GS</t>
  </si>
  <si>
    <t>E</t>
  </si>
  <si>
    <t>Part</t>
  </si>
  <si>
    <t>5SGTC5</t>
  </si>
  <si>
    <t>5SGTC7</t>
  </si>
  <si>
    <t>5SGXA4</t>
  </si>
  <si>
    <t>5SGXA3</t>
  </si>
  <si>
    <t>5SGXA5</t>
  </si>
  <si>
    <t>5SGXA7</t>
  </si>
  <si>
    <t>5SGXA9</t>
  </si>
  <si>
    <t>5SGXAB</t>
  </si>
  <si>
    <t>5SGXB5</t>
  </si>
  <si>
    <t>5SGXB6</t>
  </si>
  <si>
    <t>5SGXB9</t>
  </si>
  <si>
    <t>5SGXBB</t>
  </si>
  <si>
    <t>5SGSD3</t>
  </si>
  <si>
    <t>5SGSD4</t>
  </si>
  <si>
    <t>5SGSD5</t>
  </si>
  <si>
    <t>5SGSD6</t>
  </si>
  <si>
    <t>5SGSD8</t>
  </si>
  <si>
    <t>5SEE9</t>
  </si>
  <si>
    <t>5SEEB</t>
  </si>
  <si>
    <t>EP4S40G2</t>
  </si>
  <si>
    <t>EP4S40G5</t>
  </si>
  <si>
    <t>EP4S100G3</t>
  </si>
  <si>
    <t>EP4S100G2</t>
  </si>
  <si>
    <t>EP4S100G4</t>
  </si>
  <si>
    <t>EP4S100G5</t>
  </si>
  <si>
    <t>EP4SGX70</t>
  </si>
  <si>
    <t>EP4SGX110</t>
  </si>
  <si>
    <t>EP4SGX180</t>
  </si>
  <si>
    <t>EP4SGX230</t>
  </si>
  <si>
    <t>EP4SGX290</t>
  </si>
  <si>
    <t>EP4SGX360</t>
  </si>
  <si>
    <t>EP4SGX530</t>
  </si>
  <si>
    <t>EP4SE230</t>
  </si>
  <si>
    <t>EP4SE360</t>
  </si>
  <si>
    <t>EP4SE530</t>
  </si>
  <si>
    <t>EP4SE820</t>
  </si>
  <si>
    <t>L</t>
  </si>
  <si>
    <t>EP2SGX30</t>
  </si>
  <si>
    <t>EP2SGX60</t>
  </si>
  <si>
    <t>EP2SGX90</t>
  </si>
  <si>
    <t>EP2SGX130</t>
  </si>
  <si>
    <t>EP3SL50</t>
  </si>
  <si>
    <t>EP3SL70</t>
  </si>
  <si>
    <t>EP3SL110</t>
  </si>
  <si>
    <t>EP3SL150</t>
  </si>
  <si>
    <t>EP3SL200</t>
  </si>
  <si>
    <t>EP3SL340</t>
  </si>
  <si>
    <t>EP3SE50</t>
  </si>
  <si>
    <t>EP3SE80</t>
  </si>
  <si>
    <t>EP3SE110</t>
  </si>
  <si>
    <t>EP3SE260</t>
  </si>
  <si>
    <t>Type 1</t>
  </si>
  <si>
    <t>Type 2</t>
  </si>
  <si>
    <t>Speed</t>
  </si>
  <si>
    <t>Number</t>
  </si>
  <si>
    <t>Transcievers</t>
  </si>
  <si>
    <t>Total BW (Gbps)</t>
  </si>
  <si>
    <t>Type 3</t>
  </si>
  <si>
    <t>LVDS</t>
  </si>
  <si>
    <t>Normal</t>
  </si>
  <si>
    <t>Emulated</t>
  </si>
  <si>
    <t>total</t>
  </si>
  <si>
    <t>year</t>
  </si>
  <si>
    <t>LEs (K)</t>
  </si>
  <si>
    <t>Ratio</t>
  </si>
  <si>
    <t>EP1SGX10</t>
  </si>
  <si>
    <t>EP1SGX25</t>
  </si>
  <si>
    <t>EP1SGX40</t>
  </si>
  <si>
    <t>Stratix</t>
  </si>
  <si>
    <t>Columns</t>
  </si>
  <si>
    <t>Rows</t>
  </si>
  <si>
    <t>Est Ratio Wires</t>
  </si>
  <si>
    <t>Channel Width</t>
  </si>
  <si>
    <t>Bisection BW</t>
  </si>
  <si>
    <t>Bisection Ratio</t>
  </si>
  <si>
    <t>Total Ratio</t>
  </si>
  <si>
    <t>Bisection Ratio #</t>
  </si>
  <si>
    <t>Device</t>
  </si>
  <si>
    <t>R. Freq</t>
  </si>
  <si>
    <t>S1</t>
  </si>
  <si>
    <t>S2</t>
  </si>
  <si>
    <t>S3</t>
  </si>
  <si>
    <t>S4</t>
  </si>
  <si>
    <t>S5</t>
  </si>
  <si>
    <t>Freq</t>
  </si>
  <si>
    <t>top 4</t>
  </si>
  <si>
    <t>tranceivers</t>
  </si>
  <si>
    <t>speed</t>
  </si>
  <si>
    <t>number</t>
  </si>
  <si>
    <t>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</si>
</sst>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/>
    <xf numFmtId="2" fontId="0" fillId="0" borderId="1" xfId="0" applyNumberFormat="1" applyBorder="1"/>
    <xf numFmtId="2" fontId="0" fillId="2" borderId="1" xfId="0" applyNumberFormat="1" applyFill="1" applyBorder="1"/>
    <xf numFmtId="2" fontId="0" fillId="2" borderId="0" xfId="0" applyNumberFormat="1" applyFill="1" applyBorder="1"/>
    <xf numFmtId="2" fontId="0" fillId="0" borderId="0" xfId="0" applyNumberFormat="1" applyFill="1"/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/>
    <xf numFmtId="2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164" fontId="0" fillId="0" borderId="0" xfId="0" applyNumberFormat="1"/>
    <xf numFmtId="2" fontId="0" fillId="3" borderId="1" xfId="0" applyNumberForma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 Bandwidth of FPGAs</a:t>
            </a:r>
            <a:r>
              <a:rPr lang="en-US" baseline="0"/>
              <a:t> Across Different Generations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(Sheet1!$V$11:$V$20,Sheet1!$V$35:$V$41,Sheet1!$V$58:$V$61,Sheet1!$V$63:$V$65)</c:f>
              <c:numCache>
                <c:formatCode>General</c:formatCode>
                <c:ptCount val="24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</c:numCache>
            </c:numRef>
          </c:xVal>
          <c:yVal>
            <c:numRef>
              <c:f>(Sheet1!$AN$11:$AN$20,Sheet1!$AN$35:$AN$41,Sheet1!$AN$58:$AN$61,Sheet1!$AN$63:$AN$65)</c:f>
              <c:numCache>
                <c:formatCode>0.00</c:formatCode>
                <c:ptCount val="24"/>
                <c:pt idx="0">
                  <c:v>0.42469470827679778</c:v>
                </c:pt>
                <c:pt idx="1">
                  <c:v>0.42469470827679778</c:v>
                </c:pt>
                <c:pt idx="2">
                  <c:v>0.52783819051761627</c:v>
                </c:pt>
                <c:pt idx="3">
                  <c:v>0.52783819051761627</c:v>
                </c:pt>
                <c:pt idx="4">
                  <c:v>0.49249188311688308</c:v>
                </c:pt>
                <c:pt idx="5">
                  <c:v>0.49249188311688308</c:v>
                </c:pt>
                <c:pt idx="6">
                  <c:v>0.66129406307977734</c:v>
                </c:pt>
                <c:pt idx="7">
                  <c:v>0.66129406307977734</c:v>
                </c:pt>
                <c:pt idx="8">
                  <c:v>0.57863230519480513</c:v>
                </c:pt>
                <c:pt idx="9">
                  <c:v>0.57863230519480513</c:v>
                </c:pt>
                <c:pt idx="10">
                  <c:v>0.69179894179894186</c:v>
                </c:pt>
                <c:pt idx="11">
                  <c:v>0.69179894179894186</c:v>
                </c:pt>
                <c:pt idx="12">
                  <c:v>0.65330463635548375</c:v>
                </c:pt>
                <c:pt idx="13">
                  <c:v>0.71069859205452424</c:v>
                </c:pt>
                <c:pt idx="14">
                  <c:v>0.58546123763515079</c:v>
                </c:pt>
                <c:pt idx="15">
                  <c:v>0.58546123763515079</c:v>
                </c:pt>
                <c:pt idx="16">
                  <c:v>0.58546123763515079</c:v>
                </c:pt>
                <c:pt idx="17">
                  <c:v>0.33400025816445078</c:v>
                </c:pt>
                <c:pt idx="18">
                  <c:v>0.3870964993012237</c:v>
                </c:pt>
                <c:pt idx="19">
                  <c:v>0.4601875049709695</c:v>
                </c:pt>
                <c:pt idx="20">
                  <c:v>0.50180446194225714</c:v>
                </c:pt>
                <c:pt idx="21">
                  <c:v>0.32827524038461536</c:v>
                </c:pt>
                <c:pt idx="22">
                  <c:v>0.41466346153846156</c:v>
                </c:pt>
                <c:pt idx="23">
                  <c:v>0.41138980263157887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6800"/>
        <c:axId val="111198976"/>
      </c:scatterChart>
      <c:valAx>
        <c:axId val="11119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1198976"/>
        <c:crosses val="autoZero"/>
        <c:crossBetween val="midCat"/>
      </c:valAx>
      <c:valAx>
        <c:axId val="11119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1196800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8481666778697"/>
          <c:y val="3.2240469783759357E-2"/>
          <c:w val="0.82396219777979751"/>
          <c:h val="0.789755190223233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14"/>
            <c:spPr>
              <a:noFill/>
              <a:ln w="44450">
                <a:solidFill>
                  <a:srgbClr val="C00000">
                    <a:alpha val="75000"/>
                  </a:srgbClr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xVal>
            <c:numRef>
              <c:f>Sheet1!$BA$9:$BA$20</c:f>
              <c:numCache>
                <c:formatCode>General</c:formatCode>
                <c:ptCount val="12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</c:numCache>
            </c:numRef>
          </c:xVal>
          <c:yVal>
            <c:numRef>
              <c:f>Sheet1!$BB$9:$BB$20</c:f>
              <c:numCache>
                <c:formatCode>General</c:formatCode>
                <c:ptCount val="12"/>
                <c:pt idx="0">
                  <c:v>0.38</c:v>
                </c:pt>
                <c:pt idx="1">
                  <c:v>0.38500000000000001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0.23</c:v>
                </c:pt>
                <c:pt idx="7">
                  <c:v>0.24</c:v>
                </c:pt>
                <c:pt idx="8">
                  <c:v>0.22500000000000001</c:v>
                </c:pt>
                <c:pt idx="9">
                  <c:v>0.22</c:v>
                </c:pt>
                <c:pt idx="10">
                  <c:v>0.21</c:v>
                </c:pt>
                <c:pt idx="11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7216"/>
        <c:axId val="118063488"/>
      </c:scatterChart>
      <c:valAx>
        <c:axId val="1180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Year</a:t>
                </a:r>
              </a:p>
            </c:rich>
          </c:tx>
          <c:layout>
            <c:manualLayout>
              <c:xMode val="edge"/>
              <c:yMode val="edge"/>
              <c:x val="0.49813468908736908"/>
              <c:y val="0.925022539953436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340000"/>
          <a:lstStyle/>
          <a:p>
            <a:pPr>
              <a:defRPr sz="1800"/>
            </a:pPr>
            <a:endParaRPr lang="en-US"/>
          </a:p>
        </c:txPr>
        <c:crossAx val="118063488"/>
        <c:crosses val="autoZero"/>
        <c:crossBetween val="midCat"/>
      </c:valAx>
      <c:valAx>
        <c:axId val="118063488"/>
        <c:scaling>
          <c:orientation val="minMax"/>
          <c:max val="0.4"/>
          <c:min val="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 b="1"/>
                </a:pPr>
                <a:r>
                  <a:rPr lang="en-US" sz="2400" b="1"/>
                  <a:t>FPGA I/O:Core</a:t>
                </a:r>
                <a:r>
                  <a:rPr lang="en-US" sz="2400" b="1" baseline="0"/>
                  <a:t> BW Ratio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1.0249784598874276E-2"/>
              <c:y val="0.17879049927068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805721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 Bandwidth of FPGAs</a:t>
            </a:r>
            <a:r>
              <a:rPr lang="en-US" baseline="0"/>
              <a:t> Across Different Generations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(Sheet1!$V$11:$V$20,Sheet1!$V$35:$V$41,Sheet1!$V$58:$V$61,Sheet1!$V$63:$V$65)</c:f>
              <c:numCache>
                <c:formatCode>General</c:formatCode>
                <c:ptCount val="24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</c:numCache>
            </c:numRef>
          </c:xVal>
          <c:yVal>
            <c:numRef>
              <c:f>(Sheet1!$AO$11:$AO$20,Sheet1!$AO$35:$AO$41,Sheet1!$AO$58:$AO$61,Sheet1!$AO$63:$AO$65)</c:f>
              <c:numCache>
                <c:formatCode>0.00</c:formatCode>
                <c:ptCount val="24"/>
                <c:pt idx="0">
                  <c:v>0.38101034692635422</c:v>
                </c:pt>
                <c:pt idx="1">
                  <c:v>0.38101034692635422</c:v>
                </c:pt>
                <c:pt idx="2">
                  <c:v>0.40776209677419351</c:v>
                </c:pt>
                <c:pt idx="3">
                  <c:v>0.40776209677419351</c:v>
                </c:pt>
                <c:pt idx="4">
                  <c:v>0.2965542521994135</c:v>
                </c:pt>
                <c:pt idx="5">
                  <c:v>0.2965542521994135</c:v>
                </c:pt>
                <c:pt idx="6">
                  <c:v>0.46107203492602467</c:v>
                </c:pt>
                <c:pt idx="7">
                  <c:v>0.46107203492602467</c:v>
                </c:pt>
                <c:pt idx="8">
                  <c:v>0.34842375366568912</c:v>
                </c:pt>
                <c:pt idx="9">
                  <c:v>0.34842375366568912</c:v>
                </c:pt>
                <c:pt idx="10">
                  <c:v>0.49452605008160566</c:v>
                </c:pt>
                <c:pt idx="11">
                  <c:v>0.49452605008160566</c:v>
                </c:pt>
                <c:pt idx="12">
                  <c:v>0.47856107505230305</c:v>
                </c:pt>
                <c:pt idx="13">
                  <c:v>0.52060350305964342</c:v>
                </c:pt>
                <c:pt idx="14">
                  <c:v>0.4963285171618505</c:v>
                </c:pt>
                <c:pt idx="15">
                  <c:v>0.4963285171618505</c:v>
                </c:pt>
                <c:pt idx="16">
                  <c:v>0.4963285171618505</c:v>
                </c:pt>
                <c:pt idx="17">
                  <c:v>0.35127613358674992</c:v>
                </c:pt>
                <c:pt idx="18">
                  <c:v>0.36275574579546727</c:v>
                </c:pt>
                <c:pt idx="19">
                  <c:v>0.3696435131206976</c:v>
                </c:pt>
                <c:pt idx="20">
                  <c:v>0.35800556143323936</c:v>
                </c:pt>
                <c:pt idx="21">
                  <c:v>0.31393678160919536</c:v>
                </c:pt>
                <c:pt idx="22">
                  <c:v>0.38793103448275862</c:v>
                </c:pt>
                <c:pt idx="23">
                  <c:v>0.35348360655737709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2960"/>
        <c:axId val="115687424"/>
      </c:scatterChart>
      <c:valAx>
        <c:axId val="115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687424"/>
        <c:crosses val="autoZero"/>
        <c:crossBetween val="midCat"/>
      </c:valAx>
      <c:valAx>
        <c:axId val="11568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layout>
            <c:manualLayout>
              <c:xMode val="edge"/>
              <c:yMode val="edge"/>
              <c:x val="1.6111112008094997E-2"/>
              <c:y val="0.4163042378399363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672960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 Bandwidth of FPGAs</a:t>
            </a:r>
            <a:r>
              <a:rPr lang="en-US" baseline="0"/>
              <a:t> Across Different Generations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(Sheet1!$V$11:$V$20,Sheet1!$V$35:$V$41,Sheet1!$V$58:$V$61,Sheet1!$V$63:$V$65)</c:f>
              <c:numCache>
                <c:formatCode>General</c:formatCode>
                <c:ptCount val="24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</c:numCache>
            </c:numRef>
          </c:xVal>
          <c:yVal>
            <c:numRef>
              <c:f>(Sheet1!$AT$11:$AT$20,Sheet1!$AT$35:$AT$41,Sheet1!$AT$58:$AT$61,Sheet1!$AT$63:$AT$65)</c:f>
              <c:numCache>
                <c:formatCode>General</c:formatCode>
                <c:ptCount val="24"/>
                <c:pt idx="0">
                  <c:v>0.20083413538658967</c:v>
                </c:pt>
                <c:pt idx="1">
                  <c:v>0.20083413538658967</c:v>
                </c:pt>
                <c:pt idx="2">
                  <c:v>0.23004739336492891</c:v>
                </c:pt>
                <c:pt idx="3">
                  <c:v>0.23004739336492891</c:v>
                </c:pt>
                <c:pt idx="4">
                  <c:v>0.18509762050030504</c:v>
                </c:pt>
                <c:pt idx="5">
                  <c:v>0.18509762050030504</c:v>
                </c:pt>
                <c:pt idx="6">
                  <c:v>0.27166198256561708</c:v>
                </c:pt>
                <c:pt idx="7">
                  <c:v>0.27166198256561708</c:v>
                </c:pt>
                <c:pt idx="8">
                  <c:v>0.21747254423428919</c:v>
                </c:pt>
                <c:pt idx="9">
                  <c:v>0.21747254423428919</c:v>
                </c:pt>
                <c:pt idx="10">
                  <c:v>0.28838016604215067</c:v>
                </c:pt>
                <c:pt idx="11">
                  <c:v>0.28838016604215067</c:v>
                </c:pt>
                <c:pt idx="12">
                  <c:v>0.27622196340065164</c:v>
                </c:pt>
                <c:pt idx="13">
                  <c:v>0.30048854632123057</c:v>
                </c:pt>
                <c:pt idx="14">
                  <c:v>0.26861144380658697</c:v>
                </c:pt>
                <c:pt idx="15">
                  <c:v>0.26861144380658697</c:v>
                </c:pt>
                <c:pt idx="16">
                  <c:v>0.26861144380658697</c:v>
                </c:pt>
                <c:pt idx="17">
                  <c:v>0.17121021637001257</c:v>
                </c:pt>
                <c:pt idx="18">
                  <c:v>0.18726553159912601</c:v>
                </c:pt>
                <c:pt idx="19">
                  <c:v>0.20498790997581995</c:v>
                </c:pt>
                <c:pt idx="20">
                  <c:v>0.20894009518761575</c:v>
                </c:pt>
                <c:pt idx="21">
                  <c:v>0.16047297297297297</c:v>
                </c:pt>
                <c:pt idx="22">
                  <c:v>0.20042602633617351</c:v>
                </c:pt>
                <c:pt idx="23">
                  <c:v>0.19012237762237763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9536"/>
        <c:axId val="115731456"/>
      </c:scatterChart>
      <c:valAx>
        <c:axId val="1157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731456"/>
        <c:crosses val="autoZero"/>
        <c:crossBetween val="midCat"/>
      </c:valAx>
      <c:valAx>
        <c:axId val="1157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layout>
            <c:manualLayout>
              <c:xMode val="edge"/>
              <c:yMode val="edge"/>
              <c:x val="1.6111112008094997E-2"/>
              <c:y val="0.416304237839936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72953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 Bandwidth of FPGAs</a:t>
            </a:r>
            <a:r>
              <a:rPr lang="en-US" baseline="0"/>
              <a:t> Across Different Generations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(Sheet1!$V$11:$V$20,Sheet1!$V$35:$V$41,Sheet1!$V$58:$V$61,Sheet1!$V$63:$V$65)</c:f>
              <c:numCache>
                <c:formatCode>General</c:formatCode>
                <c:ptCount val="24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</c:numCache>
            </c:numRef>
          </c:xVal>
          <c:yVal>
            <c:numRef>
              <c:f>(Sheet1!$AQ$11:$AQ$20,Sheet1!$AQ$35:$AQ$41,Sheet1!$AQ$58:$AQ$61,Sheet1!$AQ$63:$AQ$65)</c:f>
              <c:numCache>
                <c:formatCode>0.00</c:formatCode>
                <c:ptCount val="24"/>
                <c:pt idx="0">
                  <c:v>0.13772048846675713</c:v>
                </c:pt>
                <c:pt idx="1">
                  <c:v>0.13772048846675713</c:v>
                </c:pt>
                <c:pt idx="2">
                  <c:v>0.15985210961287516</c:v>
                </c:pt>
                <c:pt idx="3">
                  <c:v>0.15985210961287516</c:v>
                </c:pt>
                <c:pt idx="4">
                  <c:v>0.14914772727272727</c:v>
                </c:pt>
                <c:pt idx="5">
                  <c:v>0.14914772727272727</c:v>
                </c:pt>
                <c:pt idx="6">
                  <c:v>0.12175324675324675</c:v>
                </c:pt>
                <c:pt idx="7">
                  <c:v>0.12175324675324675</c:v>
                </c:pt>
                <c:pt idx="8">
                  <c:v>0.10653409090909091</c:v>
                </c:pt>
                <c:pt idx="9">
                  <c:v>0.10653409090909091</c:v>
                </c:pt>
                <c:pt idx="10">
                  <c:v>0.38095238095238104</c:v>
                </c:pt>
                <c:pt idx="11">
                  <c:v>0.38095238095238104</c:v>
                </c:pt>
                <c:pt idx="12">
                  <c:v>0.33718948973186263</c:v>
                </c:pt>
                <c:pt idx="13">
                  <c:v>0.39458344543090301</c:v>
                </c:pt>
                <c:pt idx="14">
                  <c:v>0.31515988037727172</c:v>
                </c:pt>
                <c:pt idx="15">
                  <c:v>0.31515988037727172</c:v>
                </c:pt>
                <c:pt idx="16">
                  <c:v>0.31515988037727172</c:v>
                </c:pt>
                <c:pt idx="17">
                  <c:v>0.12370379932016695</c:v>
                </c:pt>
                <c:pt idx="18">
                  <c:v>0.13719875924600333</c:v>
                </c:pt>
                <c:pt idx="19">
                  <c:v>0.16864014157321242</c:v>
                </c:pt>
                <c:pt idx="20">
                  <c:v>0.18110236220472439</c:v>
                </c:pt>
                <c:pt idx="21">
                  <c:v>0.15204326923076922</c:v>
                </c:pt>
                <c:pt idx="22">
                  <c:v>0.1796875</c:v>
                </c:pt>
                <c:pt idx="23">
                  <c:v>0.17023026315789472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83008"/>
        <c:axId val="115484928"/>
      </c:scatterChart>
      <c:valAx>
        <c:axId val="1154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484928"/>
        <c:crosses val="autoZero"/>
        <c:crossBetween val="midCat"/>
      </c:valAx>
      <c:valAx>
        <c:axId val="11548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48300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 Bandwidth of FPGAs</a:t>
            </a:r>
            <a:r>
              <a:rPr lang="en-US" baseline="0"/>
              <a:t> Across Different Generations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forward val="2"/>
            <c:dispRSqr val="0"/>
            <c:dispEq val="0"/>
          </c:trendline>
          <c:xVal>
            <c:numRef>
              <c:f>(Sheet1!$V$11:$V$20,Sheet1!$V$35:$V$41,Sheet1!$V$58:$V$61,Sheet1!$V$63:$V$65)</c:f>
              <c:numCache>
                <c:formatCode>General</c:formatCode>
                <c:ptCount val="24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</c:numCache>
            </c:numRef>
          </c:xVal>
          <c:yVal>
            <c:numRef>
              <c:f>(Sheet1!$AR$11:$AR$20,Sheet1!$AR$35:$AR$41,Sheet1!$AR$58:$AR$61,Sheet1!$AR$63:$AR$65)</c:f>
              <c:numCache>
                <c:formatCode>0.00</c:formatCode>
                <c:ptCount val="24"/>
                <c:pt idx="0">
                  <c:v>0.25745587340231285</c:v>
                </c:pt>
                <c:pt idx="1">
                  <c:v>0.25745587340231285</c:v>
                </c:pt>
                <c:pt idx="2">
                  <c:v>0.28427419354838707</c:v>
                </c:pt>
                <c:pt idx="3">
                  <c:v>0.28427419354838707</c:v>
                </c:pt>
                <c:pt idx="4">
                  <c:v>0.2067448680351906</c:v>
                </c:pt>
                <c:pt idx="5">
                  <c:v>0.2067448680351906</c:v>
                </c:pt>
                <c:pt idx="6">
                  <c:v>0.37618239146252724</c:v>
                </c:pt>
                <c:pt idx="7">
                  <c:v>0.37618239146252724</c:v>
                </c:pt>
                <c:pt idx="8">
                  <c:v>0.28427419354838712</c:v>
                </c:pt>
                <c:pt idx="9">
                  <c:v>0.28427419354838712</c:v>
                </c:pt>
                <c:pt idx="10">
                  <c:v>0.2222057777613333</c:v>
                </c:pt>
                <c:pt idx="11">
                  <c:v>0.2222057777613333</c:v>
                </c:pt>
                <c:pt idx="12">
                  <c:v>0.23156181050917893</c:v>
                </c:pt>
                <c:pt idx="13">
                  <c:v>0.23156181050917893</c:v>
                </c:pt>
                <c:pt idx="14">
                  <c:v>0.22914970831637496</c:v>
                </c:pt>
                <c:pt idx="15">
                  <c:v>0.22914970831637496</c:v>
                </c:pt>
                <c:pt idx="16">
                  <c:v>0.22914970831637496</c:v>
                </c:pt>
                <c:pt idx="17">
                  <c:v>0.22117386188795365</c:v>
                </c:pt>
                <c:pt idx="18">
                  <c:v>0.23418408905783331</c:v>
                </c:pt>
                <c:pt idx="19">
                  <c:v>0.23418408905783328</c:v>
                </c:pt>
                <c:pt idx="20">
                  <c:v>0.22880054678064171</c:v>
                </c:pt>
                <c:pt idx="21">
                  <c:v>0.16853448275862068</c:v>
                </c:pt>
                <c:pt idx="22">
                  <c:v>0.21982758620689655</c:v>
                </c:pt>
                <c:pt idx="23">
                  <c:v>0.2072145279819107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2544"/>
        <c:axId val="115534464"/>
      </c:scatterChart>
      <c:valAx>
        <c:axId val="1155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534464"/>
        <c:crosses val="autoZero"/>
        <c:crossBetween val="midCat"/>
      </c:valAx>
      <c:valAx>
        <c:axId val="11553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5532544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xVal>
            <c:numRef>
              <c:f>(Sheet1!$V$11:$V$20,Sheet1!$V$35:$V$41,Sheet1!$V$58:$V$61,Sheet1!$V$63:$V$65)</c:f>
              <c:numCache>
                <c:formatCode>General</c:formatCode>
                <c:ptCount val="24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</c:numCache>
            </c:numRef>
          </c:xVal>
          <c:yVal>
            <c:numRef>
              <c:f>(Sheet1!$AR$11:$AR$20,Sheet1!$AR$35:$AR$41,Sheet1!$AR$58:$AR$61,Sheet1!$AR$63:$AR$65)</c:f>
              <c:numCache>
                <c:formatCode>0.00</c:formatCode>
                <c:ptCount val="24"/>
                <c:pt idx="0">
                  <c:v>0.25745587340231285</c:v>
                </c:pt>
                <c:pt idx="1">
                  <c:v>0.25745587340231285</c:v>
                </c:pt>
                <c:pt idx="2">
                  <c:v>0.28427419354838707</c:v>
                </c:pt>
                <c:pt idx="3">
                  <c:v>0.28427419354838707</c:v>
                </c:pt>
                <c:pt idx="4">
                  <c:v>0.2067448680351906</c:v>
                </c:pt>
                <c:pt idx="5">
                  <c:v>0.2067448680351906</c:v>
                </c:pt>
                <c:pt idx="6">
                  <c:v>0.37618239146252724</c:v>
                </c:pt>
                <c:pt idx="7">
                  <c:v>0.37618239146252724</c:v>
                </c:pt>
                <c:pt idx="8">
                  <c:v>0.28427419354838712</c:v>
                </c:pt>
                <c:pt idx="9">
                  <c:v>0.28427419354838712</c:v>
                </c:pt>
                <c:pt idx="10">
                  <c:v>0.2222057777613333</c:v>
                </c:pt>
                <c:pt idx="11">
                  <c:v>0.2222057777613333</c:v>
                </c:pt>
                <c:pt idx="12">
                  <c:v>0.23156181050917893</c:v>
                </c:pt>
                <c:pt idx="13">
                  <c:v>0.23156181050917893</c:v>
                </c:pt>
                <c:pt idx="14">
                  <c:v>0.22914970831637496</c:v>
                </c:pt>
                <c:pt idx="15">
                  <c:v>0.22914970831637496</c:v>
                </c:pt>
                <c:pt idx="16">
                  <c:v>0.22914970831637496</c:v>
                </c:pt>
                <c:pt idx="17">
                  <c:v>0.22117386188795365</c:v>
                </c:pt>
                <c:pt idx="18">
                  <c:v>0.23418408905783331</c:v>
                </c:pt>
                <c:pt idx="19">
                  <c:v>0.23418408905783328</c:v>
                </c:pt>
                <c:pt idx="20">
                  <c:v>0.22880054678064171</c:v>
                </c:pt>
                <c:pt idx="21">
                  <c:v>0.16853448275862068</c:v>
                </c:pt>
                <c:pt idx="22">
                  <c:v>0.21982758620689655</c:v>
                </c:pt>
                <c:pt idx="23">
                  <c:v>0.2072145279819107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8752"/>
        <c:axId val="117180672"/>
      </c:scatterChart>
      <c:valAx>
        <c:axId val="1171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180672"/>
        <c:crosses val="autoZero"/>
        <c:crossBetween val="midCat"/>
      </c:valAx>
      <c:valAx>
        <c:axId val="117180672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FPGA (I/O:Core)</a:t>
                </a:r>
                <a:r>
                  <a:rPr lang="en-US" sz="2000" baseline="0"/>
                  <a:t> BW Ratio</a:t>
                </a:r>
                <a:endParaRPr lang="en-US" sz="2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178752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xVal>
            <c:numRef>
              <c:f>(Sheet1!$V$9:$V$20,Sheet1!$V$29:$V$41,Sheet1!$V$58:$V$61,Sheet1!$V$63:$V$65)</c:f>
              <c:numCache>
                <c:formatCode>General</c:formatCode>
                <c:ptCount val="32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2004</c:v>
                </c:pt>
                <c:pt idx="30">
                  <c:v>2004</c:v>
                </c:pt>
                <c:pt idx="31">
                  <c:v>2004</c:v>
                </c:pt>
              </c:numCache>
            </c:numRef>
          </c:xVal>
          <c:yVal>
            <c:numRef>
              <c:f>(Sheet1!$AR$9:$AR$20,Sheet1!$AR$29:$AR$41,Sheet1!$AR$58:$AR$61,Sheet1!$AR$63:$AR$65)</c:f>
              <c:numCache>
                <c:formatCode>0.00</c:formatCode>
                <c:ptCount val="32"/>
                <c:pt idx="0">
                  <c:v>0.23664314516129029</c:v>
                </c:pt>
                <c:pt idx="1">
                  <c:v>0.23664314516129029</c:v>
                </c:pt>
                <c:pt idx="2">
                  <c:v>0.25745587340231285</c:v>
                </c:pt>
                <c:pt idx="3">
                  <c:v>0.25745587340231285</c:v>
                </c:pt>
                <c:pt idx="4">
                  <c:v>0.28427419354838707</c:v>
                </c:pt>
                <c:pt idx="5">
                  <c:v>0.28427419354838707</c:v>
                </c:pt>
                <c:pt idx="6">
                  <c:v>0.2067448680351906</c:v>
                </c:pt>
                <c:pt idx="7">
                  <c:v>0.2067448680351906</c:v>
                </c:pt>
                <c:pt idx="8">
                  <c:v>0.37618239146252724</c:v>
                </c:pt>
                <c:pt idx="9">
                  <c:v>0.37618239146252724</c:v>
                </c:pt>
                <c:pt idx="10">
                  <c:v>0.28427419354838712</c:v>
                </c:pt>
                <c:pt idx="11">
                  <c:v>0.28427419354838712</c:v>
                </c:pt>
                <c:pt idx="12">
                  <c:v>0.25915215388899598</c:v>
                </c:pt>
                <c:pt idx="13">
                  <c:v>0.19233948921448921</c:v>
                </c:pt>
                <c:pt idx="14">
                  <c:v>0.28674249726881307</c:v>
                </c:pt>
                <c:pt idx="15">
                  <c:v>0.27010412427079095</c:v>
                </c:pt>
                <c:pt idx="16">
                  <c:v>0.27010412427079095</c:v>
                </c:pt>
                <c:pt idx="17">
                  <c:v>0.28375559625559627</c:v>
                </c:pt>
                <c:pt idx="18">
                  <c:v>0.2222057777613333</c:v>
                </c:pt>
                <c:pt idx="19">
                  <c:v>0.2222057777613333</c:v>
                </c:pt>
                <c:pt idx="20">
                  <c:v>0.23156181050917893</c:v>
                </c:pt>
                <c:pt idx="21">
                  <c:v>0.23156181050917893</c:v>
                </c:pt>
                <c:pt idx="22">
                  <c:v>0.22914970831637496</c:v>
                </c:pt>
                <c:pt idx="23">
                  <c:v>0.22914970831637496</c:v>
                </c:pt>
                <c:pt idx="24">
                  <c:v>0.22914970831637496</c:v>
                </c:pt>
                <c:pt idx="25">
                  <c:v>0.22117386188795365</c:v>
                </c:pt>
                <c:pt idx="26">
                  <c:v>0.23418408905783331</c:v>
                </c:pt>
                <c:pt idx="27">
                  <c:v>0.23418408905783328</c:v>
                </c:pt>
                <c:pt idx="28">
                  <c:v>0.22880054678064171</c:v>
                </c:pt>
                <c:pt idx="29">
                  <c:v>0.16853448275862068</c:v>
                </c:pt>
                <c:pt idx="30">
                  <c:v>0.21982758620689655</c:v>
                </c:pt>
                <c:pt idx="31">
                  <c:v>0.2072145279819107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9808"/>
        <c:axId val="117241728"/>
      </c:scatterChart>
      <c:valAx>
        <c:axId val="1172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241728"/>
        <c:crosses val="autoZero"/>
        <c:crossBetween val="midCat"/>
      </c:valAx>
      <c:valAx>
        <c:axId val="117241728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FPGA (I/O:Core)</a:t>
                </a:r>
                <a:r>
                  <a:rPr lang="en-US" sz="2000" baseline="0"/>
                  <a:t> BW Ratio</a:t>
                </a:r>
                <a:endParaRPr lang="en-US" sz="2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23980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Sheet1!$W$7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xVal>
            <c:numRef>
              <c:f>(Sheet1!$V$9:$V$20,Sheet1!$V$29:$V$41,Sheet1!$V$58:$V$61,Sheet1!$V$63:$V$65)</c:f>
              <c:numCache>
                <c:formatCode>General</c:formatCode>
                <c:ptCount val="32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2004</c:v>
                </c:pt>
                <c:pt idx="30">
                  <c:v>2004</c:v>
                </c:pt>
                <c:pt idx="31">
                  <c:v>2004</c:v>
                </c:pt>
              </c:numCache>
            </c:numRef>
          </c:xVal>
          <c:yVal>
            <c:numRef>
              <c:f>(Sheet1!$AR$9:$AR$20,Sheet1!$AR$29:$AR$41,Sheet1!$AR$58:$AR$61,Sheet1!$AR$63:$AR$65)</c:f>
              <c:numCache>
                <c:formatCode>0.00</c:formatCode>
                <c:ptCount val="32"/>
                <c:pt idx="0">
                  <c:v>0.23664314516129029</c:v>
                </c:pt>
                <c:pt idx="1">
                  <c:v>0.23664314516129029</c:v>
                </c:pt>
                <c:pt idx="2">
                  <c:v>0.25745587340231285</c:v>
                </c:pt>
                <c:pt idx="3">
                  <c:v>0.25745587340231285</c:v>
                </c:pt>
                <c:pt idx="4">
                  <c:v>0.28427419354838707</c:v>
                </c:pt>
                <c:pt idx="5">
                  <c:v>0.28427419354838707</c:v>
                </c:pt>
                <c:pt idx="6">
                  <c:v>0.2067448680351906</c:v>
                </c:pt>
                <c:pt idx="7">
                  <c:v>0.2067448680351906</c:v>
                </c:pt>
                <c:pt idx="8">
                  <c:v>0.37618239146252724</c:v>
                </c:pt>
                <c:pt idx="9">
                  <c:v>0.37618239146252724</c:v>
                </c:pt>
                <c:pt idx="10">
                  <c:v>0.28427419354838712</c:v>
                </c:pt>
                <c:pt idx="11">
                  <c:v>0.28427419354838712</c:v>
                </c:pt>
                <c:pt idx="12">
                  <c:v>0.25915215388899598</c:v>
                </c:pt>
                <c:pt idx="13">
                  <c:v>0.19233948921448921</c:v>
                </c:pt>
                <c:pt idx="14">
                  <c:v>0.28674249726881307</c:v>
                </c:pt>
                <c:pt idx="15">
                  <c:v>0.27010412427079095</c:v>
                </c:pt>
                <c:pt idx="16">
                  <c:v>0.27010412427079095</c:v>
                </c:pt>
                <c:pt idx="17">
                  <c:v>0.28375559625559627</c:v>
                </c:pt>
                <c:pt idx="18">
                  <c:v>0.2222057777613333</c:v>
                </c:pt>
                <c:pt idx="19">
                  <c:v>0.2222057777613333</c:v>
                </c:pt>
                <c:pt idx="20">
                  <c:v>0.23156181050917893</c:v>
                </c:pt>
                <c:pt idx="21">
                  <c:v>0.23156181050917893</c:v>
                </c:pt>
                <c:pt idx="22">
                  <c:v>0.22914970831637496</c:v>
                </c:pt>
                <c:pt idx="23">
                  <c:v>0.22914970831637496</c:v>
                </c:pt>
                <c:pt idx="24">
                  <c:v>0.22914970831637496</c:v>
                </c:pt>
                <c:pt idx="25">
                  <c:v>0.22117386188795365</c:v>
                </c:pt>
                <c:pt idx="26">
                  <c:v>0.23418408905783331</c:v>
                </c:pt>
                <c:pt idx="27">
                  <c:v>0.23418408905783328</c:v>
                </c:pt>
                <c:pt idx="28">
                  <c:v>0.22880054678064171</c:v>
                </c:pt>
                <c:pt idx="29">
                  <c:v>0.16853448275862068</c:v>
                </c:pt>
                <c:pt idx="30">
                  <c:v>0.21982758620689655</c:v>
                </c:pt>
                <c:pt idx="31">
                  <c:v>0.2072145279819107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9648"/>
        <c:axId val="117315072"/>
      </c:scatterChart>
      <c:valAx>
        <c:axId val="1172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315072"/>
        <c:crosses val="autoZero"/>
        <c:crossBetween val="midCat"/>
      </c:valAx>
      <c:valAx>
        <c:axId val="117315072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FPGA (I/O:Core)</a:t>
                </a:r>
                <a:r>
                  <a:rPr lang="en-US" sz="2000" baseline="0"/>
                  <a:t> BW Ratio</a:t>
                </a:r>
                <a:endParaRPr lang="en-US" sz="2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25964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4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forward val="2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Sheet1!$AX$9:$AX$20</c:f>
              <c:numCache>
                <c:formatCode>General</c:formatCode>
                <c:ptCount val="12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</c:numCache>
            </c:numRef>
          </c:xVal>
          <c:yVal>
            <c:numRef>
              <c:f>Sheet1!$AY$9:$AY$20</c:f>
              <c:numCache>
                <c:formatCode>General</c:formatCode>
                <c:ptCount val="12"/>
                <c:pt idx="0">
                  <c:v>0.38</c:v>
                </c:pt>
                <c:pt idx="1">
                  <c:v>0.38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0992"/>
        <c:axId val="117391360"/>
      </c:scatterChart>
      <c:valAx>
        <c:axId val="1173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391360"/>
        <c:crosses val="autoZero"/>
        <c:crossBetween val="midCat"/>
      </c:valAx>
      <c:valAx>
        <c:axId val="117391360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FPGA (I/O:Core)</a:t>
                </a:r>
                <a:r>
                  <a:rPr lang="en-US" sz="2000" baseline="0"/>
                  <a:t> BW Ratio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380992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0.24286</cdr:x>
      <cdr:y>0.60666</cdr:y>
    </cdr:from>
    <cdr:to>
      <cdr:x>0.25275</cdr:x>
      <cdr:y>0.80333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105025" y="3819525"/>
          <a:ext cx="85725" cy="12382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0.36044</cdr:x>
      <cdr:y>0.55825</cdr:y>
    </cdr:from>
    <cdr:to>
      <cdr:x>0.36923</cdr:x>
      <cdr:y>0.6354</cdr:y>
    </cdr:to>
    <cdr:sp macro="" textlink="">
      <cdr:nvSpPr>
        <cdr:cNvPr id="3" name="Oval 2"/>
        <cdr:cNvSpPr/>
      </cdr:nvSpPr>
      <cdr:spPr>
        <a:xfrm xmlns:a="http://schemas.openxmlformats.org/drawingml/2006/main">
          <a:off x="3124201" y="3514725"/>
          <a:ext cx="76200" cy="4857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0.5978</cdr:x>
      <cdr:y>0.39183</cdr:y>
    </cdr:from>
    <cdr:to>
      <cdr:x>0.60549</cdr:x>
      <cdr:y>0.7292</cdr:y>
    </cdr:to>
    <cdr:sp macro="" textlink="">
      <cdr:nvSpPr>
        <cdr:cNvPr id="4" name="Oval 3"/>
        <cdr:cNvSpPr/>
      </cdr:nvSpPr>
      <cdr:spPr>
        <a:xfrm xmlns:a="http://schemas.openxmlformats.org/drawingml/2006/main">
          <a:off x="5181601" y="2466975"/>
          <a:ext cx="66674" cy="21240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0.71648</cdr:x>
      <cdr:y>0.09531</cdr:y>
    </cdr:from>
    <cdr:to>
      <cdr:x>0.72198</cdr:x>
      <cdr:y>0.67474</cdr:y>
    </cdr:to>
    <cdr:sp macro="" textlink="">
      <cdr:nvSpPr>
        <cdr:cNvPr id="5" name="Oval 4"/>
        <cdr:cNvSpPr/>
      </cdr:nvSpPr>
      <cdr:spPr>
        <a:xfrm xmlns:a="http://schemas.openxmlformats.org/drawingml/2006/main">
          <a:off x="6210301" y="600075"/>
          <a:ext cx="47624" cy="364807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0.25275</cdr:x>
      <cdr:y>0.26324</cdr:y>
    </cdr:from>
    <cdr:to>
      <cdr:x>0.9011</cdr:x>
      <cdr:y>0.705</cdr:y>
    </cdr:to>
    <cdr:cxnSp macro="">
      <cdr:nvCxnSpPr>
        <cdr:cNvPr id="7" name="Straight Connector 6"/>
        <cdr:cNvCxnSpPr>
          <a:stCxn xmlns:a="http://schemas.openxmlformats.org/drawingml/2006/main" id="2" idx="6"/>
        </cdr:cNvCxnSpPr>
      </cdr:nvCxnSpPr>
      <cdr:spPr>
        <a:xfrm xmlns:a="http://schemas.openxmlformats.org/drawingml/2006/main" flipV="1">
          <a:off x="2190774" y="1657350"/>
          <a:ext cx="5619726" cy="278131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0.24388</cdr:x>
      <cdr:y>0.25033</cdr:y>
    </cdr:from>
    <cdr:to>
      <cdr:x>0.72206</cdr:x>
      <cdr:y>0.70751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112065" y="1573698"/>
          <a:ext cx="4141305" cy="287406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0.72906</cdr:x>
      <cdr:y>0.07905</cdr:y>
    </cdr:from>
    <cdr:to>
      <cdr:x>0.9009</cdr:x>
      <cdr:y>0.24349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6313944" y="496956"/>
          <a:ext cx="1488274" cy="103375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0.24806</cdr:x>
      <cdr:y>0.25033</cdr:y>
    </cdr:from>
    <cdr:to>
      <cdr:x>0.72206</cdr:x>
      <cdr:y>0.69573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151529" y="1576506"/>
          <a:ext cx="4111152" cy="280499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0.73257</cdr:x>
      <cdr:y>0.07639</cdr:y>
    </cdr:from>
    <cdr:to>
      <cdr:x>0.90711</cdr:x>
      <cdr:y>0.24123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6353875" y="481068"/>
          <a:ext cx="1513775" cy="1038128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0.24615</cdr:x>
      <cdr:y>0.36006</cdr:y>
    </cdr:from>
    <cdr:to>
      <cdr:x>0.72198</cdr:x>
      <cdr:y>0.71242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133567" y="2266950"/>
          <a:ext cx="4124358" cy="22184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0.72663</cdr:x>
      <cdr:y>0.23099</cdr:y>
    </cdr:from>
    <cdr:to>
      <cdr:x>0.8952</cdr:x>
      <cdr:y>0.35565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6298214" y="1454305"/>
          <a:ext cx="1461176" cy="7848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0.24382</cdr:x>
      <cdr:y>0.43116</cdr:y>
    </cdr:from>
    <cdr:to>
      <cdr:x>0.72198</cdr:x>
      <cdr:y>0.69592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113359" y="2714625"/>
          <a:ext cx="4144566" cy="16668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0.73097</cdr:x>
      <cdr:y>0.32609</cdr:y>
    </cdr:from>
    <cdr:to>
      <cdr:x>0.91059</cdr:x>
      <cdr:y>0.42531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6335900" y="2053078"/>
          <a:ext cx="1556906" cy="62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65"/>
  <sheetViews>
    <sheetView topLeftCell="T1" zoomScale="85" zoomScaleNormal="85" workbookViewId="0">
      <selection activeCell="AL19" sqref="AL19"/>
    </sheetView>
  </sheetViews>
  <sheetFormatPr defaultRowHeight="15" x14ac:dyDescent="0.25"/>
  <cols>
    <col min="1" max="1" width="2.7109375" customWidth="1"/>
    <col min="2" max="2" width="9.140625" style="1"/>
    <col min="3" max="3" width="9.7109375" style="1" customWidth="1"/>
    <col min="4" max="4" width="5.42578125" style="1" customWidth="1"/>
    <col min="5" max="5" width="7.7109375" style="1" customWidth="1"/>
    <col min="6" max="6" width="10.7109375" style="1" customWidth="1"/>
    <col min="7" max="7" width="2" customWidth="1"/>
    <col min="8" max="8" width="7.7109375" customWidth="1"/>
    <col min="9" max="9" width="8.42578125" customWidth="1"/>
    <col min="10" max="10" width="7.7109375" customWidth="1"/>
    <col min="11" max="11" width="8.28515625" customWidth="1"/>
    <col min="12" max="12" width="7.7109375" customWidth="1"/>
    <col min="13" max="13" width="8.42578125" customWidth="1"/>
    <col min="14" max="14" width="15.42578125" customWidth="1"/>
    <col min="15" max="15" width="2.42578125" customWidth="1"/>
    <col min="16" max="16" width="7.5703125" customWidth="1"/>
    <col min="17" max="17" width="8.42578125" customWidth="1"/>
    <col min="18" max="18" width="7.42578125" customWidth="1"/>
    <col min="19" max="19" width="8.7109375" customWidth="1"/>
    <col min="20" max="20" width="16.28515625" customWidth="1"/>
    <col min="21" max="21" width="2.85546875" customWidth="1"/>
    <col min="22" max="22" width="7.140625" style="1" customWidth="1"/>
    <col min="23" max="23" width="8.42578125" style="1" customWidth="1"/>
    <col min="24" max="24" width="1.7109375" customWidth="1"/>
    <col min="25" max="25" width="8" customWidth="1"/>
    <col min="26" max="26" width="1.85546875" customWidth="1"/>
    <col min="27" max="27" width="7.7109375" customWidth="1"/>
    <col min="28" max="28" width="1.7109375" customWidth="1"/>
    <col min="29" max="29" width="14.5703125" customWidth="1"/>
    <col min="30" max="30" width="2.42578125" customWidth="1"/>
    <col min="31" max="31" width="9.42578125" customWidth="1"/>
    <col min="32" max="32" width="9.5703125" customWidth="1"/>
    <col min="33" max="33" width="2.5703125" customWidth="1"/>
    <col min="34" max="34" width="9.42578125" customWidth="1"/>
    <col min="35" max="35" width="9.5703125" customWidth="1"/>
    <col min="36" max="36" width="2.42578125" style="20" customWidth="1"/>
    <col min="37" max="38" width="9.5703125" style="25" customWidth="1"/>
    <col min="39" max="39" width="2.7109375" style="20" customWidth="1"/>
    <col min="40" max="41" width="9.5703125" style="25" customWidth="1"/>
    <col min="42" max="42" width="2.7109375" style="20" customWidth="1"/>
    <col min="43" max="44" width="9.5703125" style="25" customWidth="1"/>
    <col min="45" max="45" width="2.42578125" style="31" customWidth="1"/>
    <col min="46" max="46" width="11.28515625" customWidth="1"/>
    <col min="47" max="47" width="3.28515625" style="31" customWidth="1"/>
    <col min="48" max="48" width="7.140625" customWidth="1"/>
    <col min="49" max="49" width="7.42578125" customWidth="1"/>
    <col min="50" max="50" width="17.7109375" customWidth="1"/>
  </cols>
  <sheetData>
    <row r="1" spans="2:54" x14ac:dyDescent="0.25">
      <c r="I1" s="8" t="s">
        <v>89</v>
      </c>
      <c r="J1" s="8" t="s">
        <v>91</v>
      </c>
      <c r="K1" s="8" t="s">
        <v>92</v>
      </c>
      <c r="L1" s="8" t="s">
        <v>93</v>
      </c>
      <c r="M1" s="8" t="s">
        <v>94</v>
      </c>
      <c r="N1" s="8" t="s">
        <v>95</v>
      </c>
    </row>
    <row r="2" spans="2:54" x14ac:dyDescent="0.25">
      <c r="I2" s="8" t="s">
        <v>90</v>
      </c>
      <c r="J2" s="36">
        <v>0.43478260869565222</v>
      </c>
      <c r="K2" s="36">
        <v>0.55217391304347829</v>
      </c>
      <c r="L2" s="36">
        <v>0.69565217391304357</v>
      </c>
      <c r="M2" s="36">
        <v>0.82173913043478264</v>
      </c>
      <c r="N2" s="36">
        <v>1</v>
      </c>
    </row>
    <row r="3" spans="2:54" x14ac:dyDescent="0.25">
      <c r="I3" s="8" t="s">
        <v>96</v>
      </c>
      <c r="J3" s="8">
        <f>$N$3*J2</f>
        <v>86956521.739130437</v>
      </c>
      <c r="K3" s="8">
        <f>$N$3*K2</f>
        <v>110434782.60869566</v>
      </c>
      <c r="L3" s="8">
        <f>$N$3*L2</f>
        <v>139130434.78260872</v>
      </c>
      <c r="M3" s="8">
        <f>$N$3*M2</f>
        <v>164347826.08695653</v>
      </c>
      <c r="N3" s="37">
        <v>200000000</v>
      </c>
    </row>
    <row r="5" spans="2:54" x14ac:dyDescent="0.25">
      <c r="H5" s="57" t="s">
        <v>67</v>
      </c>
      <c r="I5" s="65"/>
      <c r="J5" s="65"/>
      <c r="K5" s="65"/>
      <c r="L5" s="65"/>
      <c r="M5" s="65"/>
      <c r="N5" s="13">
        <v>2</v>
      </c>
      <c r="P5" s="62" t="s">
        <v>70</v>
      </c>
      <c r="Q5" s="63"/>
      <c r="R5" s="63"/>
      <c r="S5" s="63"/>
      <c r="T5" s="7">
        <v>2</v>
      </c>
    </row>
    <row r="6" spans="2:54" x14ac:dyDescent="0.25">
      <c r="H6" s="59" t="s">
        <v>63</v>
      </c>
      <c r="I6" s="59"/>
      <c r="J6" s="59" t="s">
        <v>64</v>
      </c>
      <c r="K6" s="59"/>
      <c r="L6" s="57" t="s">
        <v>69</v>
      </c>
      <c r="M6" s="58"/>
      <c r="N6" s="55" t="s">
        <v>68</v>
      </c>
      <c r="P6" s="55" t="s">
        <v>71</v>
      </c>
      <c r="Q6" s="55"/>
      <c r="R6" s="55" t="s">
        <v>72</v>
      </c>
      <c r="S6" s="55"/>
      <c r="T6" s="55" t="s">
        <v>68</v>
      </c>
      <c r="AH6" s="60" t="s">
        <v>84</v>
      </c>
      <c r="AI6" s="60"/>
      <c r="AJ6" s="21"/>
      <c r="AK6" s="61" t="s">
        <v>85</v>
      </c>
      <c r="AL6" s="61"/>
      <c r="AM6" s="21"/>
      <c r="AN6" s="61" t="s">
        <v>86</v>
      </c>
      <c r="AO6" s="61"/>
      <c r="AP6" s="21"/>
      <c r="AQ6" s="61" t="s">
        <v>88</v>
      </c>
      <c r="AR6" s="61"/>
      <c r="AS6" s="32"/>
      <c r="AU6" s="32"/>
    </row>
    <row r="7" spans="2:54" x14ac:dyDescent="0.25">
      <c r="B7" s="4"/>
      <c r="C7" s="5" t="s">
        <v>4</v>
      </c>
      <c r="D7" s="5" t="s">
        <v>5</v>
      </c>
      <c r="E7" s="5" t="s">
        <v>6</v>
      </c>
      <c r="F7" s="5" t="s">
        <v>11</v>
      </c>
      <c r="H7" s="6" t="s">
        <v>65</v>
      </c>
      <c r="I7" s="6" t="s">
        <v>66</v>
      </c>
      <c r="J7" s="6" t="s">
        <v>65</v>
      </c>
      <c r="K7" s="6" t="s">
        <v>66</v>
      </c>
      <c r="L7" s="6" t="s">
        <v>65</v>
      </c>
      <c r="M7" s="6" t="s">
        <v>66</v>
      </c>
      <c r="N7" s="55"/>
      <c r="P7" s="6" t="s">
        <v>65</v>
      </c>
      <c r="Q7" s="6" t="s">
        <v>66</v>
      </c>
      <c r="R7" s="6" t="s">
        <v>65</v>
      </c>
      <c r="S7" s="6" t="s">
        <v>66</v>
      </c>
      <c r="T7" s="55"/>
      <c r="V7" s="6" t="s">
        <v>74</v>
      </c>
      <c r="W7" s="6" t="s">
        <v>73</v>
      </c>
      <c r="Y7" s="7" t="s">
        <v>75</v>
      </c>
      <c r="Z7" s="11"/>
      <c r="AA7" s="7" t="s">
        <v>76</v>
      </c>
      <c r="AB7" s="11"/>
      <c r="AC7" s="14" t="s">
        <v>83</v>
      </c>
      <c r="AD7" s="12"/>
      <c r="AE7" s="15" t="s">
        <v>81</v>
      </c>
      <c r="AF7" s="15" t="s">
        <v>82</v>
      </c>
      <c r="AG7" s="12"/>
      <c r="AH7" s="15" t="s">
        <v>81</v>
      </c>
      <c r="AI7" s="15" t="s">
        <v>82</v>
      </c>
      <c r="AJ7" s="22"/>
      <c r="AK7" s="26" t="s">
        <v>81</v>
      </c>
      <c r="AL7" s="26" t="s">
        <v>82</v>
      </c>
      <c r="AM7" s="22"/>
      <c r="AN7" s="26" t="s">
        <v>81</v>
      </c>
      <c r="AO7" s="26" t="s">
        <v>82</v>
      </c>
      <c r="AP7" s="22"/>
      <c r="AQ7" s="26" t="s">
        <v>81</v>
      </c>
      <c r="AR7" s="26" t="s">
        <v>82</v>
      </c>
      <c r="AS7" s="33"/>
      <c r="AT7" s="15" t="s">
        <v>87</v>
      </c>
      <c r="AU7" s="33"/>
      <c r="AX7" s="48" t="s">
        <v>97</v>
      </c>
      <c r="AY7" s="49"/>
      <c r="AZ7" s="49"/>
      <c r="BA7" s="49" t="s">
        <v>97</v>
      </c>
      <c r="BB7" s="50"/>
    </row>
    <row r="8" spans="2:54" s="9" customFormat="1" ht="7.5" customHeight="1" x14ac:dyDescent="0.25">
      <c r="V8" s="1"/>
      <c r="W8" s="1"/>
      <c r="AJ8" s="23"/>
      <c r="AK8" s="27"/>
      <c r="AL8" s="27"/>
      <c r="AM8" s="23"/>
      <c r="AN8" s="27"/>
      <c r="AO8" s="27"/>
      <c r="AP8" s="23"/>
      <c r="AQ8" s="27"/>
      <c r="AR8" s="27"/>
      <c r="AS8" s="34"/>
      <c r="AU8" s="34"/>
      <c r="AV8" s="54"/>
      <c r="AW8" s="54"/>
    </row>
    <row r="9" spans="2:54" x14ac:dyDescent="0.25">
      <c r="B9" s="56" t="s">
        <v>0</v>
      </c>
      <c r="C9" s="56">
        <v>28</v>
      </c>
      <c r="D9" s="56">
        <v>2012</v>
      </c>
      <c r="E9" s="56" t="s">
        <v>7</v>
      </c>
      <c r="F9" s="2" t="s">
        <v>12</v>
      </c>
      <c r="H9" s="8">
        <v>28.05</v>
      </c>
      <c r="I9" s="8">
        <v>4</v>
      </c>
      <c r="J9" s="8">
        <v>14.1</v>
      </c>
      <c r="K9" s="8">
        <v>32</v>
      </c>
      <c r="L9" s="8"/>
      <c r="M9" s="8"/>
      <c r="N9" s="8">
        <f>(H9*I9+J9*K9+L9*M9)*$N$5</f>
        <v>1126.8</v>
      </c>
      <c r="P9" s="8">
        <v>1.4</v>
      </c>
      <c r="Q9" s="8">
        <v>150</v>
      </c>
      <c r="R9" s="8"/>
      <c r="S9" s="8"/>
      <c r="T9" s="8">
        <f>(P9*Q9+R9*S9)*$T$5</f>
        <v>420</v>
      </c>
      <c r="V9" s="3">
        <v>2012</v>
      </c>
      <c r="W9" s="3">
        <f>T9+N9</f>
        <v>1546.8</v>
      </c>
      <c r="Y9" s="8">
        <v>425</v>
      </c>
      <c r="Z9" s="12"/>
      <c r="AA9" s="8">
        <f>W9/Y9</f>
        <v>3.6395294117647059</v>
      </c>
      <c r="AB9" s="12"/>
      <c r="AC9" s="8">
        <f t="shared" ref="AC9:AC27" si="0">W9/SQRT(Y9)</f>
        <v>75.030820961239968</v>
      </c>
      <c r="AD9" s="12"/>
      <c r="AE9" s="8">
        <v>209</v>
      </c>
      <c r="AF9" s="8">
        <v>128</v>
      </c>
      <c r="AG9" s="12"/>
      <c r="AH9" s="8">
        <v>176</v>
      </c>
      <c r="AI9" s="8">
        <v>372</v>
      </c>
      <c r="AJ9" s="24"/>
      <c r="AK9" s="38">
        <f t="shared" ref="AK9:AL11" si="1">AE9*AH9*0.5*$N$3/1000000000</f>
        <v>3678.4</v>
      </c>
      <c r="AL9" s="38">
        <f t="shared" si="1"/>
        <v>4761.6000000000004</v>
      </c>
      <c r="AM9" s="24"/>
      <c r="AN9" s="38">
        <f>W9/AK9</f>
        <v>0.42050891692040016</v>
      </c>
      <c r="AO9" s="38">
        <f>W9/AL9</f>
        <v>0.32484879032258063</v>
      </c>
      <c r="AP9" s="24"/>
      <c r="AQ9" s="38">
        <f>T9/AK9</f>
        <v>0.11418007829491082</v>
      </c>
      <c r="AR9" s="38">
        <f>N9/AL9</f>
        <v>0.23664314516129029</v>
      </c>
      <c r="AS9" s="35"/>
      <c r="AT9" s="39">
        <f>W9/(AK9+AL9)</f>
        <v>0.18327014218009477</v>
      </c>
      <c r="AU9" s="35"/>
      <c r="AX9">
        <v>2012</v>
      </c>
      <c r="AY9">
        <v>0.38</v>
      </c>
      <c r="BA9">
        <v>2012</v>
      </c>
      <c r="BB9">
        <v>0.38</v>
      </c>
    </row>
    <row r="10" spans="2:54" x14ac:dyDescent="0.25">
      <c r="B10" s="56"/>
      <c r="C10" s="56"/>
      <c r="D10" s="56"/>
      <c r="E10" s="56"/>
      <c r="F10" s="2" t="s">
        <v>13</v>
      </c>
      <c r="H10" s="8">
        <v>28.05</v>
      </c>
      <c r="I10" s="8">
        <v>4</v>
      </c>
      <c r="J10" s="8">
        <v>14.1</v>
      </c>
      <c r="K10" s="8">
        <v>32</v>
      </c>
      <c r="L10" s="8"/>
      <c r="M10" s="8"/>
      <c r="N10" s="8">
        <f t="shared" ref="N10:N65" si="2">(H10*I10+J10*K10+L10*M10)*$N$5</f>
        <v>1126.8</v>
      </c>
      <c r="P10" s="8">
        <v>1.4</v>
      </c>
      <c r="Q10" s="8">
        <v>150</v>
      </c>
      <c r="R10" s="8"/>
      <c r="S10" s="8"/>
      <c r="T10" s="8">
        <f t="shared" ref="T10:T65" si="3">(P10*Q10+R10*S10)*$T$5</f>
        <v>420</v>
      </c>
      <c r="V10" s="3">
        <v>2012</v>
      </c>
      <c r="W10" s="3">
        <f t="shared" ref="W10:W61" si="4">T10+N10</f>
        <v>1546.8</v>
      </c>
      <c r="Y10" s="8">
        <v>622</v>
      </c>
      <c r="Z10" s="12"/>
      <c r="AA10" s="8">
        <f t="shared" ref="AA10:AA65" si="5">W10/Y10</f>
        <v>2.4868167202572344</v>
      </c>
      <c r="AB10" s="12"/>
      <c r="AC10" s="8">
        <f t="shared" si="0"/>
        <v>62.02102952139613</v>
      </c>
      <c r="AD10" s="12"/>
      <c r="AE10" s="8">
        <v>209</v>
      </c>
      <c r="AF10" s="8">
        <v>128</v>
      </c>
      <c r="AG10" s="12"/>
      <c r="AH10" s="8">
        <v>176</v>
      </c>
      <c r="AI10" s="8">
        <v>372</v>
      </c>
      <c r="AJ10" s="24"/>
      <c r="AK10" s="38">
        <f t="shared" si="1"/>
        <v>3678.4</v>
      </c>
      <c r="AL10" s="38">
        <f t="shared" si="1"/>
        <v>4761.6000000000004</v>
      </c>
      <c r="AM10" s="24"/>
      <c r="AN10" s="38">
        <f>W10/AK10</f>
        <v>0.42050891692040016</v>
      </c>
      <c r="AO10" s="38">
        <f>W10/AL10</f>
        <v>0.32484879032258063</v>
      </c>
      <c r="AP10" s="24"/>
      <c r="AQ10" s="38">
        <f>T10/AK10</f>
        <v>0.11418007829491082</v>
      </c>
      <c r="AR10" s="38">
        <f>N10/AL10</f>
        <v>0.23664314516129029</v>
      </c>
      <c r="AS10" s="35"/>
      <c r="AT10" s="39">
        <f>W10/(AK10+AL10)</f>
        <v>0.18327014218009477</v>
      </c>
      <c r="AU10" s="35"/>
      <c r="AX10">
        <v>2012</v>
      </c>
      <c r="AY10">
        <v>0.38</v>
      </c>
      <c r="BA10">
        <v>2012</v>
      </c>
      <c r="BB10">
        <v>0.38500000000000001</v>
      </c>
    </row>
    <row r="11" spans="2:54" x14ac:dyDescent="0.25">
      <c r="B11" s="56"/>
      <c r="C11" s="56"/>
      <c r="D11" s="56"/>
      <c r="E11" s="64" t="s">
        <v>8</v>
      </c>
      <c r="F11" s="16" t="s">
        <v>15</v>
      </c>
      <c r="G11" s="17"/>
      <c r="H11" s="18">
        <v>14.1</v>
      </c>
      <c r="I11" s="18">
        <v>36</v>
      </c>
      <c r="J11" s="18"/>
      <c r="K11" s="18"/>
      <c r="L11" s="18"/>
      <c r="M11" s="18"/>
      <c r="N11" s="18">
        <f t="shared" si="2"/>
        <v>1015.1999999999999</v>
      </c>
      <c r="O11" s="17"/>
      <c r="P11" s="18">
        <v>1.4</v>
      </c>
      <c r="Q11" s="18">
        <v>174</v>
      </c>
      <c r="R11" s="18"/>
      <c r="S11" s="18"/>
      <c r="T11" s="18">
        <f t="shared" si="3"/>
        <v>487.2</v>
      </c>
      <c r="U11" s="17"/>
      <c r="V11" s="16">
        <v>2012</v>
      </c>
      <c r="W11" s="16">
        <f t="shared" si="4"/>
        <v>1502.3999999999999</v>
      </c>
      <c r="X11" s="17"/>
      <c r="Y11" s="18">
        <v>340</v>
      </c>
      <c r="Z11" s="19"/>
      <c r="AA11" s="18">
        <f t="shared" si="5"/>
        <v>4.4188235294117639</v>
      </c>
      <c r="AB11" s="19"/>
      <c r="AC11" s="18">
        <f t="shared" si="0"/>
        <v>81.479079956687258</v>
      </c>
      <c r="AD11" s="19"/>
      <c r="AE11" s="18">
        <v>201</v>
      </c>
      <c r="AF11" s="18">
        <v>106</v>
      </c>
      <c r="AG11" s="19"/>
      <c r="AH11" s="18">
        <f>144+32</f>
        <v>176</v>
      </c>
      <c r="AI11" s="18">
        <f>108+216+48</f>
        <v>372</v>
      </c>
      <c r="AJ11" s="19"/>
      <c r="AK11" s="29">
        <f t="shared" si="1"/>
        <v>3537.6</v>
      </c>
      <c r="AL11" s="29">
        <f t="shared" si="1"/>
        <v>3943.2</v>
      </c>
      <c r="AM11" s="19"/>
      <c r="AN11" s="29">
        <f>W11/AK11</f>
        <v>0.42469470827679778</v>
      </c>
      <c r="AO11" s="29">
        <f>W11/AL11</f>
        <v>0.38101034692635422</v>
      </c>
      <c r="AP11" s="19"/>
      <c r="AQ11" s="29">
        <f>T11/AK11</f>
        <v>0.13772048846675713</v>
      </c>
      <c r="AR11" s="29">
        <f>N11/AL11</f>
        <v>0.25745587340231285</v>
      </c>
      <c r="AS11" s="30"/>
      <c r="AT11" s="18">
        <f>W11/(AK11+AL11)</f>
        <v>0.20083413538658967</v>
      </c>
      <c r="AU11" s="35"/>
      <c r="AX11">
        <v>2012</v>
      </c>
      <c r="AY11">
        <v>0.28000000000000003</v>
      </c>
      <c r="BA11">
        <v>2012</v>
      </c>
      <c r="BB11">
        <v>0.28000000000000003</v>
      </c>
    </row>
    <row r="12" spans="2:54" x14ac:dyDescent="0.25">
      <c r="B12" s="56"/>
      <c r="C12" s="56"/>
      <c r="D12" s="56"/>
      <c r="E12" s="64"/>
      <c r="F12" s="16" t="s">
        <v>14</v>
      </c>
      <c r="G12" s="17"/>
      <c r="H12" s="18">
        <v>14.1</v>
      </c>
      <c r="I12" s="18">
        <v>36</v>
      </c>
      <c r="J12" s="18"/>
      <c r="K12" s="18"/>
      <c r="L12" s="18"/>
      <c r="M12" s="18"/>
      <c r="N12" s="18">
        <f t="shared" si="2"/>
        <v>1015.1999999999999</v>
      </c>
      <c r="O12" s="17"/>
      <c r="P12" s="18">
        <v>1.4</v>
      </c>
      <c r="Q12" s="18">
        <v>174</v>
      </c>
      <c r="R12" s="18"/>
      <c r="S12" s="18"/>
      <c r="T12" s="18">
        <f t="shared" si="3"/>
        <v>487.2</v>
      </c>
      <c r="U12" s="17"/>
      <c r="V12" s="16">
        <v>2012</v>
      </c>
      <c r="W12" s="16">
        <f t="shared" si="4"/>
        <v>1502.3999999999999</v>
      </c>
      <c r="X12" s="17"/>
      <c r="Y12" s="18">
        <v>420</v>
      </c>
      <c r="Z12" s="19"/>
      <c r="AA12" s="18">
        <f t="shared" si="5"/>
        <v>3.577142857142857</v>
      </c>
      <c r="AB12" s="19"/>
      <c r="AC12" s="18">
        <f t="shared" si="0"/>
        <v>73.309613479893812</v>
      </c>
      <c r="AD12" s="19"/>
      <c r="AE12" s="18">
        <v>201</v>
      </c>
      <c r="AF12" s="18">
        <v>106</v>
      </c>
      <c r="AG12" s="19"/>
      <c r="AH12" s="18">
        <f t="shared" ref="AH12:AH20" si="6">144+32</f>
        <v>176</v>
      </c>
      <c r="AI12" s="18">
        <f t="shared" ref="AI12:AI20" si="7">108+216+48</f>
        <v>372</v>
      </c>
      <c r="AJ12" s="19"/>
      <c r="AK12" s="29">
        <f t="shared" ref="AK12:AK20" si="8">AE12*AH12*0.5*$N$3/1000000000</f>
        <v>3537.6</v>
      </c>
      <c r="AL12" s="29">
        <f t="shared" ref="AL12:AL20" si="9">AF12*AI12*0.5*$N$3/1000000000</f>
        <v>3943.2</v>
      </c>
      <c r="AM12" s="19"/>
      <c r="AN12" s="29">
        <f t="shared" ref="AN12:AN20" si="10">W12/AK12</f>
        <v>0.42469470827679778</v>
      </c>
      <c r="AO12" s="29">
        <f t="shared" ref="AO12:AO20" si="11">W12/AL12</f>
        <v>0.38101034692635422</v>
      </c>
      <c r="AP12" s="19"/>
      <c r="AQ12" s="29">
        <f t="shared" ref="AQ12:AQ20" si="12">T12/AK12</f>
        <v>0.13772048846675713</v>
      </c>
      <c r="AR12" s="29">
        <f t="shared" ref="AR12:AR20" si="13">N12/AL12</f>
        <v>0.25745587340231285</v>
      </c>
      <c r="AS12" s="30"/>
      <c r="AT12" s="18">
        <f t="shared" ref="AT12:AT20" si="14">W12/(AK12+AL12)</f>
        <v>0.20083413538658967</v>
      </c>
      <c r="AU12" s="35"/>
      <c r="AX12" s="40">
        <v>2010</v>
      </c>
      <c r="AY12" s="41">
        <v>0.27</v>
      </c>
      <c r="AZ12" s="41"/>
      <c r="BA12" s="41">
        <v>2010</v>
      </c>
      <c r="BB12" s="42">
        <v>0.27</v>
      </c>
    </row>
    <row r="13" spans="2:54" x14ac:dyDescent="0.25">
      <c r="B13" s="56"/>
      <c r="C13" s="56"/>
      <c r="D13" s="56"/>
      <c r="E13" s="64"/>
      <c r="F13" s="16" t="s">
        <v>16</v>
      </c>
      <c r="G13" s="17"/>
      <c r="H13" s="18">
        <v>14.1</v>
      </c>
      <c r="I13" s="18">
        <v>48</v>
      </c>
      <c r="J13" s="18"/>
      <c r="K13" s="18"/>
      <c r="L13" s="18"/>
      <c r="M13" s="18"/>
      <c r="N13" s="18">
        <f t="shared" si="2"/>
        <v>1353.6</v>
      </c>
      <c r="O13" s="17"/>
      <c r="P13" s="18">
        <v>1.4</v>
      </c>
      <c r="Q13" s="18">
        <v>210</v>
      </c>
      <c r="R13" s="18"/>
      <c r="S13" s="18"/>
      <c r="T13" s="18">
        <f t="shared" si="3"/>
        <v>588</v>
      </c>
      <c r="U13" s="17"/>
      <c r="V13" s="16">
        <v>2012</v>
      </c>
      <c r="W13" s="16">
        <f t="shared" si="4"/>
        <v>1941.6</v>
      </c>
      <c r="X13" s="17"/>
      <c r="Y13" s="18">
        <v>490</v>
      </c>
      <c r="Z13" s="19"/>
      <c r="AA13" s="18">
        <f t="shared" si="5"/>
        <v>3.9624489795918367</v>
      </c>
      <c r="AB13" s="19"/>
      <c r="AC13" s="18">
        <f t="shared" si="0"/>
        <v>87.712547214041791</v>
      </c>
      <c r="AD13" s="19"/>
      <c r="AE13" s="18">
        <v>209</v>
      </c>
      <c r="AF13" s="18">
        <v>128</v>
      </c>
      <c r="AG13" s="19"/>
      <c r="AH13" s="18">
        <f t="shared" si="6"/>
        <v>176</v>
      </c>
      <c r="AI13" s="18">
        <f t="shared" si="7"/>
        <v>372</v>
      </c>
      <c r="AJ13" s="19"/>
      <c r="AK13" s="29">
        <f t="shared" si="8"/>
        <v>3678.4</v>
      </c>
      <c r="AL13" s="29">
        <f t="shared" si="9"/>
        <v>4761.6000000000004</v>
      </c>
      <c r="AM13" s="19"/>
      <c r="AN13" s="29">
        <f t="shared" si="10"/>
        <v>0.52783819051761627</v>
      </c>
      <c r="AO13" s="29">
        <f t="shared" si="11"/>
        <v>0.40776209677419351</v>
      </c>
      <c r="AP13" s="19"/>
      <c r="AQ13" s="29">
        <f t="shared" si="12"/>
        <v>0.15985210961287516</v>
      </c>
      <c r="AR13" s="29">
        <f t="shared" si="13"/>
        <v>0.28427419354838707</v>
      </c>
      <c r="AS13" s="30"/>
      <c r="AT13" s="18">
        <f t="shared" si="14"/>
        <v>0.23004739336492891</v>
      </c>
      <c r="AU13" s="35"/>
      <c r="AX13" s="43">
        <v>2010</v>
      </c>
      <c r="AY13" s="12">
        <v>0.28000000000000003</v>
      </c>
      <c r="AZ13" s="12"/>
      <c r="BA13" s="12">
        <v>2010</v>
      </c>
      <c r="BB13" s="44">
        <v>0.28000000000000003</v>
      </c>
    </row>
    <row r="14" spans="2:54" x14ac:dyDescent="0.25">
      <c r="B14" s="56"/>
      <c r="C14" s="56"/>
      <c r="D14" s="56"/>
      <c r="E14" s="64"/>
      <c r="F14" s="16" t="s">
        <v>17</v>
      </c>
      <c r="G14" s="17"/>
      <c r="H14" s="18">
        <v>14.1</v>
      </c>
      <c r="I14" s="18">
        <v>48</v>
      </c>
      <c r="J14" s="18"/>
      <c r="K14" s="18"/>
      <c r="L14" s="18"/>
      <c r="M14" s="18"/>
      <c r="N14" s="18">
        <f t="shared" si="2"/>
        <v>1353.6</v>
      </c>
      <c r="O14" s="17"/>
      <c r="P14" s="18">
        <v>1.4</v>
      </c>
      <c r="Q14" s="18">
        <v>210</v>
      </c>
      <c r="R14" s="18"/>
      <c r="S14" s="18"/>
      <c r="T14" s="18">
        <f t="shared" si="3"/>
        <v>588</v>
      </c>
      <c r="U14" s="17"/>
      <c r="V14" s="16">
        <v>2012</v>
      </c>
      <c r="W14" s="16">
        <f t="shared" si="4"/>
        <v>1941.6</v>
      </c>
      <c r="X14" s="17"/>
      <c r="Y14" s="18">
        <v>622</v>
      </c>
      <c r="Z14" s="19"/>
      <c r="AA14" s="18">
        <f t="shared" si="5"/>
        <v>3.1215434083601283</v>
      </c>
      <c r="AB14" s="19"/>
      <c r="AC14" s="18">
        <f t="shared" si="0"/>
        <v>77.851067312349841</v>
      </c>
      <c r="AD14" s="19"/>
      <c r="AE14" s="18">
        <v>209</v>
      </c>
      <c r="AF14" s="18">
        <v>128</v>
      </c>
      <c r="AG14" s="19"/>
      <c r="AH14" s="18">
        <f t="shared" si="6"/>
        <v>176</v>
      </c>
      <c r="AI14" s="18">
        <f t="shared" si="7"/>
        <v>372</v>
      </c>
      <c r="AJ14" s="19"/>
      <c r="AK14" s="29">
        <f t="shared" si="8"/>
        <v>3678.4</v>
      </c>
      <c r="AL14" s="29">
        <f t="shared" si="9"/>
        <v>4761.6000000000004</v>
      </c>
      <c r="AM14" s="19"/>
      <c r="AN14" s="29">
        <f t="shared" si="10"/>
        <v>0.52783819051761627</v>
      </c>
      <c r="AO14" s="29">
        <f t="shared" si="11"/>
        <v>0.40776209677419351</v>
      </c>
      <c r="AP14" s="19"/>
      <c r="AQ14" s="29">
        <f t="shared" si="12"/>
        <v>0.15985210961287516</v>
      </c>
      <c r="AR14" s="29">
        <f t="shared" si="13"/>
        <v>0.28427419354838707</v>
      </c>
      <c r="AS14" s="30"/>
      <c r="AT14" s="18">
        <f t="shared" si="14"/>
        <v>0.23004739336492891</v>
      </c>
      <c r="AU14" s="35"/>
      <c r="AV14" s="9"/>
      <c r="AW14" s="9"/>
      <c r="AX14" s="45">
        <v>2010</v>
      </c>
      <c r="AY14" s="46">
        <v>0.28999999999999998</v>
      </c>
      <c r="AZ14" s="46"/>
      <c r="BA14" s="46">
        <v>2010</v>
      </c>
      <c r="BB14" s="47">
        <v>0.28999999999999998</v>
      </c>
    </row>
    <row r="15" spans="2:54" x14ac:dyDescent="0.25">
      <c r="B15" s="56"/>
      <c r="C15" s="56"/>
      <c r="D15" s="56"/>
      <c r="E15" s="64"/>
      <c r="F15" s="16" t="s">
        <v>18</v>
      </c>
      <c r="G15" s="17"/>
      <c r="H15" s="18">
        <v>14.1</v>
      </c>
      <c r="I15" s="18">
        <v>48</v>
      </c>
      <c r="J15" s="18"/>
      <c r="K15" s="18"/>
      <c r="L15" s="18"/>
      <c r="M15" s="18"/>
      <c r="N15" s="18">
        <f t="shared" si="2"/>
        <v>1353.6</v>
      </c>
      <c r="O15" s="17"/>
      <c r="P15" s="18">
        <v>1.4</v>
      </c>
      <c r="Q15" s="18">
        <v>210</v>
      </c>
      <c r="R15" s="18"/>
      <c r="S15" s="18"/>
      <c r="T15" s="18">
        <f t="shared" si="3"/>
        <v>588</v>
      </c>
      <c r="U15" s="17"/>
      <c r="V15" s="16">
        <v>2012</v>
      </c>
      <c r="W15" s="16">
        <f t="shared" si="4"/>
        <v>1941.6</v>
      </c>
      <c r="X15" s="17"/>
      <c r="Y15" s="18">
        <v>840</v>
      </c>
      <c r="Z15" s="19"/>
      <c r="AA15" s="18">
        <f t="shared" si="5"/>
        <v>2.3114285714285714</v>
      </c>
      <c r="AB15" s="19"/>
      <c r="AC15" s="18">
        <f t="shared" si="0"/>
        <v>66.991564500955747</v>
      </c>
      <c r="AD15" s="19"/>
      <c r="AE15" s="18">
        <v>224</v>
      </c>
      <c r="AF15" s="18">
        <v>176</v>
      </c>
      <c r="AG15" s="19"/>
      <c r="AH15" s="18">
        <f t="shared" si="6"/>
        <v>176</v>
      </c>
      <c r="AI15" s="18">
        <f t="shared" si="7"/>
        <v>372</v>
      </c>
      <c r="AJ15" s="19"/>
      <c r="AK15" s="29">
        <f t="shared" si="8"/>
        <v>3942.4</v>
      </c>
      <c r="AL15" s="29">
        <f t="shared" si="9"/>
        <v>6547.2</v>
      </c>
      <c r="AM15" s="19"/>
      <c r="AN15" s="29">
        <f t="shared" si="10"/>
        <v>0.49249188311688308</v>
      </c>
      <c r="AO15" s="29">
        <f t="shared" si="11"/>
        <v>0.2965542521994135</v>
      </c>
      <c r="AP15" s="19"/>
      <c r="AQ15" s="29">
        <f t="shared" si="12"/>
        <v>0.14914772727272727</v>
      </c>
      <c r="AR15" s="29">
        <f t="shared" si="13"/>
        <v>0.2067448680351906</v>
      </c>
      <c r="AS15" s="30"/>
      <c r="AT15" s="18">
        <f t="shared" si="14"/>
        <v>0.18509762050030504</v>
      </c>
      <c r="AU15" s="35"/>
      <c r="AX15">
        <v>2006</v>
      </c>
      <c r="AY15">
        <v>0.23</v>
      </c>
      <c r="BA15">
        <v>2006</v>
      </c>
      <c r="BB15">
        <v>0.23</v>
      </c>
    </row>
    <row r="16" spans="2:54" x14ac:dyDescent="0.25">
      <c r="B16" s="56"/>
      <c r="C16" s="56"/>
      <c r="D16" s="56"/>
      <c r="E16" s="64"/>
      <c r="F16" s="16" t="s">
        <v>19</v>
      </c>
      <c r="G16" s="17"/>
      <c r="H16" s="18">
        <v>14.1</v>
      </c>
      <c r="I16" s="18">
        <v>48</v>
      </c>
      <c r="J16" s="18"/>
      <c r="K16" s="18"/>
      <c r="L16" s="18"/>
      <c r="M16" s="18"/>
      <c r="N16" s="18">
        <f t="shared" si="2"/>
        <v>1353.6</v>
      </c>
      <c r="O16" s="17"/>
      <c r="P16" s="18">
        <v>1.4</v>
      </c>
      <c r="Q16" s="18">
        <v>210</v>
      </c>
      <c r="R16" s="18"/>
      <c r="S16" s="18"/>
      <c r="T16" s="18">
        <f t="shared" si="3"/>
        <v>588</v>
      </c>
      <c r="U16" s="17"/>
      <c r="V16" s="16">
        <v>2012</v>
      </c>
      <c r="W16" s="16">
        <f t="shared" si="4"/>
        <v>1941.6</v>
      </c>
      <c r="X16" s="17"/>
      <c r="Y16" s="18">
        <v>952</v>
      </c>
      <c r="Z16" s="19"/>
      <c r="AA16" s="18">
        <f t="shared" si="5"/>
        <v>2.0394957983193276</v>
      </c>
      <c r="AB16" s="19"/>
      <c r="AC16" s="18">
        <f t="shared" si="0"/>
        <v>62.92761748244412</v>
      </c>
      <c r="AD16" s="19"/>
      <c r="AE16" s="18">
        <v>224</v>
      </c>
      <c r="AF16" s="18">
        <v>176</v>
      </c>
      <c r="AG16" s="19"/>
      <c r="AH16" s="18">
        <f t="shared" si="6"/>
        <v>176</v>
      </c>
      <c r="AI16" s="18">
        <f t="shared" si="7"/>
        <v>372</v>
      </c>
      <c r="AJ16" s="19"/>
      <c r="AK16" s="29">
        <f t="shared" si="8"/>
        <v>3942.4</v>
      </c>
      <c r="AL16" s="29">
        <f t="shared" si="9"/>
        <v>6547.2</v>
      </c>
      <c r="AM16" s="19"/>
      <c r="AN16" s="29">
        <f t="shared" si="10"/>
        <v>0.49249188311688308</v>
      </c>
      <c r="AO16" s="29">
        <f t="shared" si="11"/>
        <v>0.2965542521994135</v>
      </c>
      <c r="AP16" s="19"/>
      <c r="AQ16" s="29">
        <f t="shared" si="12"/>
        <v>0.14914772727272727</v>
      </c>
      <c r="AR16" s="29">
        <f t="shared" si="13"/>
        <v>0.2067448680351906</v>
      </c>
      <c r="AS16" s="30"/>
      <c r="AT16" s="18">
        <f t="shared" si="14"/>
        <v>0.18509762050030504</v>
      </c>
      <c r="AU16" s="35"/>
      <c r="AX16">
        <v>2006</v>
      </c>
      <c r="AY16">
        <v>0.23</v>
      </c>
      <c r="BA16">
        <v>2006</v>
      </c>
      <c r="BB16">
        <v>0.24</v>
      </c>
    </row>
    <row r="17" spans="2:54" x14ac:dyDescent="0.25">
      <c r="B17" s="56"/>
      <c r="C17" s="56"/>
      <c r="D17" s="56"/>
      <c r="E17" s="64"/>
      <c r="F17" s="16" t="s">
        <v>20</v>
      </c>
      <c r="G17" s="17"/>
      <c r="H17" s="53">
        <v>14.1</v>
      </c>
      <c r="I17" s="53">
        <v>66</v>
      </c>
      <c r="J17" s="18"/>
      <c r="K17" s="18"/>
      <c r="L17" s="18"/>
      <c r="M17" s="18"/>
      <c r="N17" s="53">
        <f t="shared" si="2"/>
        <v>1861.2</v>
      </c>
      <c r="O17" s="17"/>
      <c r="P17" s="18">
        <v>1.4</v>
      </c>
      <c r="Q17" s="18">
        <v>150</v>
      </c>
      <c r="R17" s="18"/>
      <c r="S17" s="18"/>
      <c r="T17" s="18">
        <f t="shared" si="3"/>
        <v>420</v>
      </c>
      <c r="U17" s="17"/>
      <c r="V17" s="16">
        <v>2012</v>
      </c>
      <c r="W17" s="16">
        <f t="shared" si="4"/>
        <v>2281.1999999999998</v>
      </c>
      <c r="X17" s="17"/>
      <c r="Y17" s="18">
        <v>490</v>
      </c>
      <c r="Z17" s="19"/>
      <c r="AA17" s="18">
        <f t="shared" si="5"/>
        <v>4.6555102040816321</v>
      </c>
      <c r="AB17" s="19"/>
      <c r="AC17" s="18">
        <f t="shared" si="0"/>
        <v>103.05411140537295</v>
      </c>
      <c r="AD17" s="19"/>
      <c r="AE17" s="18">
        <v>196</v>
      </c>
      <c r="AF17" s="53">
        <v>133</v>
      </c>
      <c r="AG17" s="19"/>
      <c r="AH17" s="18">
        <f t="shared" si="6"/>
        <v>176</v>
      </c>
      <c r="AI17" s="53">
        <f t="shared" si="7"/>
        <v>372</v>
      </c>
      <c r="AJ17" s="19"/>
      <c r="AK17" s="29">
        <f t="shared" si="8"/>
        <v>3449.6</v>
      </c>
      <c r="AL17" s="52">
        <f t="shared" si="9"/>
        <v>4947.6000000000004</v>
      </c>
      <c r="AM17" s="19"/>
      <c r="AN17" s="29">
        <f t="shared" si="10"/>
        <v>0.66129406307977734</v>
      </c>
      <c r="AO17" s="29">
        <f t="shared" si="11"/>
        <v>0.46107203492602467</v>
      </c>
      <c r="AP17" s="19"/>
      <c r="AQ17" s="29">
        <f t="shared" si="12"/>
        <v>0.12175324675324675</v>
      </c>
      <c r="AR17" s="52">
        <f t="shared" si="13"/>
        <v>0.37618239146252724</v>
      </c>
      <c r="AS17" s="30"/>
      <c r="AT17" s="18">
        <f t="shared" si="14"/>
        <v>0.27166198256561708</v>
      </c>
      <c r="AU17" s="35"/>
      <c r="AX17">
        <v>2006</v>
      </c>
      <c r="AY17">
        <v>0.23</v>
      </c>
      <c r="BA17">
        <v>2006</v>
      </c>
      <c r="BB17">
        <v>0.22500000000000001</v>
      </c>
    </row>
    <row r="18" spans="2:54" x14ac:dyDescent="0.25">
      <c r="B18" s="56"/>
      <c r="C18" s="56"/>
      <c r="D18" s="56"/>
      <c r="E18" s="64"/>
      <c r="F18" s="16" t="s">
        <v>21</v>
      </c>
      <c r="G18" s="17"/>
      <c r="H18" s="53">
        <v>14.1</v>
      </c>
      <c r="I18" s="53">
        <v>66</v>
      </c>
      <c r="J18" s="18"/>
      <c r="K18" s="18"/>
      <c r="L18" s="18"/>
      <c r="M18" s="18"/>
      <c r="N18" s="53">
        <f t="shared" si="2"/>
        <v>1861.2</v>
      </c>
      <c r="O18" s="17"/>
      <c r="P18" s="18">
        <v>1.4</v>
      </c>
      <c r="Q18" s="18">
        <v>150</v>
      </c>
      <c r="R18" s="18"/>
      <c r="S18" s="18"/>
      <c r="T18" s="18">
        <f t="shared" si="3"/>
        <v>420</v>
      </c>
      <c r="U18" s="17"/>
      <c r="V18" s="16">
        <v>2012</v>
      </c>
      <c r="W18" s="16">
        <f t="shared" si="4"/>
        <v>2281.1999999999998</v>
      </c>
      <c r="X18" s="17"/>
      <c r="Y18" s="18">
        <v>597</v>
      </c>
      <c r="Z18" s="19"/>
      <c r="AA18" s="18">
        <f t="shared" si="5"/>
        <v>3.8211055276381907</v>
      </c>
      <c r="AB18" s="19"/>
      <c r="AC18" s="18">
        <f t="shared" si="0"/>
        <v>93.36330076453082</v>
      </c>
      <c r="AD18" s="19"/>
      <c r="AE18" s="18">
        <v>196</v>
      </c>
      <c r="AF18" s="53">
        <v>133</v>
      </c>
      <c r="AG18" s="19"/>
      <c r="AH18" s="18">
        <f t="shared" si="6"/>
        <v>176</v>
      </c>
      <c r="AI18" s="53">
        <f t="shared" si="7"/>
        <v>372</v>
      </c>
      <c r="AJ18" s="19"/>
      <c r="AK18" s="29">
        <f t="shared" si="8"/>
        <v>3449.6</v>
      </c>
      <c r="AL18" s="52">
        <f t="shared" si="9"/>
        <v>4947.6000000000004</v>
      </c>
      <c r="AM18" s="19"/>
      <c r="AN18" s="29">
        <f t="shared" si="10"/>
        <v>0.66129406307977734</v>
      </c>
      <c r="AO18" s="29">
        <f t="shared" si="11"/>
        <v>0.46107203492602467</v>
      </c>
      <c r="AP18" s="19"/>
      <c r="AQ18" s="29">
        <f t="shared" si="12"/>
        <v>0.12175324675324675</v>
      </c>
      <c r="AR18" s="52">
        <f t="shared" si="13"/>
        <v>0.37618239146252724</v>
      </c>
      <c r="AS18" s="30"/>
      <c r="AT18" s="18">
        <f t="shared" si="14"/>
        <v>0.27166198256561708</v>
      </c>
      <c r="AU18" s="35"/>
      <c r="AX18" s="40">
        <v>2004</v>
      </c>
      <c r="AY18" s="41">
        <v>0.22</v>
      </c>
      <c r="AZ18" s="41"/>
      <c r="BA18" s="41">
        <v>2004</v>
      </c>
      <c r="BB18" s="42">
        <v>0.22</v>
      </c>
    </row>
    <row r="19" spans="2:54" x14ac:dyDescent="0.25">
      <c r="B19" s="56"/>
      <c r="C19" s="56"/>
      <c r="D19" s="56"/>
      <c r="E19" s="64"/>
      <c r="F19" s="16" t="s">
        <v>22</v>
      </c>
      <c r="G19" s="17"/>
      <c r="H19" s="53">
        <v>14.1</v>
      </c>
      <c r="I19" s="53">
        <v>66</v>
      </c>
      <c r="J19" s="18"/>
      <c r="K19" s="18"/>
      <c r="L19" s="18"/>
      <c r="M19" s="18"/>
      <c r="N19" s="53">
        <f t="shared" si="2"/>
        <v>1861.2</v>
      </c>
      <c r="O19" s="17"/>
      <c r="P19" s="18">
        <v>1.4</v>
      </c>
      <c r="Q19" s="18">
        <v>150</v>
      </c>
      <c r="R19" s="18"/>
      <c r="S19" s="18"/>
      <c r="T19" s="18">
        <f t="shared" si="3"/>
        <v>420</v>
      </c>
      <c r="U19" s="17"/>
      <c r="V19" s="16">
        <v>2012</v>
      </c>
      <c r="W19" s="16">
        <f t="shared" si="4"/>
        <v>2281.1999999999998</v>
      </c>
      <c r="X19" s="17"/>
      <c r="Y19" s="18">
        <v>840</v>
      </c>
      <c r="Z19" s="19"/>
      <c r="AA19" s="18">
        <f t="shared" si="5"/>
        <v>2.7157142857142853</v>
      </c>
      <c r="AB19" s="19"/>
      <c r="AC19" s="18">
        <f t="shared" si="0"/>
        <v>78.708877698588921</v>
      </c>
      <c r="AD19" s="19"/>
      <c r="AE19" s="18">
        <v>224</v>
      </c>
      <c r="AF19" s="53">
        <v>176</v>
      </c>
      <c r="AG19" s="19"/>
      <c r="AH19" s="18">
        <f t="shared" si="6"/>
        <v>176</v>
      </c>
      <c r="AI19" s="53">
        <f t="shared" si="7"/>
        <v>372</v>
      </c>
      <c r="AJ19" s="19"/>
      <c r="AK19" s="29">
        <f t="shared" si="8"/>
        <v>3942.4</v>
      </c>
      <c r="AL19" s="52">
        <f t="shared" si="9"/>
        <v>6547.2</v>
      </c>
      <c r="AM19" s="19"/>
      <c r="AN19" s="29">
        <f t="shared" si="10"/>
        <v>0.57863230519480513</v>
      </c>
      <c r="AO19" s="29">
        <f t="shared" si="11"/>
        <v>0.34842375366568912</v>
      </c>
      <c r="AP19" s="19"/>
      <c r="AQ19" s="29">
        <f t="shared" si="12"/>
        <v>0.10653409090909091</v>
      </c>
      <c r="AR19" s="52">
        <f t="shared" si="13"/>
        <v>0.28427419354838712</v>
      </c>
      <c r="AS19" s="30"/>
      <c r="AT19" s="18">
        <f t="shared" si="14"/>
        <v>0.21747254423428919</v>
      </c>
      <c r="AU19" s="35"/>
      <c r="AX19" s="43">
        <v>2004</v>
      </c>
      <c r="AY19" s="12">
        <v>0.21</v>
      </c>
      <c r="AZ19" s="12"/>
      <c r="BA19" s="12">
        <v>2004</v>
      </c>
      <c r="BB19" s="44">
        <v>0.21</v>
      </c>
    </row>
    <row r="20" spans="2:54" x14ac:dyDescent="0.25">
      <c r="B20" s="56"/>
      <c r="C20" s="56"/>
      <c r="D20" s="56"/>
      <c r="E20" s="64"/>
      <c r="F20" s="16" t="s">
        <v>23</v>
      </c>
      <c r="G20" s="17"/>
      <c r="H20" s="18">
        <v>14.1</v>
      </c>
      <c r="I20" s="18">
        <v>66</v>
      </c>
      <c r="J20" s="18"/>
      <c r="K20" s="18"/>
      <c r="L20" s="18"/>
      <c r="M20" s="18"/>
      <c r="N20" s="18">
        <f t="shared" si="2"/>
        <v>1861.2</v>
      </c>
      <c r="O20" s="17"/>
      <c r="P20" s="18">
        <v>1.4</v>
      </c>
      <c r="Q20" s="18">
        <v>150</v>
      </c>
      <c r="R20" s="18"/>
      <c r="S20" s="18"/>
      <c r="T20" s="18">
        <f t="shared" si="3"/>
        <v>420</v>
      </c>
      <c r="U20" s="17"/>
      <c r="V20" s="16">
        <v>2012</v>
      </c>
      <c r="W20" s="16">
        <f t="shared" si="4"/>
        <v>2281.1999999999998</v>
      </c>
      <c r="X20" s="17"/>
      <c r="Y20" s="18">
        <v>952</v>
      </c>
      <c r="Z20" s="19"/>
      <c r="AA20" s="18">
        <f t="shared" si="5"/>
        <v>2.3962184873949579</v>
      </c>
      <c r="AB20" s="19"/>
      <c r="AC20" s="18">
        <f t="shared" si="0"/>
        <v>73.934116708359866</v>
      </c>
      <c r="AD20" s="19"/>
      <c r="AE20" s="18">
        <v>224</v>
      </c>
      <c r="AF20" s="18">
        <v>176</v>
      </c>
      <c r="AG20" s="19"/>
      <c r="AH20" s="18">
        <f t="shared" si="6"/>
        <v>176</v>
      </c>
      <c r="AI20" s="18">
        <f t="shared" si="7"/>
        <v>372</v>
      </c>
      <c r="AJ20" s="19"/>
      <c r="AK20" s="29">
        <f t="shared" si="8"/>
        <v>3942.4</v>
      </c>
      <c r="AL20" s="29">
        <f t="shared" si="9"/>
        <v>6547.2</v>
      </c>
      <c r="AM20" s="19"/>
      <c r="AN20" s="29">
        <f t="shared" si="10"/>
        <v>0.57863230519480513</v>
      </c>
      <c r="AO20" s="29">
        <f t="shared" si="11"/>
        <v>0.34842375366568912</v>
      </c>
      <c r="AP20" s="19"/>
      <c r="AQ20" s="29">
        <f t="shared" si="12"/>
        <v>0.10653409090909091</v>
      </c>
      <c r="AR20" s="29">
        <f t="shared" si="13"/>
        <v>0.28427419354838712</v>
      </c>
      <c r="AS20" s="30"/>
      <c r="AT20" s="18">
        <f t="shared" si="14"/>
        <v>0.21747254423428919</v>
      </c>
      <c r="AU20" s="35"/>
      <c r="AX20" s="45">
        <v>2004</v>
      </c>
      <c r="AY20" s="46">
        <v>0.17</v>
      </c>
      <c r="AZ20" s="46"/>
      <c r="BA20" s="46">
        <v>2004</v>
      </c>
      <c r="BB20" s="47">
        <v>0.17</v>
      </c>
    </row>
    <row r="21" spans="2:54" x14ac:dyDescent="0.25">
      <c r="B21" s="56"/>
      <c r="C21" s="56"/>
      <c r="D21" s="56"/>
      <c r="E21" s="56" t="s">
        <v>9</v>
      </c>
      <c r="F21" s="2" t="s">
        <v>24</v>
      </c>
      <c r="H21" s="8">
        <v>14.1</v>
      </c>
      <c r="I21" s="8">
        <v>24</v>
      </c>
      <c r="J21" s="8"/>
      <c r="K21" s="8"/>
      <c r="L21" s="8"/>
      <c r="M21" s="8"/>
      <c r="N21" s="8">
        <f t="shared" si="2"/>
        <v>676.8</v>
      </c>
      <c r="P21" s="8">
        <v>1.4</v>
      </c>
      <c r="Q21" s="8">
        <v>108</v>
      </c>
      <c r="R21" s="8"/>
      <c r="S21" s="8"/>
      <c r="T21" s="8">
        <f t="shared" si="3"/>
        <v>302.39999999999998</v>
      </c>
      <c r="V21" s="3">
        <v>2012</v>
      </c>
      <c r="W21" s="3">
        <f t="shared" si="4"/>
        <v>979.19999999999993</v>
      </c>
      <c r="Y21" s="8">
        <v>236</v>
      </c>
      <c r="Z21" s="12"/>
      <c r="AA21" s="8">
        <f t="shared" si="5"/>
        <v>4.1491525423728808</v>
      </c>
      <c r="AB21" s="12"/>
      <c r="AC21" s="8">
        <f t="shared" si="0"/>
        <v>63.740490816211363</v>
      </c>
      <c r="AD21" s="12"/>
      <c r="AE21" s="8"/>
      <c r="AF21" s="8"/>
      <c r="AG21" s="12"/>
      <c r="AH21" s="8"/>
      <c r="AI21" s="8"/>
      <c r="AJ21" s="24"/>
      <c r="AK21" s="28"/>
      <c r="AL21" s="28"/>
      <c r="AM21" s="24"/>
      <c r="AN21" s="28"/>
      <c r="AO21" s="28"/>
      <c r="AP21" s="24"/>
      <c r="AQ21" s="28"/>
      <c r="AR21" s="28"/>
      <c r="AS21" s="35"/>
      <c r="AT21" s="8"/>
      <c r="AU21" s="35"/>
    </row>
    <row r="22" spans="2:54" x14ac:dyDescent="0.25">
      <c r="B22" s="56"/>
      <c r="C22" s="56"/>
      <c r="D22" s="56"/>
      <c r="E22" s="56"/>
      <c r="F22" s="2" t="s">
        <v>25</v>
      </c>
      <c r="H22" s="8">
        <v>14.1</v>
      </c>
      <c r="I22" s="8">
        <v>36</v>
      </c>
      <c r="J22" s="8"/>
      <c r="K22" s="8"/>
      <c r="L22" s="8"/>
      <c r="M22" s="8"/>
      <c r="N22" s="8">
        <f t="shared" si="2"/>
        <v>1015.1999999999999</v>
      </c>
      <c r="P22" s="8">
        <v>1.4</v>
      </c>
      <c r="Q22" s="8">
        <v>174</v>
      </c>
      <c r="R22" s="8"/>
      <c r="S22" s="8"/>
      <c r="T22" s="8">
        <f t="shared" si="3"/>
        <v>487.2</v>
      </c>
      <c r="V22" s="3">
        <v>2012</v>
      </c>
      <c r="W22" s="3">
        <f t="shared" si="4"/>
        <v>1502.3999999999999</v>
      </c>
      <c r="Y22" s="8">
        <v>360</v>
      </c>
      <c r="Z22" s="12"/>
      <c r="AA22" s="8">
        <f t="shared" si="5"/>
        <v>4.1733333333333329</v>
      </c>
      <c r="AB22" s="12"/>
      <c r="AC22" s="8">
        <f t="shared" si="0"/>
        <v>79.183432610616208</v>
      </c>
      <c r="AD22" s="12"/>
      <c r="AE22" s="8"/>
      <c r="AF22" s="8"/>
      <c r="AG22" s="12"/>
      <c r="AH22" s="8"/>
      <c r="AI22" s="8"/>
      <c r="AJ22" s="24"/>
      <c r="AK22" s="28"/>
      <c r="AL22" s="28"/>
      <c r="AM22" s="24"/>
      <c r="AN22" s="28"/>
      <c r="AO22" s="28"/>
      <c r="AP22" s="24"/>
      <c r="AQ22" s="28"/>
      <c r="AR22" s="28"/>
      <c r="AS22" s="35"/>
      <c r="AT22" s="8"/>
      <c r="AU22" s="35"/>
    </row>
    <row r="23" spans="2:54" x14ac:dyDescent="0.25">
      <c r="B23" s="56"/>
      <c r="C23" s="56"/>
      <c r="D23" s="56"/>
      <c r="E23" s="56"/>
      <c r="F23" s="2" t="s">
        <v>26</v>
      </c>
      <c r="H23" s="8">
        <v>14.1</v>
      </c>
      <c r="I23" s="8">
        <v>36</v>
      </c>
      <c r="J23" s="8"/>
      <c r="K23" s="8"/>
      <c r="L23" s="8"/>
      <c r="M23" s="8"/>
      <c r="N23" s="8">
        <f t="shared" si="2"/>
        <v>1015.1999999999999</v>
      </c>
      <c r="P23" s="8">
        <v>1.4</v>
      </c>
      <c r="Q23" s="8">
        <v>174</v>
      </c>
      <c r="R23" s="8"/>
      <c r="S23" s="8"/>
      <c r="T23" s="8">
        <f t="shared" si="3"/>
        <v>487.2</v>
      </c>
      <c r="V23" s="3">
        <v>2012</v>
      </c>
      <c r="W23" s="3">
        <f t="shared" si="4"/>
        <v>1502.3999999999999</v>
      </c>
      <c r="Y23" s="8">
        <v>457</v>
      </c>
      <c r="Z23" s="12"/>
      <c r="AA23" s="8">
        <f t="shared" si="5"/>
        <v>3.2875273522975927</v>
      </c>
      <c r="AB23" s="12"/>
      <c r="AC23" s="8">
        <f t="shared" si="0"/>
        <v>70.279307723482191</v>
      </c>
      <c r="AD23" s="12"/>
      <c r="AE23" s="8"/>
      <c r="AF23" s="8"/>
      <c r="AG23" s="12"/>
      <c r="AH23" s="8"/>
      <c r="AI23" s="8"/>
      <c r="AJ23" s="24"/>
      <c r="AK23" s="28"/>
      <c r="AL23" s="28"/>
      <c r="AM23" s="24"/>
      <c r="AN23" s="28"/>
      <c r="AO23" s="28"/>
      <c r="AP23" s="24"/>
      <c r="AQ23" s="28"/>
      <c r="AR23" s="28"/>
      <c r="AS23" s="35"/>
      <c r="AT23" s="8"/>
      <c r="AU23" s="35"/>
    </row>
    <row r="24" spans="2:54" x14ac:dyDescent="0.25">
      <c r="B24" s="56"/>
      <c r="C24" s="56"/>
      <c r="D24" s="56"/>
      <c r="E24" s="56"/>
      <c r="F24" s="2" t="s">
        <v>27</v>
      </c>
      <c r="H24" s="8">
        <v>14.1</v>
      </c>
      <c r="I24" s="8">
        <v>48</v>
      </c>
      <c r="J24" s="8"/>
      <c r="K24" s="8"/>
      <c r="L24" s="8"/>
      <c r="M24" s="8"/>
      <c r="N24" s="8">
        <f t="shared" si="2"/>
        <v>1353.6</v>
      </c>
      <c r="P24" s="8">
        <v>1.4</v>
      </c>
      <c r="Q24" s="8">
        <v>210</v>
      </c>
      <c r="R24" s="8"/>
      <c r="S24" s="8"/>
      <c r="T24" s="8">
        <f t="shared" si="3"/>
        <v>588</v>
      </c>
      <c r="V24" s="3">
        <v>2012</v>
      </c>
      <c r="W24" s="3">
        <f t="shared" si="4"/>
        <v>1941.6</v>
      </c>
      <c r="Y24" s="8">
        <v>583</v>
      </c>
      <c r="Z24" s="12"/>
      <c r="AA24" s="8">
        <f t="shared" si="5"/>
        <v>3.3303602058319037</v>
      </c>
      <c r="AB24" s="12"/>
      <c r="AC24" s="8">
        <f t="shared" si="0"/>
        <v>80.412855785895474</v>
      </c>
      <c r="AD24" s="12"/>
      <c r="AE24" s="8"/>
      <c r="AF24" s="8"/>
      <c r="AG24" s="12"/>
      <c r="AH24" s="8"/>
      <c r="AI24" s="8"/>
      <c r="AJ24" s="24"/>
      <c r="AK24" s="28"/>
      <c r="AL24" s="28"/>
      <c r="AM24" s="24"/>
      <c r="AN24" s="28"/>
      <c r="AO24" s="28"/>
      <c r="AP24" s="24"/>
      <c r="AQ24" s="28"/>
      <c r="AR24" s="28"/>
      <c r="AS24" s="35"/>
      <c r="AT24" s="8"/>
      <c r="AU24" s="35"/>
    </row>
    <row r="25" spans="2:54" x14ac:dyDescent="0.25">
      <c r="B25" s="56"/>
      <c r="C25" s="56"/>
      <c r="D25" s="56"/>
      <c r="E25" s="56"/>
      <c r="F25" s="2" t="s">
        <v>28</v>
      </c>
      <c r="H25" s="8">
        <v>14.1</v>
      </c>
      <c r="I25" s="8">
        <v>48</v>
      </c>
      <c r="J25" s="8"/>
      <c r="K25" s="8"/>
      <c r="L25" s="8"/>
      <c r="M25" s="8"/>
      <c r="N25" s="8">
        <f t="shared" si="2"/>
        <v>1353.6</v>
      </c>
      <c r="P25" s="8">
        <v>1.4</v>
      </c>
      <c r="Q25" s="8">
        <v>210</v>
      </c>
      <c r="R25" s="8"/>
      <c r="S25" s="8"/>
      <c r="T25" s="8">
        <f t="shared" si="3"/>
        <v>588</v>
      </c>
      <c r="V25" s="3">
        <v>2012</v>
      </c>
      <c r="W25" s="3">
        <f t="shared" si="4"/>
        <v>1941.6</v>
      </c>
      <c r="Y25" s="8">
        <v>695</v>
      </c>
      <c r="Z25" s="12"/>
      <c r="AA25" s="8">
        <f t="shared" si="5"/>
        <v>2.7936690647482014</v>
      </c>
      <c r="AB25" s="12"/>
      <c r="AC25" s="8">
        <f t="shared" si="0"/>
        <v>73.64908591500037</v>
      </c>
      <c r="AD25" s="12"/>
      <c r="AE25" s="8"/>
      <c r="AF25" s="8"/>
      <c r="AG25" s="12"/>
      <c r="AH25" s="8"/>
      <c r="AI25" s="8"/>
      <c r="AJ25" s="24"/>
      <c r="AK25" s="28"/>
      <c r="AL25" s="28"/>
      <c r="AM25" s="24"/>
      <c r="AN25" s="28"/>
      <c r="AO25" s="28"/>
      <c r="AP25" s="24"/>
      <c r="AQ25" s="28"/>
      <c r="AR25" s="28"/>
      <c r="AS25" s="35"/>
      <c r="AT25" s="8"/>
      <c r="AU25" s="35"/>
    </row>
    <row r="26" spans="2:54" x14ac:dyDescent="0.25">
      <c r="B26" s="56"/>
      <c r="C26" s="56"/>
      <c r="D26" s="56"/>
      <c r="E26" s="56" t="s">
        <v>10</v>
      </c>
      <c r="F26" s="2" t="s">
        <v>29</v>
      </c>
      <c r="H26" s="8"/>
      <c r="I26" s="8"/>
      <c r="J26" s="8"/>
      <c r="K26" s="8"/>
      <c r="L26" s="8"/>
      <c r="M26" s="8"/>
      <c r="N26" s="8">
        <f t="shared" si="2"/>
        <v>0</v>
      </c>
      <c r="P26" s="8">
        <v>1.4</v>
      </c>
      <c r="Q26" s="8">
        <v>210</v>
      </c>
      <c r="R26" s="8"/>
      <c r="S26" s="8"/>
      <c r="T26" s="8">
        <f t="shared" si="3"/>
        <v>588</v>
      </c>
      <c r="V26" s="3">
        <v>2012</v>
      </c>
      <c r="W26" s="3">
        <f t="shared" si="4"/>
        <v>588</v>
      </c>
      <c r="Y26" s="8">
        <v>840</v>
      </c>
      <c r="Z26" s="12"/>
      <c r="AA26" s="8">
        <f t="shared" si="5"/>
        <v>0.7</v>
      </c>
      <c r="AB26" s="12"/>
      <c r="AC26" s="8">
        <f t="shared" si="0"/>
        <v>20.287927444665215</v>
      </c>
      <c r="AD26" s="12"/>
      <c r="AE26" s="8"/>
      <c r="AF26" s="8"/>
      <c r="AG26" s="12"/>
      <c r="AH26" s="8"/>
      <c r="AI26" s="8"/>
      <c r="AJ26" s="24"/>
      <c r="AK26" s="28"/>
      <c r="AL26" s="28"/>
      <c r="AM26" s="24"/>
      <c r="AN26" s="28"/>
      <c r="AO26" s="28"/>
      <c r="AP26" s="24"/>
      <c r="AQ26" s="28"/>
      <c r="AR26" s="28"/>
      <c r="AS26" s="35"/>
      <c r="AT26" s="8"/>
      <c r="AU26" s="35"/>
      <c r="AX26" s="9"/>
    </row>
    <row r="27" spans="2:54" x14ac:dyDescent="0.25">
      <c r="B27" s="56"/>
      <c r="C27" s="56"/>
      <c r="D27" s="56"/>
      <c r="E27" s="56"/>
      <c r="F27" s="2" t="s">
        <v>30</v>
      </c>
      <c r="H27" s="8"/>
      <c r="I27" s="8"/>
      <c r="J27" s="8"/>
      <c r="K27" s="8"/>
      <c r="L27" s="8"/>
      <c r="M27" s="8"/>
      <c r="N27" s="8">
        <f t="shared" si="2"/>
        <v>0</v>
      </c>
      <c r="P27" s="8">
        <v>1.4</v>
      </c>
      <c r="Q27" s="8">
        <v>210</v>
      </c>
      <c r="R27" s="8"/>
      <c r="S27" s="8"/>
      <c r="T27" s="8">
        <f t="shared" si="3"/>
        <v>588</v>
      </c>
      <c r="V27" s="3">
        <v>2012</v>
      </c>
      <c r="W27" s="3">
        <f t="shared" si="4"/>
        <v>588</v>
      </c>
      <c r="Y27" s="8">
        <v>952</v>
      </c>
      <c r="Z27" s="12"/>
      <c r="AA27" s="8">
        <f t="shared" si="5"/>
        <v>0.61764705882352944</v>
      </c>
      <c r="AB27" s="12"/>
      <c r="AC27" s="8">
        <f t="shared" si="0"/>
        <v>19.057189472433635</v>
      </c>
      <c r="AD27" s="12"/>
      <c r="AE27" s="8"/>
      <c r="AF27" s="8"/>
      <c r="AG27" s="12"/>
      <c r="AH27" s="8"/>
      <c r="AI27" s="8"/>
      <c r="AJ27" s="24"/>
      <c r="AK27" s="28"/>
      <c r="AL27" s="28"/>
      <c r="AM27" s="24"/>
      <c r="AN27" s="28"/>
      <c r="AO27" s="28"/>
      <c r="AP27" s="24"/>
      <c r="AQ27" s="28"/>
      <c r="AR27" s="28"/>
      <c r="AS27" s="35"/>
      <c r="AT27" s="8"/>
      <c r="AU27" s="35"/>
    </row>
    <row r="28" spans="2:54" s="9" customFormat="1" ht="7.5" customHeight="1" x14ac:dyDescent="0.25">
      <c r="M28" s="10"/>
      <c r="N28" s="10"/>
      <c r="O28" s="10"/>
      <c r="P28" s="10"/>
      <c r="S28" s="10"/>
      <c r="T28" s="10"/>
      <c r="U28" s="10"/>
      <c r="V28" s="1"/>
      <c r="W28" s="1"/>
      <c r="AC28"/>
      <c r="AD28"/>
      <c r="AE28"/>
      <c r="AF28"/>
      <c r="AG28"/>
      <c r="AH28"/>
      <c r="AI28"/>
      <c r="AJ28" s="20"/>
      <c r="AK28" s="25"/>
      <c r="AL28" s="25"/>
      <c r="AM28" s="20"/>
      <c r="AN28" s="25"/>
      <c r="AO28" s="25"/>
      <c r="AP28" s="20"/>
      <c r="AQ28" s="25"/>
      <c r="AR28" s="25"/>
      <c r="AS28" s="31"/>
      <c r="AT28"/>
      <c r="AU28" s="31"/>
      <c r="AX28"/>
    </row>
    <row r="29" spans="2:54" x14ac:dyDescent="0.25">
      <c r="B29" s="56" t="s">
        <v>1</v>
      </c>
      <c r="C29" s="56">
        <v>40</v>
      </c>
      <c r="D29" s="56">
        <v>2010</v>
      </c>
      <c r="E29" s="56" t="s">
        <v>7</v>
      </c>
      <c r="F29" s="2" t="s">
        <v>31</v>
      </c>
      <c r="H29" s="8">
        <v>11.3</v>
      </c>
      <c r="I29" s="8">
        <v>12</v>
      </c>
      <c r="J29" s="8">
        <v>8.5</v>
      </c>
      <c r="K29" s="8">
        <v>12</v>
      </c>
      <c r="L29" s="8">
        <v>6.5</v>
      </c>
      <c r="M29" s="8">
        <v>12</v>
      </c>
      <c r="N29" s="8">
        <f t="shared" si="2"/>
        <v>631.20000000000005</v>
      </c>
      <c r="P29" s="8">
        <v>1.6</v>
      </c>
      <c r="Q29" s="8">
        <f>46</f>
        <v>46</v>
      </c>
      <c r="R29" s="8">
        <v>1.1000000000000001</v>
      </c>
      <c r="S29" s="8">
        <v>192</v>
      </c>
      <c r="T29" s="8">
        <f t="shared" si="3"/>
        <v>569.6</v>
      </c>
      <c r="V29" s="3">
        <v>2010</v>
      </c>
      <c r="W29" s="3">
        <f t="shared" si="4"/>
        <v>1200.8000000000002</v>
      </c>
      <c r="Y29" s="8">
        <v>228</v>
      </c>
      <c r="Z29" s="12"/>
      <c r="AA29" s="8">
        <f t="shared" si="5"/>
        <v>5.2666666666666675</v>
      </c>
      <c r="AB29" s="12"/>
      <c r="AC29" s="8">
        <f t="shared" ref="AC29:AC45" si="15">W29/SQRT(Y29)</f>
        <v>79.524922718185238</v>
      </c>
      <c r="AD29" s="12"/>
      <c r="AE29" s="8">
        <v>118</v>
      </c>
      <c r="AF29" s="8">
        <v>95</v>
      </c>
      <c r="AG29" s="12"/>
      <c r="AH29" s="8">
        <v>184</v>
      </c>
      <c r="AI29" s="8">
        <v>312</v>
      </c>
      <c r="AJ29" s="24"/>
      <c r="AK29" s="38">
        <f t="shared" ref="AK29:AK34" si="16">AE29*AH29*0.5*$M$3/1000000000</f>
        <v>1784.16</v>
      </c>
      <c r="AL29" s="38">
        <f t="shared" ref="AL29:AL34" si="17">AF29*AI29*0.5*$M$3/1000000000</f>
        <v>2435.6347826086958</v>
      </c>
      <c r="AM29" s="24"/>
      <c r="AN29" s="38">
        <f t="shared" ref="AN29:AN34" si="18">W29/AK29</f>
        <v>0.673033808627029</v>
      </c>
      <c r="AO29" s="38">
        <f t="shared" ref="AO29:AO34" si="19">W29/AL29</f>
        <v>0.4930131596798264</v>
      </c>
      <c r="AP29" s="24"/>
      <c r="AQ29" s="38">
        <f t="shared" ref="AQ29:AQ34" si="20">T29/AK29</f>
        <v>0.31925387857591248</v>
      </c>
      <c r="AR29" s="38">
        <f t="shared" ref="AR29:AR34" si="21">N29/AL29</f>
        <v>0.25915215388899598</v>
      </c>
      <c r="AS29" s="35"/>
      <c r="AT29" s="39">
        <f t="shared" ref="AT29:AT34" si="22">W29/(AK29+AL29)</f>
        <v>0.28456360127960068</v>
      </c>
      <c r="AU29" s="35"/>
      <c r="AX29" t="s">
        <v>98</v>
      </c>
    </row>
    <row r="30" spans="2:54" x14ac:dyDescent="0.25">
      <c r="B30" s="56"/>
      <c r="C30" s="56"/>
      <c r="D30" s="56"/>
      <c r="E30" s="56"/>
      <c r="F30" s="2" t="s">
        <v>32</v>
      </c>
      <c r="H30" s="8">
        <v>11.3</v>
      </c>
      <c r="I30" s="8">
        <v>12</v>
      </c>
      <c r="J30" s="8">
        <v>8.5</v>
      </c>
      <c r="K30" s="8">
        <v>12</v>
      </c>
      <c r="L30" s="8">
        <v>6.5</v>
      </c>
      <c r="M30" s="8">
        <v>12</v>
      </c>
      <c r="N30" s="8">
        <f t="shared" si="2"/>
        <v>631.20000000000005</v>
      </c>
      <c r="P30" s="8">
        <v>1.6</v>
      </c>
      <c r="Q30" s="8">
        <f>46</f>
        <v>46</v>
      </c>
      <c r="R30" s="8">
        <v>1.1000000000000001</v>
      </c>
      <c r="S30" s="8">
        <v>256</v>
      </c>
      <c r="T30" s="8">
        <f t="shared" si="3"/>
        <v>710.40000000000009</v>
      </c>
      <c r="V30" s="3">
        <v>2010</v>
      </c>
      <c r="W30" s="3">
        <f t="shared" si="4"/>
        <v>1341.6000000000001</v>
      </c>
      <c r="Y30" s="8">
        <v>531</v>
      </c>
      <c r="Z30" s="12"/>
      <c r="AA30" s="8">
        <f t="shared" si="5"/>
        <v>2.5265536723163846</v>
      </c>
      <c r="AB30" s="12"/>
      <c r="AC30" s="8">
        <f t="shared" si="15"/>
        <v>58.220480990624438</v>
      </c>
      <c r="AD30" s="12"/>
      <c r="AE30" s="8">
        <v>184</v>
      </c>
      <c r="AF30" s="8">
        <v>128</v>
      </c>
      <c r="AG30" s="12"/>
      <c r="AH30" s="8">
        <v>184</v>
      </c>
      <c r="AI30" s="8">
        <v>312</v>
      </c>
      <c r="AJ30" s="24"/>
      <c r="AK30" s="38">
        <f t="shared" si="16"/>
        <v>2782.08</v>
      </c>
      <c r="AL30" s="38">
        <f t="shared" si="17"/>
        <v>3281.697391304348</v>
      </c>
      <c r="AM30" s="24"/>
      <c r="AN30" s="38">
        <f t="shared" si="18"/>
        <v>0.48222912353347142</v>
      </c>
      <c r="AO30" s="38">
        <f t="shared" si="19"/>
        <v>0.4088128306878307</v>
      </c>
      <c r="AP30" s="24"/>
      <c r="AQ30" s="38">
        <f t="shared" si="20"/>
        <v>0.25534851621808147</v>
      </c>
      <c r="AR30" s="38">
        <f t="shared" si="21"/>
        <v>0.19233948921448921</v>
      </c>
      <c r="AS30" s="35"/>
      <c r="AT30" s="39">
        <f t="shared" si="22"/>
        <v>0.22124822753617207</v>
      </c>
      <c r="AU30" s="35"/>
      <c r="AX30" t="s">
        <v>99</v>
      </c>
      <c r="AY30" t="s">
        <v>100</v>
      </c>
    </row>
    <row r="31" spans="2:54" x14ac:dyDescent="0.25">
      <c r="B31" s="56"/>
      <c r="C31" s="56"/>
      <c r="D31" s="56"/>
      <c r="E31" s="56"/>
      <c r="F31" s="2" t="s">
        <v>34</v>
      </c>
      <c r="H31" s="8">
        <v>11.3</v>
      </c>
      <c r="I31" s="8">
        <v>24</v>
      </c>
      <c r="J31" s="8">
        <v>8.5</v>
      </c>
      <c r="K31" s="8">
        <v>0</v>
      </c>
      <c r="L31" s="8">
        <v>6.5</v>
      </c>
      <c r="M31" s="8">
        <v>12</v>
      </c>
      <c r="N31" s="8">
        <f t="shared" si="2"/>
        <v>698.40000000000009</v>
      </c>
      <c r="P31" s="8">
        <v>1.6</v>
      </c>
      <c r="Q31" s="8">
        <f>46</f>
        <v>46</v>
      </c>
      <c r="R31" s="8">
        <v>1.1000000000000001</v>
      </c>
      <c r="S31" s="8">
        <v>192</v>
      </c>
      <c r="T31" s="8">
        <f t="shared" si="3"/>
        <v>569.6</v>
      </c>
      <c r="V31" s="3">
        <v>2010</v>
      </c>
      <c r="W31" s="3">
        <f t="shared" si="4"/>
        <v>1268</v>
      </c>
      <c r="Y31" s="8">
        <v>228</v>
      </c>
      <c r="Z31" s="12"/>
      <c r="AA31" s="8">
        <f t="shared" si="5"/>
        <v>5.5614035087719298</v>
      </c>
      <c r="AB31" s="12"/>
      <c r="AC31" s="8">
        <f t="shared" si="15"/>
        <v>83.975351437923777</v>
      </c>
      <c r="AD31" s="12"/>
      <c r="AE31" s="8">
        <v>118</v>
      </c>
      <c r="AF31" s="8">
        <v>95</v>
      </c>
      <c r="AG31" s="12"/>
      <c r="AH31" s="8">
        <v>184</v>
      </c>
      <c r="AI31" s="8">
        <v>312</v>
      </c>
      <c r="AJ31" s="24"/>
      <c r="AK31" s="38">
        <f t="shared" si="16"/>
        <v>1784.16</v>
      </c>
      <c r="AL31" s="38">
        <f t="shared" si="17"/>
        <v>2435.6347826086958</v>
      </c>
      <c r="AM31" s="24"/>
      <c r="AN31" s="38">
        <f t="shared" si="18"/>
        <v>0.71069859205452424</v>
      </c>
      <c r="AO31" s="38">
        <f t="shared" si="19"/>
        <v>0.52060350305964342</v>
      </c>
      <c r="AP31" s="24"/>
      <c r="AQ31" s="38">
        <f t="shared" si="20"/>
        <v>0.31925387857591248</v>
      </c>
      <c r="AR31" s="38">
        <f t="shared" si="21"/>
        <v>0.28674249726881307</v>
      </c>
      <c r="AS31" s="35"/>
      <c r="AT31" s="39">
        <f t="shared" si="22"/>
        <v>0.30048854632123057</v>
      </c>
      <c r="AU31" s="35"/>
      <c r="AW31">
        <v>2012</v>
      </c>
      <c r="AX31">
        <f>AVERAGE(H17:H19)</f>
        <v>14.1</v>
      </c>
      <c r="AY31">
        <f>AVERAGE(I17:I19)</f>
        <v>66</v>
      </c>
      <c r="BA31">
        <f t="shared" ref="BA31:BA37" si="23">AX31*AY31</f>
        <v>930.6</v>
      </c>
    </row>
    <row r="32" spans="2:54" x14ac:dyDescent="0.25">
      <c r="B32" s="56"/>
      <c r="C32" s="56"/>
      <c r="D32" s="56"/>
      <c r="E32" s="56"/>
      <c r="F32" s="2" t="s">
        <v>33</v>
      </c>
      <c r="H32" s="8">
        <v>11.3</v>
      </c>
      <c r="I32" s="8">
        <v>24</v>
      </c>
      <c r="J32" s="8">
        <v>8.5</v>
      </c>
      <c r="K32" s="8">
        <v>8</v>
      </c>
      <c r="L32" s="8">
        <v>6.5</v>
      </c>
      <c r="M32" s="8">
        <v>16</v>
      </c>
      <c r="N32" s="8">
        <f t="shared" si="2"/>
        <v>886.40000000000009</v>
      </c>
      <c r="P32" s="8">
        <v>1.6</v>
      </c>
      <c r="Q32" s="8">
        <f>46</f>
        <v>46</v>
      </c>
      <c r="R32" s="8">
        <v>1.1000000000000001</v>
      </c>
      <c r="S32" s="8">
        <v>256</v>
      </c>
      <c r="T32" s="8">
        <f t="shared" si="3"/>
        <v>710.40000000000009</v>
      </c>
      <c r="V32" s="3">
        <v>2010</v>
      </c>
      <c r="W32" s="3">
        <f t="shared" si="4"/>
        <v>1596.8000000000002</v>
      </c>
      <c r="Z32" s="12"/>
      <c r="AA32" s="8">
        <f>W32/X58</f>
        <v>5.4872852233676985</v>
      </c>
      <c r="AB32" s="12"/>
      <c r="AC32" s="8">
        <f>W32/SQRT(X58)</f>
        <v>93.606073759524506</v>
      </c>
      <c r="AD32" s="12"/>
      <c r="AE32" s="8">
        <v>184</v>
      </c>
      <c r="AF32" s="8">
        <v>128</v>
      </c>
      <c r="AG32" s="12"/>
      <c r="AH32" s="8">
        <v>184</v>
      </c>
      <c r="AI32" s="8">
        <v>312</v>
      </c>
      <c r="AJ32" s="24"/>
      <c r="AK32" s="38">
        <f t="shared" si="16"/>
        <v>2782.08</v>
      </c>
      <c r="AL32" s="38">
        <f t="shared" si="17"/>
        <v>3281.697391304348</v>
      </c>
      <c r="AM32" s="24"/>
      <c r="AN32" s="38">
        <f t="shared" si="18"/>
        <v>0.57395905221992183</v>
      </c>
      <c r="AO32" s="38">
        <f t="shared" si="19"/>
        <v>0.48657746574413246</v>
      </c>
      <c r="AP32" s="24"/>
      <c r="AQ32" s="38">
        <f t="shared" si="20"/>
        <v>0.25534851621808147</v>
      </c>
      <c r="AR32" s="38">
        <f t="shared" si="21"/>
        <v>0.27010412427079095</v>
      </c>
      <c r="AS32" s="35"/>
      <c r="AT32" s="39">
        <f t="shared" si="22"/>
        <v>0.26333420522492512</v>
      </c>
      <c r="AU32" s="35"/>
      <c r="AW32">
        <v>2004</v>
      </c>
      <c r="AX32">
        <f>AVERAGE(H63:H65)</f>
        <v>3.1875</v>
      </c>
      <c r="AY32">
        <f>AVERAGE(I63:I65)</f>
        <v>14.666666666666666</v>
      </c>
      <c r="BA32">
        <f t="shared" si="23"/>
        <v>46.75</v>
      </c>
      <c r="BB32">
        <f>BA31/BA32</f>
        <v>19.905882352941177</v>
      </c>
    </row>
    <row r="33" spans="2:54" x14ac:dyDescent="0.25">
      <c r="B33" s="56"/>
      <c r="C33" s="56"/>
      <c r="D33" s="56"/>
      <c r="E33" s="56"/>
      <c r="F33" s="2" t="s">
        <v>35</v>
      </c>
      <c r="H33" s="8">
        <v>11.3</v>
      </c>
      <c r="I33" s="8">
        <v>24</v>
      </c>
      <c r="J33" s="8">
        <v>8.5</v>
      </c>
      <c r="K33" s="8">
        <v>8</v>
      </c>
      <c r="L33" s="8">
        <v>6.5</v>
      </c>
      <c r="M33" s="8">
        <v>16</v>
      </c>
      <c r="N33" s="8">
        <f t="shared" si="2"/>
        <v>886.40000000000009</v>
      </c>
      <c r="P33" s="8">
        <v>1.6</v>
      </c>
      <c r="Q33" s="8">
        <f>46</f>
        <v>46</v>
      </c>
      <c r="R33" s="8">
        <v>1.1000000000000001</v>
      </c>
      <c r="S33" s="8">
        <v>256</v>
      </c>
      <c r="T33" s="8">
        <f t="shared" si="3"/>
        <v>710.40000000000009</v>
      </c>
      <c r="V33" s="3">
        <v>2010</v>
      </c>
      <c r="W33" s="3">
        <f t="shared" si="4"/>
        <v>1596.8000000000002</v>
      </c>
      <c r="Y33" s="8">
        <v>354</v>
      </c>
      <c r="Z33" s="12"/>
      <c r="AA33" s="8">
        <f t="shared" si="5"/>
        <v>4.5107344632768367</v>
      </c>
      <c r="AB33" s="12"/>
      <c r="AC33" s="8">
        <f t="shared" si="15"/>
        <v>84.868962471332551</v>
      </c>
      <c r="AD33" s="12"/>
      <c r="AE33" s="8">
        <v>184</v>
      </c>
      <c r="AF33" s="8">
        <v>128</v>
      </c>
      <c r="AG33" s="12"/>
      <c r="AH33" s="8">
        <v>184</v>
      </c>
      <c r="AI33" s="8">
        <v>312</v>
      </c>
      <c r="AJ33" s="24"/>
      <c r="AK33" s="38">
        <f t="shared" si="16"/>
        <v>2782.08</v>
      </c>
      <c r="AL33" s="38">
        <f t="shared" si="17"/>
        <v>3281.697391304348</v>
      </c>
      <c r="AM33" s="24"/>
      <c r="AN33" s="38">
        <f t="shared" si="18"/>
        <v>0.57395905221992183</v>
      </c>
      <c r="AO33" s="38">
        <f t="shared" si="19"/>
        <v>0.48657746574413246</v>
      </c>
      <c r="AP33" s="24"/>
      <c r="AQ33" s="38">
        <f t="shared" si="20"/>
        <v>0.25534851621808147</v>
      </c>
      <c r="AR33" s="38">
        <f t="shared" si="21"/>
        <v>0.27010412427079095</v>
      </c>
      <c r="AS33" s="35"/>
      <c r="AT33" s="39">
        <f t="shared" si="22"/>
        <v>0.26333420522492512</v>
      </c>
      <c r="AU33" s="35"/>
      <c r="AX33">
        <f>AX31/AX32</f>
        <v>4.4235294117647062</v>
      </c>
      <c r="AY33">
        <f>AY31/AY32</f>
        <v>4.5</v>
      </c>
    </row>
    <row r="34" spans="2:54" x14ac:dyDescent="0.25">
      <c r="B34" s="56"/>
      <c r="C34" s="56"/>
      <c r="D34" s="56"/>
      <c r="E34" s="56"/>
      <c r="F34" s="2" t="s">
        <v>36</v>
      </c>
      <c r="H34" s="8">
        <v>11.3</v>
      </c>
      <c r="I34" s="8">
        <v>32</v>
      </c>
      <c r="J34" s="8">
        <v>8.5</v>
      </c>
      <c r="K34" s="8">
        <v>0</v>
      </c>
      <c r="L34" s="8">
        <v>6.5</v>
      </c>
      <c r="M34" s="8">
        <v>16</v>
      </c>
      <c r="N34" s="8">
        <f t="shared" si="2"/>
        <v>931.2</v>
      </c>
      <c r="P34" s="8">
        <v>1.6</v>
      </c>
      <c r="Q34" s="8">
        <f>46</f>
        <v>46</v>
      </c>
      <c r="R34" s="8">
        <v>1.1000000000000001</v>
      </c>
      <c r="S34" s="8">
        <v>256</v>
      </c>
      <c r="T34" s="8">
        <f t="shared" si="3"/>
        <v>710.40000000000009</v>
      </c>
      <c r="V34" s="3">
        <v>2010</v>
      </c>
      <c r="W34" s="3">
        <f t="shared" si="4"/>
        <v>1641.6000000000001</v>
      </c>
      <c r="Y34" s="8">
        <v>531</v>
      </c>
      <c r="Z34" s="12"/>
      <c r="AA34" s="8">
        <f t="shared" si="5"/>
        <v>3.0915254237288137</v>
      </c>
      <c r="AB34" s="12"/>
      <c r="AC34" s="8">
        <f t="shared" si="15"/>
        <v>71.239372088706816</v>
      </c>
      <c r="AD34" s="12"/>
      <c r="AE34" s="8">
        <v>184</v>
      </c>
      <c r="AF34" s="8">
        <v>128</v>
      </c>
      <c r="AG34" s="12"/>
      <c r="AH34" s="8">
        <v>184</v>
      </c>
      <c r="AI34" s="8">
        <v>312</v>
      </c>
      <c r="AJ34" s="24"/>
      <c r="AK34" s="38">
        <f t="shared" si="16"/>
        <v>2782.08</v>
      </c>
      <c r="AL34" s="38">
        <f t="shared" si="17"/>
        <v>3281.697391304348</v>
      </c>
      <c r="AM34" s="24"/>
      <c r="AN34" s="38">
        <f t="shared" si="18"/>
        <v>0.59006211180124235</v>
      </c>
      <c r="AO34" s="38">
        <f t="shared" si="19"/>
        <v>0.50022893772893773</v>
      </c>
      <c r="AP34" s="24"/>
      <c r="AQ34" s="38">
        <f t="shared" si="20"/>
        <v>0.25534851621808147</v>
      </c>
      <c r="AR34" s="38">
        <f t="shared" si="21"/>
        <v>0.28375559625559627</v>
      </c>
      <c r="AS34" s="35"/>
      <c r="AT34" s="39">
        <f t="shared" si="22"/>
        <v>0.27072233923925165</v>
      </c>
      <c r="AU34" s="35"/>
    </row>
    <row r="35" spans="2:54" x14ac:dyDescent="0.25">
      <c r="B35" s="56"/>
      <c r="C35" s="56"/>
      <c r="D35" s="56"/>
      <c r="E35" s="64" t="s">
        <v>8</v>
      </c>
      <c r="F35" s="16" t="s">
        <v>37</v>
      </c>
      <c r="G35" s="17"/>
      <c r="H35" s="18">
        <v>8.5</v>
      </c>
      <c r="I35" s="18">
        <v>16</v>
      </c>
      <c r="J35" s="18">
        <v>6.5</v>
      </c>
      <c r="K35" s="18">
        <v>8</v>
      </c>
      <c r="L35" s="18"/>
      <c r="M35" s="18"/>
      <c r="N35" s="18">
        <f t="shared" si="2"/>
        <v>376</v>
      </c>
      <c r="O35" s="17"/>
      <c r="P35" s="18">
        <v>1.6</v>
      </c>
      <c r="Q35" s="18">
        <f>56</f>
        <v>56</v>
      </c>
      <c r="R35" s="18">
        <v>1.1000000000000001</v>
      </c>
      <c r="S35" s="18">
        <v>128</v>
      </c>
      <c r="T35" s="18">
        <f t="shared" si="3"/>
        <v>460.80000000000007</v>
      </c>
      <c r="U35" s="17"/>
      <c r="V35" s="16">
        <v>2010</v>
      </c>
      <c r="W35" s="16">
        <f t="shared" si="4"/>
        <v>836.80000000000007</v>
      </c>
      <c r="X35" s="17"/>
      <c r="Y35" s="18">
        <v>73</v>
      </c>
      <c r="Z35" s="19"/>
      <c r="AA35" s="18">
        <f t="shared" si="5"/>
        <v>11.463013698630139</v>
      </c>
      <c r="AB35" s="19"/>
      <c r="AC35" s="18">
        <f t="shared" si="15"/>
        <v>97.940031973722071</v>
      </c>
      <c r="AD35" s="19"/>
      <c r="AE35" s="18">
        <v>80</v>
      </c>
      <c r="AF35" s="18">
        <v>66</v>
      </c>
      <c r="AG35" s="19"/>
      <c r="AH35" s="18">
        <f>160+24</f>
        <v>184</v>
      </c>
      <c r="AI35" s="18">
        <f>272+40</f>
        <v>312</v>
      </c>
      <c r="AJ35" s="19"/>
      <c r="AK35" s="29">
        <f>AE35*AH35*0.5*$M$3/1000000000</f>
        <v>1209.5999999999999</v>
      </c>
      <c r="AL35" s="29">
        <f>AF35*AI35*0.5*$M$3/1000000000</f>
        <v>1692.1252173913044</v>
      </c>
      <c r="AM35" s="19"/>
      <c r="AN35" s="29">
        <f>W35/AK35</f>
        <v>0.69179894179894186</v>
      </c>
      <c r="AO35" s="29">
        <f>W35/AL35</f>
        <v>0.49452605008160566</v>
      </c>
      <c r="AP35" s="19"/>
      <c r="AQ35" s="29">
        <f>T35/AK35</f>
        <v>0.38095238095238104</v>
      </c>
      <c r="AR35" s="29">
        <f>N35/AL35</f>
        <v>0.2222057777613333</v>
      </c>
      <c r="AS35" s="30"/>
      <c r="AT35" s="18">
        <f>W35/(AK35+AL35)</f>
        <v>0.28838016604215067</v>
      </c>
      <c r="AU35" s="35"/>
      <c r="AX35" t="s">
        <v>101</v>
      </c>
    </row>
    <row r="36" spans="2:54" x14ac:dyDescent="0.25">
      <c r="B36" s="56"/>
      <c r="C36" s="56"/>
      <c r="D36" s="56"/>
      <c r="E36" s="64"/>
      <c r="F36" s="16" t="s">
        <v>38</v>
      </c>
      <c r="G36" s="17"/>
      <c r="H36" s="18">
        <v>8.5</v>
      </c>
      <c r="I36" s="18">
        <v>16</v>
      </c>
      <c r="J36" s="18">
        <v>6.5</v>
      </c>
      <c r="K36" s="18">
        <v>8</v>
      </c>
      <c r="L36" s="18"/>
      <c r="M36" s="18"/>
      <c r="N36" s="18">
        <f t="shared" si="2"/>
        <v>376</v>
      </c>
      <c r="O36" s="17"/>
      <c r="P36" s="18">
        <v>1.6</v>
      </c>
      <c r="Q36" s="18">
        <f>56</f>
        <v>56</v>
      </c>
      <c r="R36" s="18">
        <v>1.1000000000000001</v>
      </c>
      <c r="S36" s="18">
        <v>128</v>
      </c>
      <c r="T36" s="18">
        <f t="shared" si="3"/>
        <v>460.80000000000007</v>
      </c>
      <c r="U36" s="17"/>
      <c r="V36" s="16">
        <v>2010</v>
      </c>
      <c r="W36" s="16">
        <f t="shared" si="4"/>
        <v>836.80000000000007</v>
      </c>
      <c r="X36" s="17"/>
      <c r="Y36" s="18">
        <v>106</v>
      </c>
      <c r="Z36" s="19"/>
      <c r="AA36" s="18">
        <f t="shared" si="5"/>
        <v>7.8943396226415103</v>
      </c>
      <c r="AB36" s="19"/>
      <c r="AC36" s="18">
        <f t="shared" si="15"/>
        <v>81.277200962055872</v>
      </c>
      <c r="AD36" s="19"/>
      <c r="AE36" s="18">
        <v>80</v>
      </c>
      <c r="AF36" s="18">
        <v>66</v>
      </c>
      <c r="AG36" s="19"/>
      <c r="AH36" s="18">
        <f t="shared" ref="AH36:AH41" si="24">160+24</f>
        <v>184</v>
      </c>
      <c r="AI36" s="18">
        <f t="shared" ref="AI36:AI41" si="25">272+40</f>
        <v>312</v>
      </c>
      <c r="AJ36" s="19"/>
      <c r="AK36" s="29">
        <f t="shared" ref="AK36:AK41" si="26">AE36*AH36*0.5*$M$3/1000000000</f>
        <v>1209.5999999999999</v>
      </c>
      <c r="AL36" s="29">
        <f t="shared" ref="AL36:AL41" si="27">AF36*AI36*0.5*$M$3/1000000000</f>
        <v>1692.1252173913044</v>
      </c>
      <c r="AM36" s="19"/>
      <c r="AN36" s="29">
        <f t="shared" ref="AN36:AN41" si="28">W36/AK36</f>
        <v>0.69179894179894186</v>
      </c>
      <c r="AO36" s="29">
        <f t="shared" ref="AO36:AO41" si="29">W36/AL36</f>
        <v>0.49452605008160566</v>
      </c>
      <c r="AP36" s="19"/>
      <c r="AQ36" s="29">
        <f t="shared" ref="AQ36:AQ41" si="30">T36/AK36</f>
        <v>0.38095238095238104</v>
      </c>
      <c r="AR36" s="29">
        <f t="shared" ref="AR36:AR41" si="31">N36/AL36</f>
        <v>0.2222057777613333</v>
      </c>
      <c r="AS36" s="30"/>
      <c r="AT36" s="18">
        <f t="shared" ref="AT36:AT41" si="32">W36/(AK36+AL36)</f>
        <v>0.28838016604215067</v>
      </c>
      <c r="AU36" s="35"/>
      <c r="AX36" t="s">
        <v>99</v>
      </c>
      <c r="AY36" t="s">
        <v>100</v>
      </c>
    </row>
    <row r="37" spans="2:54" x14ac:dyDescent="0.25">
      <c r="B37" s="56"/>
      <c r="C37" s="56"/>
      <c r="D37" s="56"/>
      <c r="E37" s="64"/>
      <c r="F37" s="16" t="s">
        <v>39</v>
      </c>
      <c r="G37" s="17"/>
      <c r="H37" s="18">
        <v>8.5</v>
      </c>
      <c r="I37" s="18">
        <v>24</v>
      </c>
      <c r="J37" s="18">
        <v>6.5</v>
      </c>
      <c r="K37" s="18">
        <v>12</v>
      </c>
      <c r="L37" s="18"/>
      <c r="M37" s="18"/>
      <c r="N37" s="18">
        <f t="shared" si="2"/>
        <v>564</v>
      </c>
      <c r="O37" s="17"/>
      <c r="P37" s="18">
        <v>1.6</v>
      </c>
      <c r="Q37" s="18">
        <f>56</f>
        <v>56</v>
      </c>
      <c r="R37" s="18">
        <v>1.1000000000000001</v>
      </c>
      <c r="S37" s="18">
        <v>192</v>
      </c>
      <c r="T37" s="18">
        <f t="shared" si="3"/>
        <v>601.6</v>
      </c>
      <c r="U37" s="17"/>
      <c r="V37" s="16">
        <v>2010</v>
      </c>
      <c r="W37" s="16">
        <f t="shared" si="4"/>
        <v>1165.5999999999999</v>
      </c>
      <c r="X37" s="17"/>
      <c r="Y37" s="18">
        <v>176</v>
      </c>
      <c r="Z37" s="19"/>
      <c r="AA37" s="18">
        <f t="shared" si="5"/>
        <v>6.6227272727272721</v>
      </c>
      <c r="AB37" s="19"/>
      <c r="AC37" s="18">
        <f t="shared" si="15"/>
        <v>87.860405809960312</v>
      </c>
      <c r="AD37" s="19"/>
      <c r="AE37" s="18">
        <v>118</v>
      </c>
      <c r="AF37" s="18">
        <v>95</v>
      </c>
      <c r="AG37" s="19"/>
      <c r="AH37" s="18">
        <f t="shared" si="24"/>
        <v>184</v>
      </c>
      <c r="AI37" s="18">
        <f t="shared" si="25"/>
        <v>312</v>
      </c>
      <c r="AJ37" s="19"/>
      <c r="AK37" s="29">
        <f t="shared" si="26"/>
        <v>1784.16</v>
      </c>
      <c r="AL37" s="29">
        <f t="shared" si="27"/>
        <v>2435.6347826086958</v>
      </c>
      <c r="AM37" s="19"/>
      <c r="AN37" s="29">
        <f t="shared" si="28"/>
        <v>0.65330463635548375</v>
      </c>
      <c r="AO37" s="29">
        <f t="shared" si="29"/>
        <v>0.47856107505230305</v>
      </c>
      <c r="AP37" s="19"/>
      <c r="AQ37" s="29">
        <f t="shared" si="30"/>
        <v>0.33718948973186263</v>
      </c>
      <c r="AR37" s="29">
        <f t="shared" si="31"/>
        <v>0.23156181050917893</v>
      </c>
      <c r="AS37" s="30"/>
      <c r="AT37" s="18">
        <f t="shared" si="32"/>
        <v>0.27622196340065164</v>
      </c>
      <c r="AU37" s="35"/>
      <c r="AW37">
        <v>2012</v>
      </c>
      <c r="AX37">
        <v>200</v>
      </c>
      <c r="AY37">
        <f>AVERAGE(AF17:AF19)*AVERAGE(AI17:AI19)</f>
        <v>54808</v>
      </c>
      <c r="BA37">
        <f t="shared" si="23"/>
        <v>10961600</v>
      </c>
    </row>
    <row r="38" spans="2:54" x14ac:dyDescent="0.25">
      <c r="B38" s="56"/>
      <c r="C38" s="56"/>
      <c r="D38" s="56"/>
      <c r="E38" s="64"/>
      <c r="F38" s="16" t="s">
        <v>40</v>
      </c>
      <c r="G38" s="17"/>
      <c r="H38" s="18">
        <v>8.5</v>
      </c>
      <c r="I38" s="18">
        <v>24</v>
      </c>
      <c r="J38" s="18">
        <v>6.5</v>
      </c>
      <c r="K38" s="18">
        <v>12</v>
      </c>
      <c r="L38" s="18"/>
      <c r="M38" s="18"/>
      <c r="N38" s="18">
        <f t="shared" si="2"/>
        <v>564</v>
      </c>
      <c r="O38" s="17"/>
      <c r="P38" s="18">
        <v>1.6</v>
      </c>
      <c r="Q38" s="18">
        <f>88</f>
        <v>88</v>
      </c>
      <c r="R38" s="18">
        <v>1.1000000000000001</v>
      </c>
      <c r="S38" s="18">
        <v>192</v>
      </c>
      <c r="T38" s="18">
        <f t="shared" si="3"/>
        <v>704</v>
      </c>
      <c r="U38" s="17"/>
      <c r="V38" s="16">
        <v>2010</v>
      </c>
      <c r="W38" s="16">
        <f t="shared" si="4"/>
        <v>1268</v>
      </c>
      <c r="X38" s="17"/>
      <c r="Y38" s="18">
        <v>228</v>
      </c>
      <c r="Z38" s="19"/>
      <c r="AA38" s="18">
        <f t="shared" si="5"/>
        <v>5.5614035087719298</v>
      </c>
      <c r="AB38" s="19"/>
      <c r="AC38" s="18">
        <f t="shared" si="15"/>
        <v>83.975351437923777</v>
      </c>
      <c r="AD38" s="19"/>
      <c r="AE38" s="18">
        <v>118</v>
      </c>
      <c r="AF38" s="18">
        <v>95</v>
      </c>
      <c r="AG38" s="19"/>
      <c r="AH38" s="18">
        <f t="shared" si="24"/>
        <v>184</v>
      </c>
      <c r="AI38" s="18">
        <f t="shared" si="25"/>
        <v>312</v>
      </c>
      <c r="AJ38" s="19"/>
      <c r="AK38" s="29">
        <f t="shared" si="26"/>
        <v>1784.16</v>
      </c>
      <c r="AL38" s="29">
        <f t="shared" si="27"/>
        <v>2435.6347826086958</v>
      </c>
      <c r="AM38" s="19"/>
      <c r="AN38" s="29">
        <f t="shared" si="28"/>
        <v>0.71069859205452424</v>
      </c>
      <c r="AO38" s="29">
        <f t="shared" si="29"/>
        <v>0.52060350305964342</v>
      </c>
      <c r="AP38" s="19"/>
      <c r="AQ38" s="29">
        <f t="shared" si="30"/>
        <v>0.39458344543090301</v>
      </c>
      <c r="AR38" s="29">
        <f t="shared" si="31"/>
        <v>0.23156181050917893</v>
      </c>
      <c r="AS38" s="30"/>
      <c r="AT38" s="18">
        <f t="shared" si="32"/>
        <v>0.30048854632123057</v>
      </c>
      <c r="AU38" s="35"/>
      <c r="AW38">
        <v>2004</v>
      </c>
      <c r="AX38" s="51">
        <f>J3/1000000</f>
        <v>86.956521739130437</v>
      </c>
      <c r="AY38">
        <f>AVERAGE(AF63:AF65)*AVERAGE(AI63:AI65)</f>
        <v>10594.666666666666</v>
      </c>
      <c r="BA38">
        <f>AX38*AY38</f>
        <v>921275.36231884058</v>
      </c>
      <c r="BB38">
        <f>BA37/BA38</f>
        <v>11.898288447017368</v>
      </c>
    </row>
    <row r="39" spans="2:54" x14ac:dyDescent="0.25">
      <c r="B39" s="56"/>
      <c r="C39" s="56"/>
      <c r="D39" s="56"/>
      <c r="E39" s="64"/>
      <c r="F39" s="16" t="s">
        <v>41</v>
      </c>
      <c r="G39" s="17"/>
      <c r="H39" s="18">
        <v>8.5</v>
      </c>
      <c r="I39" s="18">
        <v>32</v>
      </c>
      <c r="J39" s="18">
        <v>6.5</v>
      </c>
      <c r="K39" s="18">
        <v>16</v>
      </c>
      <c r="L39" s="18"/>
      <c r="M39" s="18"/>
      <c r="N39" s="18">
        <f t="shared" si="2"/>
        <v>752</v>
      </c>
      <c r="O39" s="17"/>
      <c r="P39" s="18">
        <v>1.6</v>
      </c>
      <c r="Q39" s="18">
        <f>98</f>
        <v>98</v>
      </c>
      <c r="R39" s="18">
        <v>1.1000000000000001</v>
      </c>
      <c r="S39" s="18">
        <v>256</v>
      </c>
      <c r="T39" s="18">
        <f t="shared" si="3"/>
        <v>876.80000000000007</v>
      </c>
      <c r="U39" s="17"/>
      <c r="V39" s="16">
        <v>2010</v>
      </c>
      <c r="W39" s="16">
        <f t="shared" si="4"/>
        <v>1628.8000000000002</v>
      </c>
      <c r="X39" s="17"/>
      <c r="Y39" s="18">
        <v>291</v>
      </c>
      <c r="Z39" s="19"/>
      <c r="AA39" s="18">
        <f t="shared" si="5"/>
        <v>5.5972508591065298</v>
      </c>
      <c r="AB39" s="19"/>
      <c r="AC39" s="18">
        <f t="shared" si="15"/>
        <v>95.481946981158274</v>
      </c>
      <c r="AD39" s="19"/>
      <c r="AE39" s="18">
        <v>184</v>
      </c>
      <c r="AF39" s="18">
        <v>128</v>
      </c>
      <c r="AG39" s="19"/>
      <c r="AH39" s="18">
        <f t="shared" si="24"/>
        <v>184</v>
      </c>
      <c r="AI39" s="18">
        <f t="shared" si="25"/>
        <v>312</v>
      </c>
      <c r="AJ39" s="19"/>
      <c r="AK39" s="29">
        <f t="shared" si="26"/>
        <v>2782.08</v>
      </c>
      <c r="AL39" s="29">
        <f t="shared" si="27"/>
        <v>3281.697391304348</v>
      </c>
      <c r="AM39" s="19"/>
      <c r="AN39" s="29">
        <f t="shared" si="28"/>
        <v>0.58546123763515079</v>
      </c>
      <c r="AO39" s="29">
        <f t="shared" si="29"/>
        <v>0.4963285171618505</v>
      </c>
      <c r="AP39" s="19"/>
      <c r="AQ39" s="29">
        <f t="shared" si="30"/>
        <v>0.31515988037727172</v>
      </c>
      <c r="AR39" s="29">
        <f t="shared" si="31"/>
        <v>0.22914970831637496</v>
      </c>
      <c r="AS39" s="30"/>
      <c r="AT39" s="18">
        <f t="shared" si="32"/>
        <v>0.26861144380658697</v>
      </c>
      <c r="AU39" s="35"/>
      <c r="AX39">
        <f>AX37/AX38</f>
        <v>2.2999999999999998</v>
      </c>
      <c r="AY39">
        <f>AY37/AY38</f>
        <v>5.1731688900075516</v>
      </c>
    </row>
    <row r="40" spans="2:54" x14ac:dyDescent="0.25">
      <c r="B40" s="56"/>
      <c r="C40" s="56"/>
      <c r="D40" s="56"/>
      <c r="E40" s="64"/>
      <c r="F40" s="16" t="s">
        <v>42</v>
      </c>
      <c r="G40" s="17"/>
      <c r="H40" s="18">
        <v>8.5</v>
      </c>
      <c r="I40" s="18">
        <v>32</v>
      </c>
      <c r="J40" s="18">
        <v>6.5</v>
      </c>
      <c r="K40" s="18">
        <v>16</v>
      </c>
      <c r="L40" s="18"/>
      <c r="M40" s="18"/>
      <c r="N40" s="18">
        <f t="shared" si="2"/>
        <v>752</v>
      </c>
      <c r="O40" s="17"/>
      <c r="P40" s="18">
        <v>1.6</v>
      </c>
      <c r="Q40" s="18">
        <f>98</f>
        <v>98</v>
      </c>
      <c r="R40" s="18">
        <v>1.1000000000000001</v>
      </c>
      <c r="S40" s="18">
        <v>256</v>
      </c>
      <c r="T40" s="18">
        <f t="shared" si="3"/>
        <v>876.80000000000007</v>
      </c>
      <c r="U40" s="17"/>
      <c r="V40" s="16">
        <v>2010</v>
      </c>
      <c r="W40" s="16">
        <f t="shared" si="4"/>
        <v>1628.8000000000002</v>
      </c>
      <c r="X40" s="17"/>
      <c r="Y40" s="18">
        <v>354</v>
      </c>
      <c r="Z40" s="19"/>
      <c r="AA40" s="18">
        <f t="shared" si="5"/>
        <v>4.6011299435028254</v>
      </c>
      <c r="AB40" s="19"/>
      <c r="AC40" s="18">
        <f t="shared" si="15"/>
        <v>86.56974328238131</v>
      </c>
      <c r="AD40" s="19"/>
      <c r="AE40" s="18">
        <v>184</v>
      </c>
      <c r="AF40" s="18">
        <v>128</v>
      </c>
      <c r="AG40" s="19"/>
      <c r="AH40" s="18">
        <f t="shared" si="24"/>
        <v>184</v>
      </c>
      <c r="AI40" s="18">
        <f t="shared" si="25"/>
        <v>312</v>
      </c>
      <c r="AJ40" s="19"/>
      <c r="AK40" s="29">
        <f t="shared" si="26"/>
        <v>2782.08</v>
      </c>
      <c r="AL40" s="29">
        <f t="shared" si="27"/>
        <v>3281.697391304348</v>
      </c>
      <c r="AM40" s="19"/>
      <c r="AN40" s="29">
        <f t="shared" si="28"/>
        <v>0.58546123763515079</v>
      </c>
      <c r="AO40" s="29">
        <f t="shared" si="29"/>
        <v>0.4963285171618505</v>
      </c>
      <c r="AP40" s="19"/>
      <c r="AQ40" s="29">
        <f t="shared" si="30"/>
        <v>0.31515988037727172</v>
      </c>
      <c r="AR40" s="29">
        <f t="shared" si="31"/>
        <v>0.22914970831637496</v>
      </c>
      <c r="AS40" s="30"/>
      <c r="AT40" s="18">
        <f t="shared" si="32"/>
        <v>0.26861144380658697</v>
      </c>
      <c r="AU40" s="35"/>
    </row>
    <row r="41" spans="2:54" x14ac:dyDescent="0.25">
      <c r="B41" s="56"/>
      <c r="C41" s="56"/>
      <c r="D41" s="56"/>
      <c r="E41" s="64"/>
      <c r="F41" s="16" t="s">
        <v>43</v>
      </c>
      <c r="G41" s="17"/>
      <c r="H41" s="18">
        <v>8.5</v>
      </c>
      <c r="I41" s="18">
        <v>32</v>
      </c>
      <c r="J41" s="18">
        <v>6.5</v>
      </c>
      <c r="K41" s="18">
        <v>16</v>
      </c>
      <c r="L41" s="18"/>
      <c r="M41" s="18"/>
      <c r="N41" s="18">
        <f t="shared" si="2"/>
        <v>752</v>
      </c>
      <c r="O41" s="17"/>
      <c r="P41" s="18">
        <v>1.6</v>
      </c>
      <c r="Q41" s="18">
        <f>98</f>
        <v>98</v>
      </c>
      <c r="R41" s="18">
        <v>1.1000000000000001</v>
      </c>
      <c r="S41" s="18">
        <v>256</v>
      </c>
      <c r="T41" s="18">
        <f t="shared" si="3"/>
        <v>876.80000000000007</v>
      </c>
      <c r="U41" s="17"/>
      <c r="V41" s="16">
        <v>2010</v>
      </c>
      <c r="W41" s="16">
        <f t="shared" si="4"/>
        <v>1628.8000000000002</v>
      </c>
      <c r="X41" s="17"/>
      <c r="Y41" s="18">
        <v>531</v>
      </c>
      <c r="Z41" s="19"/>
      <c r="AA41" s="18">
        <f t="shared" si="5"/>
        <v>3.067419962335217</v>
      </c>
      <c r="AB41" s="19"/>
      <c r="AC41" s="18">
        <f t="shared" si="15"/>
        <v>70.683899401855314</v>
      </c>
      <c r="AD41" s="19"/>
      <c r="AE41" s="18">
        <v>184</v>
      </c>
      <c r="AF41" s="18">
        <v>128</v>
      </c>
      <c r="AG41" s="19"/>
      <c r="AH41" s="18">
        <f t="shared" si="24"/>
        <v>184</v>
      </c>
      <c r="AI41" s="18">
        <f t="shared" si="25"/>
        <v>312</v>
      </c>
      <c r="AJ41" s="19"/>
      <c r="AK41" s="29">
        <f t="shared" si="26"/>
        <v>2782.08</v>
      </c>
      <c r="AL41" s="29">
        <f t="shared" si="27"/>
        <v>3281.697391304348</v>
      </c>
      <c r="AM41" s="19"/>
      <c r="AN41" s="29">
        <f t="shared" si="28"/>
        <v>0.58546123763515079</v>
      </c>
      <c r="AO41" s="29">
        <f t="shared" si="29"/>
        <v>0.4963285171618505</v>
      </c>
      <c r="AP41" s="19"/>
      <c r="AQ41" s="29">
        <f t="shared" si="30"/>
        <v>0.31515988037727172</v>
      </c>
      <c r="AR41" s="29">
        <f t="shared" si="31"/>
        <v>0.22914970831637496</v>
      </c>
      <c r="AS41" s="30"/>
      <c r="AT41" s="18">
        <f t="shared" si="32"/>
        <v>0.26861144380658697</v>
      </c>
      <c r="AU41" s="35"/>
    </row>
    <row r="42" spans="2:54" x14ac:dyDescent="0.25">
      <c r="B42" s="56"/>
      <c r="C42" s="56"/>
      <c r="D42" s="56"/>
      <c r="E42" s="56" t="s">
        <v>10</v>
      </c>
      <c r="F42" s="2" t="s">
        <v>44</v>
      </c>
      <c r="H42" s="8"/>
      <c r="I42" s="8"/>
      <c r="J42" s="8"/>
      <c r="K42" s="8"/>
      <c r="L42" s="8"/>
      <c r="M42" s="8"/>
      <c r="N42" s="8">
        <f t="shared" si="2"/>
        <v>0</v>
      </c>
      <c r="P42" s="8">
        <v>1.6</v>
      </c>
      <c r="Q42" s="8">
        <f>56</f>
        <v>56</v>
      </c>
      <c r="R42" s="8">
        <v>1.1000000000000001</v>
      </c>
      <c r="S42" s="8">
        <v>128</v>
      </c>
      <c r="T42" s="8">
        <f t="shared" si="3"/>
        <v>460.80000000000007</v>
      </c>
      <c r="V42" s="3">
        <v>2010</v>
      </c>
      <c r="W42" s="3">
        <f t="shared" si="4"/>
        <v>460.80000000000007</v>
      </c>
      <c r="Y42" s="8">
        <v>228</v>
      </c>
      <c r="Z42" s="12"/>
      <c r="AA42" s="8">
        <f t="shared" si="5"/>
        <v>2.0210526315789479</v>
      </c>
      <c r="AB42" s="12"/>
      <c r="AC42" s="8">
        <f t="shared" si="15"/>
        <v>30.517225506778612</v>
      </c>
      <c r="AD42" s="12"/>
      <c r="AE42" s="8"/>
      <c r="AF42" s="8"/>
      <c r="AG42" s="12"/>
      <c r="AH42" s="8"/>
      <c r="AI42" s="8"/>
      <c r="AJ42" s="24"/>
      <c r="AK42" s="28"/>
      <c r="AL42" s="28"/>
      <c r="AM42" s="24"/>
      <c r="AN42" s="28"/>
      <c r="AO42" s="28"/>
      <c r="AP42" s="24"/>
      <c r="AQ42" s="28"/>
      <c r="AR42" s="28"/>
      <c r="AS42" s="35"/>
      <c r="AT42" s="8"/>
      <c r="AU42" s="35"/>
    </row>
    <row r="43" spans="2:54" x14ac:dyDescent="0.25">
      <c r="B43" s="56"/>
      <c r="C43" s="56"/>
      <c r="D43" s="56"/>
      <c r="E43" s="56"/>
      <c r="F43" s="2" t="s">
        <v>45</v>
      </c>
      <c r="H43" s="8"/>
      <c r="I43" s="8"/>
      <c r="J43" s="8"/>
      <c r="K43" s="8"/>
      <c r="L43" s="8"/>
      <c r="M43" s="8"/>
      <c r="N43" s="8">
        <f t="shared" si="2"/>
        <v>0</v>
      </c>
      <c r="P43" s="8">
        <v>1.6</v>
      </c>
      <c r="Q43" s="8">
        <f>88</f>
        <v>88</v>
      </c>
      <c r="R43" s="8">
        <v>1.1000000000000001</v>
      </c>
      <c r="S43" s="8">
        <v>256</v>
      </c>
      <c r="T43" s="8">
        <f t="shared" si="3"/>
        <v>844.80000000000007</v>
      </c>
      <c r="V43" s="3">
        <v>2010</v>
      </c>
      <c r="W43" s="3">
        <f t="shared" si="4"/>
        <v>844.80000000000007</v>
      </c>
      <c r="Y43" s="8">
        <v>354</v>
      </c>
      <c r="Z43" s="12"/>
      <c r="AA43" s="8">
        <f t="shared" si="5"/>
        <v>2.3864406779661018</v>
      </c>
      <c r="AB43" s="12"/>
      <c r="AC43" s="8">
        <f t="shared" si="15"/>
        <v>44.900613411686962</v>
      </c>
      <c r="AD43" s="12"/>
      <c r="AE43" s="8"/>
      <c r="AF43" s="8"/>
      <c r="AG43" s="12"/>
      <c r="AH43" s="8"/>
      <c r="AI43" s="8"/>
      <c r="AJ43" s="24"/>
      <c r="AK43" s="28"/>
      <c r="AL43" s="28"/>
      <c r="AM43" s="24"/>
      <c r="AN43" s="28"/>
      <c r="AO43" s="28"/>
      <c r="AP43" s="24"/>
      <c r="AQ43" s="28"/>
      <c r="AR43" s="28"/>
      <c r="AS43" s="35"/>
      <c r="AT43" s="8"/>
      <c r="AU43" s="35"/>
    </row>
    <row r="44" spans="2:54" x14ac:dyDescent="0.25">
      <c r="B44" s="56"/>
      <c r="C44" s="56"/>
      <c r="D44" s="56"/>
      <c r="E44" s="56"/>
      <c r="F44" s="2" t="s">
        <v>46</v>
      </c>
      <c r="H44" s="8"/>
      <c r="I44" s="8"/>
      <c r="J44" s="8"/>
      <c r="K44" s="8"/>
      <c r="L44" s="8"/>
      <c r="M44" s="8"/>
      <c r="N44" s="8">
        <f t="shared" si="2"/>
        <v>0</v>
      </c>
      <c r="P44" s="8">
        <v>1.6</v>
      </c>
      <c r="Q44" s="8">
        <f>112</f>
        <v>112</v>
      </c>
      <c r="R44" s="8">
        <v>1.1000000000000001</v>
      </c>
      <c r="S44" s="8">
        <v>256</v>
      </c>
      <c r="T44" s="8">
        <f t="shared" si="3"/>
        <v>921.60000000000014</v>
      </c>
      <c r="V44" s="3">
        <v>2010</v>
      </c>
      <c r="W44" s="3">
        <f t="shared" si="4"/>
        <v>921.60000000000014</v>
      </c>
      <c r="Y44" s="8">
        <v>531</v>
      </c>
      <c r="Z44" s="12"/>
      <c r="AA44" s="8">
        <f t="shared" si="5"/>
        <v>1.7355932203389832</v>
      </c>
      <c r="AB44" s="12"/>
      <c r="AC44" s="8">
        <f t="shared" si="15"/>
        <v>39.994033453309093</v>
      </c>
      <c r="AD44" s="12"/>
      <c r="AE44" s="8"/>
      <c r="AF44" s="8"/>
      <c r="AG44" s="12"/>
      <c r="AH44" s="8"/>
      <c r="AI44" s="8"/>
      <c r="AJ44" s="24"/>
      <c r="AK44" s="28"/>
      <c r="AL44" s="28"/>
      <c r="AM44" s="24"/>
      <c r="AN44" s="28"/>
      <c r="AO44" s="28"/>
      <c r="AP44" s="24"/>
      <c r="AQ44" s="28"/>
      <c r="AR44" s="28"/>
      <c r="AS44" s="35"/>
      <c r="AT44" s="8"/>
      <c r="AU44" s="35"/>
    </row>
    <row r="45" spans="2:54" x14ac:dyDescent="0.25">
      <c r="B45" s="56"/>
      <c r="C45" s="56"/>
      <c r="D45" s="56"/>
      <c r="E45" s="56"/>
      <c r="F45" s="2" t="s">
        <v>47</v>
      </c>
      <c r="H45" s="8"/>
      <c r="I45" s="8"/>
      <c r="J45" s="8"/>
      <c r="K45" s="8"/>
      <c r="L45" s="8"/>
      <c r="M45" s="8"/>
      <c r="N45" s="8">
        <f t="shared" si="2"/>
        <v>0</v>
      </c>
      <c r="P45" s="8">
        <v>1.6</v>
      </c>
      <c r="Q45" s="8">
        <f>132</f>
        <v>132</v>
      </c>
      <c r="R45" s="8">
        <v>1.1000000000000001</v>
      </c>
      <c r="S45" s="8">
        <v>288</v>
      </c>
      <c r="T45" s="8">
        <f t="shared" si="3"/>
        <v>1056</v>
      </c>
      <c r="V45" s="3">
        <v>2010</v>
      </c>
      <c r="W45" s="3">
        <f t="shared" si="4"/>
        <v>1056</v>
      </c>
      <c r="Y45" s="8">
        <v>813</v>
      </c>
      <c r="Z45" s="12"/>
      <c r="AA45" s="8">
        <f t="shared" si="5"/>
        <v>1.2988929889298892</v>
      </c>
      <c r="AB45" s="12"/>
      <c r="AC45" s="8">
        <f t="shared" si="15"/>
        <v>37.035536938324022</v>
      </c>
      <c r="AD45" s="12"/>
      <c r="AE45" s="8"/>
      <c r="AF45" s="8"/>
      <c r="AG45" s="12"/>
      <c r="AH45" s="8"/>
      <c r="AI45" s="8"/>
      <c r="AJ45" s="24"/>
      <c r="AK45" s="28"/>
      <c r="AL45" s="28"/>
      <c r="AM45" s="24"/>
      <c r="AN45" s="28"/>
      <c r="AO45" s="28"/>
      <c r="AP45" s="24"/>
      <c r="AQ45" s="28"/>
      <c r="AR45" s="28"/>
      <c r="AS45" s="35"/>
      <c r="AT45" s="8"/>
      <c r="AU45" s="35"/>
      <c r="AX45" s="9"/>
    </row>
    <row r="46" spans="2:54" s="9" customFormat="1" ht="7.5" customHeight="1" x14ac:dyDescent="0.25"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S46" s="10"/>
      <c r="T46" s="10"/>
      <c r="U46" s="10"/>
      <c r="V46" s="1"/>
      <c r="W46" s="1"/>
      <c r="AC46"/>
      <c r="AD46"/>
      <c r="AE46"/>
      <c r="AF46"/>
      <c r="AG46"/>
      <c r="AH46"/>
      <c r="AI46"/>
      <c r="AJ46" s="20"/>
      <c r="AK46" s="25"/>
      <c r="AL46" s="25"/>
      <c r="AM46" s="20"/>
      <c r="AN46" s="25"/>
      <c r="AO46" s="25"/>
      <c r="AP46" s="20"/>
      <c r="AQ46" s="25"/>
      <c r="AR46" s="25"/>
      <c r="AS46" s="31"/>
      <c r="AT46"/>
      <c r="AU46" s="31"/>
      <c r="AW46"/>
      <c r="AX46"/>
      <c r="AY46"/>
      <c r="AZ46"/>
      <c r="BA46"/>
      <c r="BB46"/>
    </row>
    <row r="47" spans="2:54" x14ac:dyDescent="0.25">
      <c r="B47" s="56" t="s">
        <v>2</v>
      </c>
      <c r="C47" s="56">
        <v>65</v>
      </c>
      <c r="D47" s="56">
        <v>2008</v>
      </c>
      <c r="E47" s="56" t="s">
        <v>48</v>
      </c>
      <c r="F47" s="2" t="s">
        <v>53</v>
      </c>
      <c r="H47" s="8"/>
      <c r="I47" s="8"/>
      <c r="J47" s="8"/>
      <c r="K47" s="8"/>
      <c r="L47" s="8"/>
      <c r="M47" s="8"/>
      <c r="N47" s="8">
        <f t="shared" si="2"/>
        <v>0</v>
      </c>
      <c r="P47" s="8">
        <v>1.6</v>
      </c>
      <c r="Q47" s="8">
        <f>56</f>
        <v>56</v>
      </c>
      <c r="R47" s="8">
        <v>1.1000000000000001</v>
      </c>
      <c r="S47" s="8">
        <v>56</v>
      </c>
      <c r="T47" s="8">
        <f t="shared" si="3"/>
        <v>302.40000000000003</v>
      </c>
      <c r="V47" s="3">
        <v>2008</v>
      </c>
      <c r="W47" s="3">
        <f t="shared" si="4"/>
        <v>302.40000000000003</v>
      </c>
      <c r="Y47" s="8">
        <v>47.5</v>
      </c>
      <c r="Z47" s="12"/>
      <c r="AA47" s="8">
        <f t="shared" si="5"/>
        <v>6.3663157894736848</v>
      </c>
      <c r="AB47" s="12"/>
      <c r="AC47" s="8">
        <f t="shared" ref="AC47:AC56" si="33">W47/SQRT(Y47)</f>
        <v>43.87680360665351</v>
      </c>
      <c r="AD47" s="12"/>
      <c r="AE47" s="8"/>
      <c r="AF47" s="8"/>
      <c r="AG47" s="12"/>
      <c r="AH47" s="8"/>
      <c r="AI47" s="8"/>
      <c r="AJ47" s="24"/>
      <c r="AK47" s="28"/>
      <c r="AL47" s="28"/>
      <c r="AM47" s="24"/>
      <c r="AN47" s="28"/>
      <c r="AO47" s="28"/>
      <c r="AP47" s="24"/>
      <c r="AQ47" s="28"/>
      <c r="AR47" s="28"/>
      <c r="AS47" s="35"/>
      <c r="AT47" s="8"/>
      <c r="AU47" s="35"/>
      <c r="AW47" s="9"/>
      <c r="AY47" s="9"/>
      <c r="AZ47" s="9"/>
      <c r="BA47" s="9"/>
      <c r="BB47" s="9"/>
    </row>
    <row r="48" spans="2:54" x14ac:dyDescent="0.25">
      <c r="B48" s="56"/>
      <c r="C48" s="56"/>
      <c r="D48" s="56"/>
      <c r="E48" s="56"/>
      <c r="F48" s="2" t="s">
        <v>54</v>
      </c>
      <c r="H48" s="8"/>
      <c r="I48" s="8"/>
      <c r="J48" s="8"/>
      <c r="K48" s="8"/>
      <c r="L48" s="8"/>
      <c r="M48" s="8"/>
      <c r="N48" s="8">
        <f t="shared" si="2"/>
        <v>0</v>
      </c>
      <c r="P48" s="8">
        <v>1.6</v>
      </c>
      <c r="Q48" s="8">
        <f>56</f>
        <v>56</v>
      </c>
      <c r="R48" s="8">
        <v>1.1000000000000001</v>
      </c>
      <c r="S48" s="8">
        <v>56</v>
      </c>
      <c r="T48" s="8">
        <f t="shared" si="3"/>
        <v>302.40000000000003</v>
      </c>
      <c r="V48" s="3">
        <v>2008</v>
      </c>
      <c r="W48" s="3">
        <f t="shared" si="4"/>
        <v>302.40000000000003</v>
      </c>
      <c r="Y48" s="8">
        <v>67.5</v>
      </c>
      <c r="Z48" s="12"/>
      <c r="AA48" s="8">
        <f t="shared" si="5"/>
        <v>4.4800000000000004</v>
      </c>
      <c r="AB48" s="12"/>
      <c r="AC48" s="8">
        <f t="shared" si="33"/>
        <v>36.806955864347167</v>
      </c>
      <c r="AD48" s="12"/>
      <c r="AE48" s="8"/>
      <c r="AF48" s="8"/>
      <c r="AG48" s="12"/>
      <c r="AH48" s="8"/>
      <c r="AI48" s="8"/>
      <c r="AJ48" s="24"/>
      <c r="AK48" s="28"/>
      <c r="AL48" s="28"/>
      <c r="AM48" s="24"/>
      <c r="AN48" s="28"/>
      <c r="AO48" s="28"/>
      <c r="AP48" s="24"/>
      <c r="AQ48" s="28"/>
      <c r="AR48" s="28"/>
      <c r="AS48" s="35"/>
      <c r="AT48" s="8"/>
      <c r="AU48" s="35"/>
    </row>
    <row r="49" spans="2:54" x14ac:dyDescent="0.25">
      <c r="B49" s="56"/>
      <c r="C49" s="56"/>
      <c r="D49" s="56"/>
      <c r="E49" s="56"/>
      <c r="F49" s="2" t="s">
        <v>55</v>
      </c>
      <c r="H49" s="8"/>
      <c r="I49" s="8"/>
      <c r="J49" s="8"/>
      <c r="K49" s="8"/>
      <c r="L49" s="8"/>
      <c r="M49" s="8"/>
      <c r="N49" s="8">
        <f t="shared" si="2"/>
        <v>0</v>
      </c>
      <c r="P49" s="8">
        <v>1.6</v>
      </c>
      <c r="Q49" s="8">
        <f>88</f>
        <v>88</v>
      </c>
      <c r="R49" s="8">
        <v>1.1000000000000001</v>
      </c>
      <c r="S49" s="8">
        <v>88</v>
      </c>
      <c r="T49" s="8">
        <f t="shared" si="3"/>
        <v>475.20000000000005</v>
      </c>
      <c r="V49" s="3">
        <v>2008</v>
      </c>
      <c r="W49" s="3">
        <f t="shared" si="4"/>
        <v>475.20000000000005</v>
      </c>
      <c r="Y49" s="8">
        <v>107.5</v>
      </c>
      <c r="Z49" s="12"/>
      <c r="AA49" s="8">
        <f t="shared" si="5"/>
        <v>4.42046511627907</v>
      </c>
      <c r="AB49" s="12"/>
      <c r="AC49" s="8">
        <f t="shared" si="33"/>
        <v>45.832357819075973</v>
      </c>
      <c r="AD49" s="12"/>
      <c r="AE49" s="8"/>
      <c r="AF49" s="8"/>
      <c r="AG49" s="12"/>
      <c r="AH49" s="8"/>
      <c r="AI49" s="8"/>
      <c r="AJ49" s="24"/>
      <c r="AK49" s="28"/>
      <c r="AL49" s="28"/>
      <c r="AM49" s="24"/>
      <c r="AN49" s="28"/>
      <c r="AO49" s="28"/>
      <c r="AP49" s="24"/>
      <c r="AQ49" s="28"/>
      <c r="AR49" s="28"/>
      <c r="AS49" s="35"/>
      <c r="AT49" s="8"/>
      <c r="AU49" s="35"/>
    </row>
    <row r="50" spans="2:54" x14ac:dyDescent="0.25">
      <c r="B50" s="56"/>
      <c r="C50" s="56"/>
      <c r="D50" s="56"/>
      <c r="E50" s="56"/>
      <c r="F50" s="2" t="s">
        <v>56</v>
      </c>
      <c r="H50" s="8"/>
      <c r="I50" s="8"/>
      <c r="J50" s="8"/>
      <c r="K50" s="8"/>
      <c r="L50" s="8"/>
      <c r="M50" s="8"/>
      <c r="N50" s="8">
        <f t="shared" si="2"/>
        <v>0</v>
      </c>
      <c r="P50" s="8">
        <v>1.6</v>
      </c>
      <c r="Q50" s="8">
        <f>88</f>
        <v>88</v>
      </c>
      <c r="R50" s="8">
        <v>1.1000000000000001</v>
      </c>
      <c r="S50" s="8">
        <v>88</v>
      </c>
      <c r="T50" s="8">
        <f t="shared" si="3"/>
        <v>475.20000000000005</v>
      </c>
      <c r="V50" s="3">
        <v>2008</v>
      </c>
      <c r="W50" s="3">
        <f t="shared" si="4"/>
        <v>475.20000000000005</v>
      </c>
      <c r="Y50" s="8">
        <v>143</v>
      </c>
      <c r="Z50" s="12"/>
      <c r="AA50" s="8">
        <f t="shared" si="5"/>
        <v>3.3230769230769233</v>
      </c>
      <c r="AB50" s="12"/>
      <c r="AC50" s="8">
        <f t="shared" si="33"/>
        <v>39.738220315536957</v>
      </c>
      <c r="AD50" s="12"/>
      <c r="AE50" s="8"/>
      <c r="AF50" s="8"/>
      <c r="AG50" s="12"/>
      <c r="AH50" s="8"/>
      <c r="AI50" s="8"/>
      <c r="AJ50" s="24"/>
      <c r="AK50" s="28"/>
      <c r="AL50" s="28"/>
      <c r="AM50" s="24"/>
      <c r="AN50" s="28"/>
      <c r="AO50" s="28"/>
      <c r="AP50" s="24"/>
      <c r="AQ50" s="28"/>
      <c r="AR50" s="28"/>
      <c r="AS50" s="35"/>
      <c r="AT50" s="8"/>
      <c r="AU50" s="35"/>
    </row>
    <row r="51" spans="2:54" x14ac:dyDescent="0.25">
      <c r="B51" s="56"/>
      <c r="C51" s="56"/>
      <c r="D51" s="56"/>
      <c r="E51" s="56"/>
      <c r="F51" s="2" t="s">
        <v>57</v>
      </c>
      <c r="H51" s="8"/>
      <c r="I51" s="8"/>
      <c r="J51" s="8"/>
      <c r="K51" s="8"/>
      <c r="L51" s="8"/>
      <c r="M51" s="8"/>
      <c r="N51" s="8">
        <f t="shared" si="2"/>
        <v>0</v>
      </c>
      <c r="P51" s="8">
        <v>1.6</v>
      </c>
      <c r="Q51" s="8">
        <f>112</f>
        <v>112</v>
      </c>
      <c r="R51" s="8">
        <v>1.1000000000000001</v>
      </c>
      <c r="S51" s="8">
        <v>112</v>
      </c>
      <c r="T51" s="8">
        <f t="shared" si="3"/>
        <v>604.80000000000007</v>
      </c>
      <c r="V51" s="3">
        <v>2008</v>
      </c>
      <c r="W51" s="3">
        <f t="shared" si="4"/>
        <v>604.80000000000007</v>
      </c>
      <c r="Y51" s="8">
        <v>199</v>
      </c>
      <c r="Z51" s="12"/>
      <c r="AA51" s="8">
        <f t="shared" si="5"/>
        <v>3.0391959798994979</v>
      </c>
      <c r="AB51" s="12"/>
      <c r="AC51" s="8">
        <f t="shared" si="33"/>
        <v>42.873135278904158</v>
      </c>
      <c r="AD51" s="12"/>
      <c r="AE51" s="8"/>
      <c r="AF51" s="8"/>
      <c r="AG51" s="12"/>
      <c r="AH51" s="8"/>
      <c r="AI51" s="8"/>
      <c r="AJ51" s="24"/>
      <c r="AK51" s="28"/>
      <c r="AL51" s="28"/>
      <c r="AM51" s="24"/>
      <c r="AN51" s="28"/>
      <c r="AO51" s="28"/>
      <c r="AP51" s="24"/>
      <c r="AQ51" s="28"/>
      <c r="AR51" s="28"/>
      <c r="AS51" s="35"/>
      <c r="AT51" s="8"/>
      <c r="AU51" s="35"/>
    </row>
    <row r="52" spans="2:54" x14ac:dyDescent="0.25">
      <c r="B52" s="56"/>
      <c r="C52" s="56"/>
      <c r="D52" s="56"/>
      <c r="E52" s="56"/>
      <c r="F52" s="2" t="s">
        <v>58</v>
      </c>
      <c r="H52" s="8"/>
      <c r="I52" s="8"/>
      <c r="J52" s="8"/>
      <c r="K52" s="8"/>
      <c r="L52" s="8"/>
      <c r="M52" s="8"/>
      <c r="N52" s="8">
        <f t="shared" si="2"/>
        <v>0</v>
      </c>
      <c r="P52" s="8">
        <v>1.6</v>
      </c>
      <c r="Q52" s="8">
        <f>132</f>
        <v>132</v>
      </c>
      <c r="R52" s="8">
        <v>1.1000000000000001</v>
      </c>
      <c r="S52" s="8">
        <v>137</v>
      </c>
      <c r="T52" s="8">
        <f t="shared" si="3"/>
        <v>723.80000000000007</v>
      </c>
      <c r="V52" s="3">
        <v>2008</v>
      </c>
      <c r="W52" s="3">
        <f t="shared" si="4"/>
        <v>723.80000000000007</v>
      </c>
      <c r="Y52" s="8">
        <v>338</v>
      </c>
      <c r="Z52" s="12"/>
      <c r="AA52" s="8">
        <f t="shared" si="5"/>
        <v>2.1414201183431953</v>
      </c>
      <c r="AB52" s="12"/>
      <c r="AC52" s="8">
        <f t="shared" si="33"/>
        <v>39.36952986329409</v>
      </c>
      <c r="AD52" s="12"/>
      <c r="AE52" s="8"/>
      <c r="AF52" s="8"/>
      <c r="AG52" s="12"/>
      <c r="AH52" s="8"/>
      <c r="AI52" s="8"/>
      <c r="AJ52" s="24"/>
      <c r="AK52" s="28"/>
      <c r="AL52" s="28"/>
      <c r="AM52" s="24"/>
      <c r="AN52" s="28"/>
      <c r="AO52" s="28"/>
      <c r="AP52" s="24"/>
      <c r="AQ52" s="28"/>
      <c r="AR52" s="28"/>
      <c r="AS52" s="35"/>
      <c r="AT52" s="8"/>
      <c r="AU52" s="35"/>
    </row>
    <row r="53" spans="2:54" x14ac:dyDescent="0.25">
      <c r="B53" s="56"/>
      <c r="C53" s="56"/>
      <c r="D53" s="56"/>
      <c r="E53" s="56" t="s">
        <v>10</v>
      </c>
      <c r="F53" s="2" t="s">
        <v>59</v>
      </c>
      <c r="H53" s="8"/>
      <c r="I53" s="8"/>
      <c r="J53" s="8"/>
      <c r="K53" s="8"/>
      <c r="L53" s="8"/>
      <c r="M53" s="8"/>
      <c r="N53" s="8">
        <f t="shared" si="2"/>
        <v>0</v>
      </c>
      <c r="P53" s="8">
        <v>1.6</v>
      </c>
      <c r="Q53" s="8">
        <f>56</f>
        <v>56</v>
      </c>
      <c r="R53" s="8">
        <v>1.1000000000000001</v>
      </c>
      <c r="S53" s="8">
        <v>56</v>
      </c>
      <c r="T53" s="8">
        <f t="shared" si="3"/>
        <v>302.40000000000003</v>
      </c>
      <c r="V53" s="3">
        <v>2008</v>
      </c>
      <c r="W53" s="3">
        <f t="shared" si="4"/>
        <v>302.40000000000003</v>
      </c>
      <c r="Y53" s="8">
        <v>47.5</v>
      </c>
      <c r="Z53" s="12"/>
      <c r="AA53" s="8">
        <f t="shared" si="5"/>
        <v>6.3663157894736848</v>
      </c>
      <c r="AB53" s="12"/>
      <c r="AC53" s="8">
        <f t="shared" si="33"/>
        <v>43.87680360665351</v>
      </c>
      <c r="AD53" s="12"/>
      <c r="AE53" s="8"/>
      <c r="AF53" s="8"/>
      <c r="AG53" s="12"/>
      <c r="AH53" s="8"/>
      <c r="AI53" s="8"/>
      <c r="AJ53" s="24"/>
      <c r="AK53" s="28"/>
      <c r="AL53" s="28"/>
      <c r="AM53" s="24"/>
      <c r="AN53" s="28"/>
      <c r="AO53" s="28"/>
      <c r="AP53" s="24"/>
      <c r="AQ53" s="28"/>
      <c r="AR53" s="28"/>
      <c r="AS53" s="35"/>
      <c r="AT53" s="8"/>
      <c r="AU53" s="35"/>
    </row>
    <row r="54" spans="2:54" x14ac:dyDescent="0.25">
      <c r="B54" s="56"/>
      <c r="C54" s="56"/>
      <c r="D54" s="56"/>
      <c r="E54" s="56"/>
      <c r="F54" s="2" t="s">
        <v>60</v>
      </c>
      <c r="H54" s="8"/>
      <c r="I54" s="8"/>
      <c r="J54" s="8"/>
      <c r="K54" s="8"/>
      <c r="L54" s="8"/>
      <c r="M54" s="8"/>
      <c r="N54" s="8">
        <f t="shared" si="2"/>
        <v>0</v>
      </c>
      <c r="P54" s="8">
        <v>1.6</v>
      </c>
      <c r="Q54" s="8">
        <f>88</f>
        <v>88</v>
      </c>
      <c r="R54" s="8">
        <v>1.1000000000000001</v>
      </c>
      <c r="S54" s="8">
        <v>88</v>
      </c>
      <c r="T54" s="8">
        <f t="shared" si="3"/>
        <v>475.20000000000005</v>
      </c>
      <c r="V54" s="3">
        <v>2008</v>
      </c>
      <c r="W54" s="3">
        <f t="shared" si="4"/>
        <v>475.20000000000005</v>
      </c>
      <c r="Y54" s="8">
        <v>80</v>
      </c>
      <c r="Z54" s="12"/>
      <c r="AA54" s="8">
        <f t="shared" si="5"/>
        <v>5.94</v>
      </c>
      <c r="AB54" s="12"/>
      <c r="AC54" s="8">
        <f t="shared" si="33"/>
        <v>53.128975145395003</v>
      </c>
      <c r="AD54" s="12"/>
      <c r="AE54" s="8"/>
      <c r="AF54" s="8"/>
      <c r="AG54" s="12"/>
      <c r="AH54" s="8"/>
      <c r="AI54" s="8"/>
      <c r="AJ54" s="24"/>
      <c r="AK54" s="28"/>
      <c r="AL54" s="28"/>
      <c r="AM54" s="24"/>
      <c r="AN54" s="28"/>
      <c r="AO54" s="28"/>
      <c r="AP54" s="24"/>
      <c r="AQ54" s="28"/>
      <c r="AR54" s="28"/>
      <c r="AS54" s="35"/>
      <c r="AT54" s="8"/>
      <c r="AU54" s="35"/>
    </row>
    <row r="55" spans="2:54" x14ac:dyDescent="0.25">
      <c r="B55" s="56"/>
      <c r="C55" s="56"/>
      <c r="D55" s="56"/>
      <c r="E55" s="56"/>
      <c r="F55" s="2" t="s">
        <v>61</v>
      </c>
      <c r="H55" s="8"/>
      <c r="I55" s="8"/>
      <c r="J55" s="8"/>
      <c r="K55" s="8"/>
      <c r="L55" s="8"/>
      <c r="M55" s="8"/>
      <c r="N55" s="8">
        <f t="shared" si="2"/>
        <v>0</v>
      </c>
      <c r="P55" s="8">
        <v>1.6</v>
      </c>
      <c r="Q55" s="8">
        <f>88</f>
        <v>88</v>
      </c>
      <c r="R55" s="8">
        <v>1.1000000000000001</v>
      </c>
      <c r="S55" s="8">
        <v>88</v>
      </c>
      <c r="T55" s="8">
        <f t="shared" si="3"/>
        <v>475.20000000000005</v>
      </c>
      <c r="V55" s="3">
        <v>2008</v>
      </c>
      <c r="W55" s="3">
        <f t="shared" si="4"/>
        <v>475.20000000000005</v>
      </c>
      <c r="Y55" s="8">
        <v>107.5</v>
      </c>
      <c r="Z55" s="12"/>
      <c r="AA55" s="8">
        <f t="shared" si="5"/>
        <v>4.42046511627907</v>
      </c>
      <c r="AB55" s="12"/>
      <c r="AC55" s="8">
        <f t="shared" si="33"/>
        <v>45.832357819075973</v>
      </c>
      <c r="AD55" s="12"/>
      <c r="AE55" s="8"/>
      <c r="AF55" s="8"/>
      <c r="AG55" s="12"/>
      <c r="AH55" s="8"/>
      <c r="AI55" s="8"/>
      <c r="AJ55" s="24"/>
      <c r="AK55" s="28"/>
      <c r="AL55" s="28"/>
      <c r="AM55" s="24"/>
      <c r="AN55" s="28"/>
      <c r="AO55" s="28"/>
      <c r="AP55" s="24"/>
      <c r="AQ55" s="28"/>
      <c r="AR55" s="28"/>
      <c r="AS55" s="35"/>
      <c r="AT55" s="8"/>
      <c r="AU55" s="35"/>
    </row>
    <row r="56" spans="2:54" x14ac:dyDescent="0.25">
      <c r="B56" s="56"/>
      <c r="C56" s="56"/>
      <c r="D56" s="56"/>
      <c r="E56" s="56"/>
      <c r="F56" s="2" t="s">
        <v>62</v>
      </c>
      <c r="H56" s="8"/>
      <c r="I56" s="8"/>
      <c r="J56" s="8"/>
      <c r="K56" s="8"/>
      <c r="L56" s="8"/>
      <c r="M56" s="8"/>
      <c r="N56" s="8">
        <f t="shared" si="2"/>
        <v>0</v>
      </c>
      <c r="P56" s="8">
        <v>1.6</v>
      </c>
      <c r="Q56" s="8">
        <f>112</f>
        <v>112</v>
      </c>
      <c r="R56" s="8">
        <v>1.1000000000000001</v>
      </c>
      <c r="S56" s="8">
        <v>112</v>
      </c>
      <c r="T56" s="8">
        <f t="shared" si="3"/>
        <v>604.80000000000007</v>
      </c>
      <c r="V56" s="3">
        <v>2008</v>
      </c>
      <c r="W56" s="3">
        <f t="shared" si="4"/>
        <v>604.80000000000007</v>
      </c>
      <c r="Y56" s="8">
        <v>254</v>
      </c>
      <c r="Z56" s="12"/>
      <c r="AA56" s="8">
        <f t="shared" si="5"/>
        <v>2.3811023622047247</v>
      </c>
      <c r="AB56" s="12"/>
      <c r="AC56" s="8">
        <f t="shared" si="33"/>
        <v>37.948527094755832</v>
      </c>
      <c r="AD56" s="12"/>
      <c r="AE56" s="8"/>
      <c r="AF56" s="8"/>
      <c r="AG56" s="12"/>
      <c r="AH56" s="8"/>
      <c r="AI56" s="8"/>
      <c r="AJ56" s="24"/>
      <c r="AK56" s="28"/>
      <c r="AL56" s="28"/>
      <c r="AM56" s="24"/>
      <c r="AN56" s="28"/>
      <c r="AO56" s="28"/>
      <c r="AP56" s="24"/>
      <c r="AQ56" s="28"/>
      <c r="AR56" s="28"/>
      <c r="AS56" s="35"/>
      <c r="AT56" s="8"/>
      <c r="AU56" s="35"/>
      <c r="AX56" s="9"/>
    </row>
    <row r="57" spans="2:54" s="9" customFormat="1" ht="6.75" customHeight="1" x14ac:dyDescent="0.25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S57" s="10"/>
      <c r="T57" s="10"/>
      <c r="U57" s="10"/>
      <c r="V57" s="1"/>
      <c r="W57" s="1"/>
      <c r="AC57"/>
      <c r="AD57"/>
      <c r="AE57"/>
      <c r="AF57"/>
      <c r="AG57"/>
      <c r="AH57"/>
      <c r="AI57"/>
      <c r="AJ57" s="20"/>
      <c r="AK57" s="25"/>
      <c r="AL57" s="25"/>
      <c r="AM57" s="20"/>
      <c r="AN57" s="25"/>
      <c r="AO57" s="25"/>
      <c r="AP57" s="20"/>
      <c r="AQ57" s="25"/>
      <c r="AR57" s="25"/>
      <c r="AS57" s="31"/>
      <c r="AT57"/>
      <c r="AU57" s="31"/>
      <c r="AW57"/>
      <c r="AX57"/>
      <c r="AY57"/>
      <c r="AZ57"/>
      <c r="BA57"/>
      <c r="BB57"/>
    </row>
    <row r="58" spans="2:54" x14ac:dyDescent="0.25">
      <c r="B58" s="56" t="s">
        <v>3</v>
      </c>
      <c r="C58" s="56">
        <v>90</v>
      </c>
      <c r="D58" s="56">
        <v>2006</v>
      </c>
      <c r="E58" s="64" t="s">
        <v>8</v>
      </c>
      <c r="F58" s="16" t="s">
        <v>49</v>
      </c>
      <c r="G58" s="17"/>
      <c r="H58" s="18">
        <v>6.375</v>
      </c>
      <c r="I58" s="18">
        <v>8</v>
      </c>
      <c r="J58" s="18"/>
      <c r="K58" s="18"/>
      <c r="L58" s="18"/>
      <c r="M58" s="18"/>
      <c r="N58" s="18">
        <f t="shared" si="2"/>
        <v>102</v>
      </c>
      <c r="O58" s="17"/>
      <c r="P58" s="18">
        <v>1</v>
      </c>
      <c r="Q58" s="18">
        <f>30</f>
        <v>30</v>
      </c>
      <c r="R58" s="18"/>
      <c r="S58" s="18"/>
      <c r="T58" s="18">
        <f t="shared" si="3"/>
        <v>60</v>
      </c>
      <c r="U58" s="17"/>
      <c r="V58" s="16">
        <v>2006</v>
      </c>
      <c r="W58" s="16">
        <f t="shared" si="4"/>
        <v>162</v>
      </c>
      <c r="X58" s="8">
        <v>291</v>
      </c>
      <c r="Y58" s="18">
        <v>34</v>
      </c>
      <c r="Z58" s="19"/>
      <c r="AA58" s="18">
        <f t="shared" si="5"/>
        <v>4.7647058823529411</v>
      </c>
      <c r="AB58" s="19"/>
      <c r="AC58" s="18">
        <f>W58/SQRT(Y58)</f>
        <v>27.782770793086431</v>
      </c>
      <c r="AD58" s="19"/>
      <c r="AE58" s="18">
        <v>61</v>
      </c>
      <c r="AF58" s="18">
        <v>36</v>
      </c>
      <c r="AG58" s="19"/>
      <c r="AH58" s="18">
        <f>128+16</f>
        <v>144</v>
      </c>
      <c r="AI58" s="18">
        <f>208+24</f>
        <v>232</v>
      </c>
      <c r="AJ58" s="19"/>
      <c r="AK58" s="29">
        <f t="shared" ref="AK58:AL61" si="34">AE58*AH58*0.5*$K$3/1000000000</f>
        <v>485.02956521739128</v>
      </c>
      <c r="AL58" s="29">
        <f t="shared" si="34"/>
        <v>461.17565217391308</v>
      </c>
      <c r="AM58" s="19"/>
      <c r="AN58" s="29">
        <f>W58/AK58</f>
        <v>0.33400025816445078</v>
      </c>
      <c r="AO58" s="29">
        <f>W58/AL58</f>
        <v>0.35127613358674992</v>
      </c>
      <c r="AP58" s="19"/>
      <c r="AQ58" s="29">
        <f>T58/AK58</f>
        <v>0.12370379932016695</v>
      </c>
      <c r="AR58" s="29">
        <f>N58/AL58</f>
        <v>0.22117386188795365</v>
      </c>
      <c r="AS58" s="30"/>
      <c r="AT58" s="18">
        <f t="shared" ref="AT58:AT65" si="35">W58/(AK58+AL58)</f>
        <v>0.17121021637001257</v>
      </c>
      <c r="AU58" s="35"/>
      <c r="AW58" s="9"/>
      <c r="AY58" s="9"/>
      <c r="AZ58" s="9"/>
      <c r="BA58" s="9"/>
      <c r="BB58" s="9"/>
    </row>
    <row r="59" spans="2:54" x14ac:dyDescent="0.25">
      <c r="B59" s="56"/>
      <c r="C59" s="56"/>
      <c r="D59" s="56"/>
      <c r="E59" s="64"/>
      <c r="F59" s="16" t="s">
        <v>50</v>
      </c>
      <c r="G59" s="17"/>
      <c r="H59" s="18">
        <v>6.375</v>
      </c>
      <c r="I59" s="18">
        <v>12</v>
      </c>
      <c r="J59" s="18"/>
      <c r="K59" s="18"/>
      <c r="L59" s="18"/>
      <c r="M59" s="18"/>
      <c r="N59" s="18">
        <f t="shared" si="2"/>
        <v>153</v>
      </c>
      <c r="O59" s="17"/>
      <c r="P59" s="18">
        <v>1</v>
      </c>
      <c r="Q59" s="18">
        <f>42</f>
        <v>42</v>
      </c>
      <c r="R59" s="18"/>
      <c r="S59" s="18"/>
      <c r="T59" s="18">
        <f t="shared" si="3"/>
        <v>84</v>
      </c>
      <c r="U59" s="17"/>
      <c r="V59" s="16">
        <v>2006</v>
      </c>
      <c r="W59" s="16">
        <f t="shared" si="4"/>
        <v>237</v>
      </c>
      <c r="X59" s="17"/>
      <c r="Y59" s="18">
        <v>60</v>
      </c>
      <c r="Z59" s="19"/>
      <c r="AA59" s="18">
        <f t="shared" si="5"/>
        <v>3.95</v>
      </c>
      <c r="AB59" s="19"/>
      <c r="AC59" s="18">
        <f>W59/SQRT(Y59)</f>
        <v>30.596568435038591</v>
      </c>
      <c r="AD59" s="19"/>
      <c r="AE59" s="18">
        <v>77</v>
      </c>
      <c r="AF59" s="18">
        <v>51</v>
      </c>
      <c r="AG59" s="19"/>
      <c r="AH59" s="18">
        <f>128+16</f>
        <v>144</v>
      </c>
      <c r="AI59" s="18">
        <f>208+24</f>
        <v>232</v>
      </c>
      <c r="AJ59" s="19"/>
      <c r="AK59" s="29">
        <f t="shared" si="34"/>
        <v>612.25043478260875</v>
      </c>
      <c r="AL59" s="29">
        <f t="shared" si="34"/>
        <v>653.33217391304345</v>
      </c>
      <c r="AM59" s="19"/>
      <c r="AN59" s="29">
        <f>W59/AK59</f>
        <v>0.3870964993012237</v>
      </c>
      <c r="AO59" s="29">
        <f>W59/AL59</f>
        <v>0.36275574579546727</v>
      </c>
      <c r="AP59" s="19"/>
      <c r="AQ59" s="29">
        <f>T59/AK59</f>
        <v>0.13719875924600333</v>
      </c>
      <c r="AR59" s="29">
        <f>N59/AL59</f>
        <v>0.23418408905783331</v>
      </c>
      <c r="AS59" s="30"/>
      <c r="AT59" s="18">
        <f t="shared" si="35"/>
        <v>0.18726553159912601</v>
      </c>
      <c r="AU59" s="35"/>
    </row>
    <row r="60" spans="2:54" x14ac:dyDescent="0.25">
      <c r="B60" s="56"/>
      <c r="C60" s="56"/>
      <c r="D60" s="56"/>
      <c r="E60" s="64"/>
      <c r="F60" s="16" t="s">
        <v>51</v>
      </c>
      <c r="G60" s="17"/>
      <c r="H60" s="18">
        <v>6.375</v>
      </c>
      <c r="I60" s="18">
        <v>16</v>
      </c>
      <c r="J60" s="18"/>
      <c r="K60" s="18"/>
      <c r="L60" s="18"/>
      <c r="M60" s="18"/>
      <c r="N60" s="18">
        <f t="shared" si="2"/>
        <v>204</v>
      </c>
      <c r="O60" s="17"/>
      <c r="P60" s="18">
        <v>1</v>
      </c>
      <c r="Q60" s="18">
        <f>59</f>
        <v>59</v>
      </c>
      <c r="R60" s="18"/>
      <c r="S60" s="18"/>
      <c r="T60" s="18">
        <f t="shared" si="3"/>
        <v>118</v>
      </c>
      <c r="U60" s="17"/>
      <c r="V60" s="16">
        <v>2006</v>
      </c>
      <c r="W60" s="16">
        <f t="shared" si="4"/>
        <v>322</v>
      </c>
      <c r="X60" s="17"/>
      <c r="Y60" s="18">
        <v>91</v>
      </c>
      <c r="Z60" s="19"/>
      <c r="AA60" s="18">
        <f t="shared" si="5"/>
        <v>3.5384615384615383</v>
      </c>
      <c r="AB60" s="19"/>
      <c r="AC60" s="18">
        <f>W60/SQRT(Y60)</f>
        <v>33.754771742445769</v>
      </c>
      <c r="AD60" s="19"/>
      <c r="AE60" s="18">
        <v>88</v>
      </c>
      <c r="AF60" s="18">
        <v>68</v>
      </c>
      <c r="AG60" s="19"/>
      <c r="AH60" s="18">
        <f>128+16</f>
        <v>144</v>
      </c>
      <c r="AI60" s="18">
        <f>208+24</f>
        <v>232</v>
      </c>
      <c r="AJ60" s="19"/>
      <c r="AK60" s="29">
        <f t="shared" si="34"/>
        <v>699.71478260869571</v>
      </c>
      <c r="AL60" s="29">
        <f t="shared" si="34"/>
        <v>871.10956521739138</v>
      </c>
      <c r="AM60" s="19"/>
      <c r="AN60" s="29">
        <f>W60/AK60</f>
        <v>0.4601875049709695</v>
      </c>
      <c r="AO60" s="29">
        <f>W60/AL60</f>
        <v>0.3696435131206976</v>
      </c>
      <c r="AP60" s="19"/>
      <c r="AQ60" s="29">
        <f>T60/AK60</f>
        <v>0.16864014157321242</v>
      </c>
      <c r="AR60" s="29">
        <f>N60/AL60</f>
        <v>0.23418408905783328</v>
      </c>
      <c r="AS60" s="30"/>
      <c r="AT60" s="18">
        <f t="shared" si="35"/>
        <v>0.20498790997581995</v>
      </c>
      <c r="AU60" s="35"/>
    </row>
    <row r="61" spans="2:54" x14ac:dyDescent="0.25">
      <c r="B61" s="56"/>
      <c r="C61" s="56"/>
      <c r="D61" s="56"/>
      <c r="E61" s="64"/>
      <c r="F61" s="16" t="s">
        <v>52</v>
      </c>
      <c r="G61" s="17"/>
      <c r="H61" s="18">
        <v>6.375</v>
      </c>
      <c r="I61" s="18">
        <v>20</v>
      </c>
      <c r="J61" s="18"/>
      <c r="K61" s="18"/>
      <c r="L61" s="18"/>
      <c r="M61" s="18"/>
      <c r="N61" s="18">
        <f t="shared" si="2"/>
        <v>255</v>
      </c>
      <c r="O61" s="17"/>
      <c r="P61" s="18">
        <v>1</v>
      </c>
      <c r="Q61" s="18">
        <f>72</f>
        <v>72</v>
      </c>
      <c r="R61" s="18"/>
      <c r="S61" s="18"/>
      <c r="T61" s="18">
        <f t="shared" si="3"/>
        <v>144</v>
      </c>
      <c r="U61" s="17"/>
      <c r="V61" s="16">
        <v>2006</v>
      </c>
      <c r="W61" s="16">
        <f t="shared" si="4"/>
        <v>399</v>
      </c>
      <c r="X61" s="17"/>
      <c r="Y61" s="18">
        <v>132.5</v>
      </c>
      <c r="Z61" s="19"/>
      <c r="AA61" s="18">
        <f t="shared" si="5"/>
        <v>3.0113207547169814</v>
      </c>
      <c r="AB61" s="19"/>
      <c r="AC61" s="18">
        <f>W61/SQRT(Y61)</f>
        <v>34.662904972492939</v>
      </c>
      <c r="AD61" s="19"/>
      <c r="AE61" s="18">
        <v>100</v>
      </c>
      <c r="AF61" s="18">
        <v>87</v>
      </c>
      <c r="AG61" s="19"/>
      <c r="AH61" s="18">
        <f>128+16</f>
        <v>144</v>
      </c>
      <c r="AI61" s="18">
        <f>208+24</f>
        <v>232</v>
      </c>
      <c r="AJ61" s="19"/>
      <c r="AK61" s="29">
        <f t="shared" si="34"/>
        <v>795.13043478260875</v>
      </c>
      <c r="AL61" s="29">
        <f t="shared" si="34"/>
        <v>1114.5078260869566</v>
      </c>
      <c r="AM61" s="19"/>
      <c r="AN61" s="29">
        <f>W61/AK61</f>
        <v>0.50180446194225714</v>
      </c>
      <c r="AO61" s="29">
        <f>W61/AL61</f>
        <v>0.35800556143323936</v>
      </c>
      <c r="AP61" s="19"/>
      <c r="AQ61" s="29">
        <f>T61/AK61</f>
        <v>0.18110236220472439</v>
      </c>
      <c r="AR61" s="29">
        <f>N61/AL61</f>
        <v>0.22880054678064171</v>
      </c>
      <c r="AS61" s="30"/>
      <c r="AT61" s="18">
        <f t="shared" si="35"/>
        <v>0.20894009518761575</v>
      </c>
      <c r="AU61" s="35"/>
    </row>
    <row r="62" spans="2:54" ht="7.5" customHeight="1" x14ac:dyDescent="0.25">
      <c r="N62" s="12"/>
      <c r="T62" s="12"/>
      <c r="AA62" s="12"/>
      <c r="AB62" s="12"/>
      <c r="AC62" s="12"/>
    </row>
    <row r="63" spans="2:54" x14ac:dyDescent="0.25">
      <c r="B63" s="56" t="s">
        <v>80</v>
      </c>
      <c r="C63" s="56">
        <v>130</v>
      </c>
      <c r="D63" s="56">
        <v>2004</v>
      </c>
      <c r="E63" s="64" t="s">
        <v>8</v>
      </c>
      <c r="F63" s="16" t="s">
        <v>77</v>
      </c>
      <c r="G63" s="17"/>
      <c r="H63" s="18">
        <v>3.1875</v>
      </c>
      <c r="I63" s="18">
        <v>8</v>
      </c>
      <c r="J63" s="18"/>
      <c r="K63" s="18"/>
      <c r="L63" s="18"/>
      <c r="M63" s="18"/>
      <c r="N63" s="18">
        <f t="shared" si="2"/>
        <v>51</v>
      </c>
      <c r="O63" s="17"/>
      <c r="P63" s="18">
        <v>1</v>
      </c>
      <c r="Q63" s="18">
        <v>22</v>
      </c>
      <c r="R63" s="18"/>
      <c r="S63" s="18"/>
      <c r="T63" s="18">
        <f t="shared" si="3"/>
        <v>44</v>
      </c>
      <c r="U63" s="17"/>
      <c r="V63" s="16">
        <v>2004</v>
      </c>
      <c r="W63" s="16">
        <f>N63+T63</f>
        <v>95</v>
      </c>
      <c r="X63" s="17"/>
      <c r="Y63" s="18">
        <v>10.6</v>
      </c>
      <c r="Z63" s="17"/>
      <c r="AA63" s="18">
        <f t="shared" si="5"/>
        <v>8.9622641509433958</v>
      </c>
      <c r="AB63" s="17"/>
      <c r="AC63" s="18">
        <f>W63/SQRT(Y63)</f>
        <v>29.179018049612683</v>
      </c>
      <c r="AD63" s="17"/>
      <c r="AE63" s="18">
        <v>52</v>
      </c>
      <c r="AF63" s="18">
        <v>30</v>
      </c>
      <c r="AG63" s="17"/>
      <c r="AH63" s="18">
        <f>80+32+16</f>
        <v>128</v>
      </c>
      <c r="AI63" s="18">
        <f>160+48+24</f>
        <v>232</v>
      </c>
      <c r="AJ63" s="19"/>
      <c r="AK63" s="29">
        <f t="shared" ref="AK63:AL65" si="36">AE63*AH63*0.5*$J$3/1000000000</f>
        <v>289.39130434782612</v>
      </c>
      <c r="AL63" s="29">
        <f t="shared" si="36"/>
        <v>302.60869565217394</v>
      </c>
      <c r="AM63" s="19"/>
      <c r="AN63" s="29">
        <f>W63/AK63</f>
        <v>0.32827524038461536</v>
      </c>
      <c r="AO63" s="29">
        <f>W63/AL63</f>
        <v>0.31393678160919536</v>
      </c>
      <c r="AP63" s="19"/>
      <c r="AQ63" s="29">
        <f>T63/AK63</f>
        <v>0.15204326923076922</v>
      </c>
      <c r="AR63" s="29">
        <f>N63/AL63</f>
        <v>0.16853448275862068</v>
      </c>
      <c r="AS63" s="30"/>
      <c r="AT63" s="18">
        <f t="shared" si="35"/>
        <v>0.16047297297297297</v>
      </c>
      <c r="AU63" s="35"/>
    </row>
    <row r="64" spans="2:54" x14ac:dyDescent="0.25">
      <c r="B64" s="56"/>
      <c r="C64" s="56"/>
      <c r="D64" s="56"/>
      <c r="E64" s="64"/>
      <c r="F64" s="16" t="s">
        <v>78</v>
      </c>
      <c r="G64" s="17"/>
      <c r="H64" s="18">
        <v>3.1875</v>
      </c>
      <c r="I64" s="18">
        <v>16</v>
      </c>
      <c r="J64" s="18"/>
      <c r="K64" s="18"/>
      <c r="L64" s="18"/>
      <c r="M64" s="18"/>
      <c r="N64" s="18">
        <f t="shared" si="2"/>
        <v>102</v>
      </c>
      <c r="O64" s="17"/>
      <c r="P64" s="18">
        <v>1</v>
      </c>
      <c r="Q64" s="18">
        <v>39</v>
      </c>
      <c r="R64" s="18"/>
      <c r="S64" s="18"/>
      <c r="T64" s="18">
        <f t="shared" si="3"/>
        <v>78</v>
      </c>
      <c r="U64" s="17"/>
      <c r="V64" s="16">
        <v>2004</v>
      </c>
      <c r="W64" s="16">
        <f>N64+T64</f>
        <v>180</v>
      </c>
      <c r="X64" s="17"/>
      <c r="Y64" s="18">
        <v>25.7</v>
      </c>
      <c r="Z64" s="17"/>
      <c r="AA64" s="18">
        <f t="shared" si="5"/>
        <v>7.0038910505836576</v>
      </c>
      <c r="AB64" s="17"/>
      <c r="AC64" s="18">
        <f>W64/SQRT(Y64)</f>
        <v>35.506342941861227</v>
      </c>
      <c r="AD64" s="17"/>
      <c r="AE64" s="18">
        <v>78</v>
      </c>
      <c r="AF64" s="18">
        <v>46</v>
      </c>
      <c r="AG64" s="17"/>
      <c r="AH64" s="18">
        <f>80+32+16</f>
        <v>128</v>
      </c>
      <c r="AI64" s="18">
        <f>160+48+24</f>
        <v>232</v>
      </c>
      <c r="AJ64" s="19"/>
      <c r="AK64" s="29">
        <f t="shared" si="36"/>
        <v>434.08695652173913</v>
      </c>
      <c r="AL64" s="29">
        <f t="shared" si="36"/>
        <v>464</v>
      </c>
      <c r="AM64" s="19"/>
      <c r="AN64" s="29">
        <f>W64/AK64</f>
        <v>0.41466346153846156</v>
      </c>
      <c r="AO64" s="29">
        <f>W64/AL64</f>
        <v>0.38793103448275862</v>
      </c>
      <c r="AP64" s="19"/>
      <c r="AQ64" s="29">
        <f>T64/AK64</f>
        <v>0.1796875</v>
      </c>
      <c r="AR64" s="29">
        <f>N64/AL64</f>
        <v>0.21982758620689655</v>
      </c>
      <c r="AS64" s="30"/>
      <c r="AT64" s="18">
        <f t="shared" si="35"/>
        <v>0.20042602633617351</v>
      </c>
      <c r="AU64" s="35"/>
    </row>
    <row r="65" spans="2:47" x14ac:dyDescent="0.25">
      <c r="B65" s="56"/>
      <c r="C65" s="56"/>
      <c r="D65" s="56"/>
      <c r="E65" s="64"/>
      <c r="F65" s="16" t="s">
        <v>79</v>
      </c>
      <c r="G65" s="17"/>
      <c r="H65" s="18">
        <v>3.1875</v>
      </c>
      <c r="I65" s="18">
        <v>20</v>
      </c>
      <c r="J65" s="18"/>
      <c r="K65" s="18"/>
      <c r="L65" s="18"/>
      <c r="M65" s="18"/>
      <c r="N65" s="18">
        <f t="shared" si="2"/>
        <v>127.5</v>
      </c>
      <c r="O65" s="17"/>
      <c r="P65" s="18">
        <v>1</v>
      </c>
      <c r="Q65" s="18">
        <v>45</v>
      </c>
      <c r="R65" s="18"/>
      <c r="S65" s="18"/>
      <c r="T65" s="18">
        <f t="shared" si="3"/>
        <v>90</v>
      </c>
      <c r="U65" s="17"/>
      <c r="V65" s="16">
        <v>2004</v>
      </c>
      <c r="W65" s="16">
        <f>N65+T65</f>
        <v>217.5</v>
      </c>
      <c r="X65" s="17"/>
      <c r="Y65" s="18">
        <v>41.3</v>
      </c>
      <c r="Z65" s="17"/>
      <c r="AA65" s="18">
        <f t="shared" si="5"/>
        <v>5.2663438256658601</v>
      </c>
      <c r="AB65" s="17"/>
      <c r="AC65" s="18">
        <f>W65/SQRT(Y65)</f>
        <v>33.844198647365317</v>
      </c>
      <c r="AD65" s="17"/>
      <c r="AE65" s="18">
        <v>95</v>
      </c>
      <c r="AF65" s="18">
        <v>61</v>
      </c>
      <c r="AG65" s="17"/>
      <c r="AH65" s="18">
        <f>80+32+16</f>
        <v>128</v>
      </c>
      <c r="AI65" s="18">
        <f>160+48+24</f>
        <v>232</v>
      </c>
      <c r="AJ65" s="19"/>
      <c r="AK65" s="29">
        <f t="shared" si="36"/>
        <v>528.69565217391312</v>
      </c>
      <c r="AL65" s="29">
        <f t="shared" si="36"/>
        <v>615.30434782608688</v>
      </c>
      <c r="AM65" s="19"/>
      <c r="AN65" s="29">
        <f>W65/AK65</f>
        <v>0.41138980263157887</v>
      </c>
      <c r="AO65" s="29">
        <f>W65/AL65</f>
        <v>0.35348360655737709</v>
      </c>
      <c r="AP65" s="19"/>
      <c r="AQ65" s="29">
        <f>T65/AK65</f>
        <v>0.17023026315789472</v>
      </c>
      <c r="AR65" s="29">
        <f>N65/AL65</f>
        <v>0.2072145279819107</v>
      </c>
      <c r="AS65" s="30"/>
      <c r="AT65" s="18">
        <f t="shared" si="35"/>
        <v>0.19012237762237763</v>
      </c>
      <c r="AU65" s="35"/>
    </row>
  </sheetData>
  <mergeCells count="40">
    <mergeCell ref="E63:E65"/>
    <mergeCell ref="D63:D65"/>
    <mergeCell ref="C63:C65"/>
    <mergeCell ref="B63:B65"/>
    <mergeCell ref="H5:M5"/>
    <mergeCell ref="C9:C27"/>
    <mergeCell ref="B47:B56"/>
    <mergeCell ref="C47:C56"/>
    <mergeCell ref="D47:D56"/>
    <mergeCell ref="E47:E52"/>
    <mergeCell ref="E53:E56"/>
    <mergeCell ref="P5:S5"/>
    <mergeCell ref="B58:B61"/>
    <mergeCell ref="C58:C61"/>
    <mergeCell ref="D58:D61"/>
    <mergeCell ref="E58:E61"/>
    <mergeCell ref="E9:E10"/>
    <mergeCell ref="E11:E20"/>
    <mergeCell ref="E21:E25"/>
    <mergeCell ref="E26:E27"/>
    <mergeCell ref="B29:B45"/>
    <mergeCell ref="C29:C45"/>
    <mergeCell ref="D29:D45"/>
    <mergeCell ref="E29:E34"/>
    <mergeCell ref="E35:E41"/>
    <mergeCell ref="E42:E45"/>
    <mergeCell ref="B9:B27"/>
    <mergeCell ref="AV8:AW8"/>
    <mergeCell ref="T6:T7"/>
    <mergeCell ref="D9:D27"/>
    <mergeCell ref="P6:Q6"/>
    <mergeCell ref="R6:S6"/>
    <mergeCell ref="L6:M6"/>
    <mergeCell ref="H6:I6"/>
    <mergeCell ref="J6:K6"/>
    <mergeCell ref="N6:N7"/>
    <mergeCell ref="AH6:AI6"/>
    <mergeCell ref="AK6:AL6"/>
    <mergeCell ref="AN6:AO6"/>
    <mergeCell ref="AQ6:A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Sheet1</vt:lpstr>
      <vt:lpstr>ratio_columns</vt:lpstr>
      <vt:lpstr>ratio_rows</vt:lpstr>
      <vt:lpstr>ratio_total</vt:lpstr>
      <vt:lpstr>ratio_columns (2)</vt:lpstr>
      <vt:lpstr>ratio_rows (2)</vt:lpstr>
      <vt:lpstr>ratio_rows (3)</vt:lpstr>
      <vt:lpstr>ratio_rows (4)</vt:lpstr>
      <vt:lpstr>ratio_rows (5)</vt:lpstr>
      <vt:lpstr>top4</vt:lpstr>
      <vt:lpstr>top4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2013-08-28T20:44:50Z</dcterms:modified>
</cp:coreProperties>
</file>